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harts/chart1.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11.xml" ContentType="application/vnd.openxmlformats-officedocument.drawingml.chart+xml"/>
  <Override PartName="/xl/tables/table4.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updateLinks="never" codeName="DieseArbeitsmappe" defaultThemeVersion="166925"/>
  <mc:AlternateContent xmlns:mc="http://schemas.openxmlformats.org/markup-compatibility/2006">
    <mc:Choice Requires="x15">
      <x15ac:absPath xmlns:x15ac="http://schemas.microsoft.com/office/spreadsheetml/2010/11/ac" url="\\smbfsrv\Astronautics\03 Forschung\02 Projekte Aktuell\SSDW 2025\Recipe_LSS_Präsi\"/>
    </mc:Choice>
  </mc:AlternateContent>
  <xr:revisionPtr revIDLastSave="0" documentId="13_ncr:1_{A569AA40-B2F8-4CFB-8AAB-D509521DDAF1}" xr6:coauthVersionLast="47" xr6:coauthVersionMax="47" xr10:uidLastSave="{00000000-0000-0000-0000-000000000000}"/>
  <bookViews>
    <workbookView xWindow="-110" yWindow="-110" windowWidth="22620" windowHeight="13500" tabRatio="792" xr2:uid="{00000000-000D-0000-FFFF-FFFF00000000}"/>
  </bookViews>
  <sheets>
    <sheet name="User Interface" sheetId="2" r:id="rId1"/>
    <sheet name="Technology" sheetId="1" r:id="rId2"/>
    <sheet name="MissionSpecificTechnologyValues" sheetId="12" r:id="rId3"/>
    <sheet name="Schedule and Metabolic" sheetId="3" r:id="rId4"/>
    <sheet name="MCA ESM" sheetId="5" r:id="rId5"/>
    <sheet name="ECLSS Composition" sheetId="6" r:id="rId6"/>
    <sheet name="Output Data" sheetId="7" r:id="rId7"/>
    <sheet name="Graphical Output" sheetId="8" r:id="rId8"/>
    <sheet name="Resupply Approach" sheetId="9" r:id="rId9"/>
    <sheet name="ECLSS Functions" sheetId="10" r:id="rId10"/>
    <sheet name="References" sheetId="11" r:id="rId11"/>
  </sheets>
  <functionGroups builtInGroupCount="19"/>
  <externalReferences>
    <externalReference r:id="rId12"/>
  </externalReferences>
  <definedNames>
    <definedName name="_xlnm._FilterDatabase" localSheetId="4" hidden="1">'MCA ESM'!$A$4:$A$4</definedName>
    <definedName name="_xlnm._FilterDatabase" localSheetId="2" hidden="1">MissionSpecificTechnologyValues!$A$1:$S$1</definedName>
    <definedName name="AirLegend">'ECLSS Composition'!$AE$43</definedName>
    <definedName name="Amount_of_Modules">'User Interface'!$B$15</definedName>
    <definedName name="Amount_of_ORUs">'User Interface'!$I$31</definedName>
    <definedName name="BrineProcSolidWasteLabel">'ECLSS Composition'!$Q$39</definedName>
    <definedName name="BrineProcSolidWasteValue">'ECLSS Composition'!$P$39</definedName>
    <definedName name="BrineProdValue">'ECLSS Composition'!$M$35</definedName>
    <definedName name="BrinProcH2OtoCabinValue">'ECLSS Composition'!$I$36</definedName>
    <definedName name="CH4_FromReductionToProcessingValue">'ECLSS Composition'!$AE$15</definedName>
    <definedName name="CO2_FromReductionToVentLabel">'ECLSS Composition'!$AH$12</definedName>
    <definedName name="CO2_FromReductionToVentValue">'ECLSS Composition'!$AG$12</definedName>
    <definedName name="CO2_FromReductionToWasteLabel">'ECLSS Composition'!$AF$30</definedName>
    <definedName name="CO2_FromReductionToWasteValue">'ECLSS Composition'!$AE$30</definedName>
    <definedName name="CO2_FromRemovalValue">'ECLSS Composition'!$Z$7</definedName>
    <definedName name="CO2_FromWasteToCabinValue">'ECLSS Composition'!$I$39</definedName>
    <definedName name="CO2_ProdCrewValue">'ECLSS Composition'!$M$23</definedName>
    <definedName name="CO2_RemovalToWasteLabel1">'ECLSS Composition'!$AA$9</definedName>
    <definedName name="CO2_RemovalToWasteLabel2">'ECLSS Composition'!$AG$5</definedName>
    <definedName name="CO2_RemovalToWasteValue1">'ECLSS Composition'!$Z$9</definedName>
    <definedName name="CO2_RemovalToWasteValue2">'ECLSS Composition'!$AF$5</definedName>
    <definedName name="Co2_Schedule2">'Schedule and Metabolic'!$C$129:$C$176</definedName>
    <definedName name="CO2_ToReductionValue">'ECLSS Composition'!$AB$10</definedName>
    <definedName name="CO2_ToVentValue">'ECLSS Composition'!$AE$7</definedName>
    <definedName name="CO2Legend">'ECLSS Composition'!$AB$42</definedName>
    <definedName name="CO2ToPBRValue">'ECLSS Composition'!$R$3</definedName>
    <definedName name="CO2toPlantsValue">'ECLSS Composition'!$I$13</definedName>
    <definedName name="Cooling">'MCA ESM'!$F:$F</definedName>
    <definedName name="Crew_Size">'User Interface'!$B$10</definedName>
    <definedName name="CrewFecesLabel">'ECLSS Composition'!$Q$29</definedName>
    <definedName name="CrewFecesValue">'ECLSS Composition'!$P$29</definedName>
    <definedName name="CrewUrineToPlantsValue">'ECLSS Composition'!$H$30</definedName>
    <definedName name="CrewUrineWithoutProcessing">'ECLSS Composition'!$P$30</definedName>
    <definedName name="CrewUrineWithoutProcessingLabel">'ECLSS Composition'!$Q$30</definedName>
    <definedName name="CrewUrineWithProcessing">'ECLSS Composition'!$M$29</definedName>
    <definedName name="CurrentPGCArea">'ECLSS Composition'!$D$14</definedName>
    <definedName name="CurrentPOI">'User Interface'!$B$16</definedName>
    <definedName name="DES_Function">'User Interface'!$M$10</definedName>
    <definedName name="ECLSS_Subs">'MCA ESM'!$B:$B</definedName>
    <definedName name="ECLSS_Type">'User Interface'!$B$13</definedName>
    <definedName name="ECLSS_Type_Comp">'ECLSS Composition'!$H$4</definedName>
    <definedName name="EdibleFromPlantsEnergyLabel">'ECLSS Composition'!$G$22</definedName>
    <definedName name="EdibleFromPlantsEnergyValue">'ECLSS Composition'!$E$22</definedName>
    <definedName name="EdibleFromPlantsLabel">'ECLSS Composition'!$G$21</definedName>
    <definedName name="EdibleFromPlantsLabel2">'ECLSS Composition'!$I$26</definedName>
    <definedName name="EdibleFromPlantsValue">'ECLSS Composition'!$F$21</definedName>
    <definedName name="EdibleFromPlantsValue2">'ECLSS Composition'!$H$26</definedName>
    <definedName name="EdibleFromPlantsWaterLabel">'ECLSS Composition'!$G$23</definedName>
    <definedName name="EdibleFromPlantsWaterValue">'ECLSS Composition'!$F$23</definedName>
    <definedName name="ESM_CoolingF">'User Interface'!$B$27</definedName>
    <definedName name="ESM_Crew_TimeF">'User Interface'!$B$28</definedName>
    <definedName name="ESM_LocationF">'User Interface'!$B$24</definedName>
    <definedName name="ESM_PowerF">'User Interface'!$B$26</definedName>
    <definedName name="ESM_VolumeF">'User Interface'!$B$25</definedName>
    <definedName name="ExcludeNotFittingType">'User Interface'!$F$33</definedName>
    <definedName name="ExcludePartialAlternatives">'User Interface'!$F$24</definedName>
    <definedName name="Feces_Schedule2">'Schedule and Metabolic'!$E$129:$E$176</definedName>
    <definedName name="Food_Schedule2">'Schedule and Metabolic'!$H$129:$H$176</definedName>
    <definedName name="FoodConCrewValue">'ECLSS Composition'!$H$25</definedName>
    <definedName name="FoodFromPBRValue">'ECLSS Composition'!$I$7</definedName>
    <definedName name="FoodPackagingValue">'ECLSS Composition'!$J$41</definedName>
    <definedName name="FromMethaneProcessingToVentLabel">'ECLSS Composition'!$AJ$11</definedName>
    <definedName name="FromMethaneProcessingToVentValue">'ECLSS Composition'!$AI$11</definedName>
    <definedName name="FromMethaneProcessingToWasteLabel">'ECLSS Composition'!$AK$34</definedName>
    <definedName name="FromMethaneProcessingToWasteValue">'ECLSS Composition'!$AJ$34</definedName>
    <definedName name="GreyWaterLegend">'ECLSS Composition'!$AE$41</definedName>
    <definedName name="H2_FromElectrolysisValue">'ECLSS Composition'!$X$19</definedName>
    <definedName name="H2_FromMethaneProcessingValue">'ECLSS Composition'!$AG$21</definedName>
    <definedName name="H2_ToCO2ReductionValue">'ECLSS Composition'!$AB$17</definedName>
    <definedName name="H2_ToVentValue">'ECLSS Composition'!$AL$13</definedName>
    <definedName name="H2Legend">'ECLSS Composition'!$AE$42</definedName>
    <definedName name="H2O_ConCrewValue">'ECLSS Composition'!$P$25</definedName>
    <definedName name="H2O_FoodConCrewValue">'ECLSS Composition'!$H$27</definedName>
    <definedName name="H2O_FromCO2ReductionValue">'ECLSS Composition'!$Z$27</definedName>
    <definedName name="H2O_FromCO2RemovalValue">'ECLSS Composition'!$Q$11</definedName>
    <definedName name="H2O_FromHumControlToCO2RemovalValue">'ECLSS Composition'!$Q$6</definedName>
    <definedName name="H2O_FromWWFiltValue">'ECLSS Composition'!$U$29</definedName>
    <definedName name="H2O_InediblePlantsLabel">'ECLSS Composition'!$D$34</definedName>
    <definedName name="H2O_InediblePlantsToFiltrationValue">'ECLSS Composition'!$X$34</definedName>
    <definedName name="H2O_InediblePlantsValue">'ECLSS Composition'!$D$35</definedName>
    <definedName name="H2O_ProdCrewValue">'ECLSS Composition'!$K$23</definedName>
    <definedName name="H2O_ToCO2ReductionValue">'ECLSS Composition'!$Z$25</definedName>
    <definedName name="H2O_ToCO2RemovalValue">'ECLSS Composition'!$X$17</definedName>
    <definedName name="H2O_ToElectrolysisValue">'ECLSS Composition'!$U$23</definedName>
    <definedName name="H2OfromPlantsValue">'ECLSS Composition'!$I$15</definedName>
    <definedName name="H2OLegend">'ECLSS Composition'!$AB$41</definedName>
    <definedName name="H2OtoPlantsValue">'ECLSS Composition'!$B$33</definedName>
    <definedName name="heat">schedule_compl[heat]</definedName>
    <definedName name="Heat_Schedule2">'Schedule and Metabolic'!$J$129:$J$176</definedName>
    <definedName name="HumControlToPlantsValue">'ECLSS Composition'!$D$11</definedName>
    <definedName name="HumControlToVentValue">'ECLSS Composition'!$X$4</definedName>
    <definedName name="HumControlToWasteValue">'ECLSS Composition'!$F$8</definedName>
    <definedName name="HumControlToWWFiltrationValue">'ECLSS Composition'!$G$8</definedName>
    <definedName name="Hygiene_Schedule2">'Schedule and Metabolic'!$G$129:$G$176</definedName>
    <definedName name="HygieneH2O_ConCrewValue">'ECLSS Composition'!$R$25</definedName>
    <definedName name="HygieneH2O_ProdCrewValue">'ECLSS Composition'!$Q$27</definedName>
    <definedName name="HygieneH2O_ProdCrewWithoutFiltrationLabel">'ECLSS Composition'!$Q$35</definedName>
    <definedName name="HygieneH2O_ProdCrewWithoutFiltrationValue">'ECLSS Composition'!$P$35</definedName>
    <definedName name="HygieneH2OCrewProdValue">'ECLSS Composition'!$Q$27</definedName>
    <definedName name="InedibleBiomassPBRValue">'ECLSS Composition'!$B$9</definedName>
    <definedName name="Maintenance">'MCA ESM'!$G:$G</definedName>
    <definedName name="Mass">'MCA ESM'!$C:$C</definedName>
    <definedName name="Mass_margin">'User Interface'!$I$22</definedName>
    <definedName name="Max_allowable_ppCO2">'Schedule and Metabolic'!$O$23</definedName>
    <definedName name="MAX_Cooling">'User Interface'!$K$13</definedName>
    <definedName name="MAX_Maintenance">'User Interface'!$K$14</definedName>
    <definedName name="MAX_Mass">'User Interface'!$K$10</definedName>
    <definedName name="MAX_Power">'User Interface'!$K$12</definedName>
    <definedName name="MAX_Volume">'User Interface'!$K$11</definedName>
    <definedName name="MCA_Ranking">'MCA ESM'!$K:$K</definedName>
    <definedName name="MCA_Value">'MCA ESM'!$J:$J</definedName>
    <definedName name="Metabolic_Values_up_to_date">'Schedule and Metabolic'!$O$21</definedName>
    <definedName name="Min_allowable_ppO2">'Schedule and Metabolic'!$O$24</definedName>
    <definedName name="MIN_Reliability">'User Interface'!$H$15</definedName>
    <definedName name="MIN_TRL">'User Interface'!$H$16</definedName>
    <definedName name="MiscLegend">'ECLSS Composition'!$AI$41</definedName>
    <definedName name="Mission_Duration" localSheetId="10">'[1]User Interface'!$B$11</definedName>
    <definedName name="Mission_Duration">'User Interface'!$B$11</definedName>
    <definedName name="N2_LeakageValue">'ECLSS Composition'!$P$19</definedName>
    <definedName name="NutrientsToPBRValue">'ECLSS Composition'!$C$11</definedName>
    <definedName name="NutrientsToPlantsLabel">'ECLSS Composition'!$D$21</definedName>
    <definedName name="NutrientsToPlantsValue">'ECLSS Composition'!$C$21</definedName>
    <definedName name="O2_ConCrewValue">'ECLSS Composition'!$O$23</definedName>
    <definedName name="O2_FromCO2ReductionValue">'ECLSS Composition'!$Y$13</definedName>
    <definedName name="O2_FromElectrolysisValue">'ECLSS Composition'!$U$17</definedName>
    <definedName name="O2_FromStorageValue">'ECLSS Composition'!$Q$13</definedName>
    <definedName name="O2_LeakageValue">'ECLSS Composition'!$P$18</definedName>
    <definedName name="O2_Schedule2">'Schedule and Metabolic'!$B$129:$B$176</definedName>
    <definedName name="O2_toIncinerationLabel">'ECLSS Composition'!$C$38</definedName>
    <definedName name="O2_toIncinerationValue">'ECLSS Composition'!$D$40</definedName>
    <definedName name="O2FromPBRValue">'ECLSS Composition'!$G$10</definedName>
    <definedName name="O2fromPlantsValue">'ECLSS Composition'!$I$17</definedName>
    <definedName name="O2Legend">'ECLSS Composition'!$AB$43</definedName>
    <definedName name="PlantWaterContentToCrew">'ECLSS Composition'!$H$28</definedName>
    <definedName name="PlantWaterContentToCrewLabel">'ECLSS Composition'!$I$28</definedName>
    <definedName name="PlantWaterContentToCrewLabel2">'ECLSS Composition'!$G$28</definedName>
    <definedName name="Potable_Schedule2">'Schedule and Metabolic'!$F$129:$F$176</definedName>
    <definedName name="Power">'MCA ESM'!$E:$E</definedName>
    <definedName name="Pressurized_Volume">'User Interface'!$B$14</definedName>
    <definedName name="Reliability">'MCA ESM'!$H:$H</definedName>
    <definedName name="Schedule_Number">'User Interface'!$B$12</definedName>
    <definedName name="Schedule_was_Checked">'Schedule and Metabolic'!$O$20</definedName>
    <definedName name="SUM_CO2_Production">schedule_compl[[#Totals],[CO2]]</definedName>
    <definedName name="SUM_CO2_Production_2">'Schedule and Metabolic'!$C$177</definedName>
    <definedName name="SUM_Feces_Production">schedule_compl[[#Totals],[feces]]</definedName>
    <definedName name="SUM_Feces_Production_2">'Schedule and Metabolic'!$E$177</definedName>
    <definedName name="SUM_Food_Need">schedule_compl[[#Totals],[food]]</definedName>
    <definedName name="SUM_Food_Need_2">'Schedule and Metabolic'!$H$177</definedName>
    <definedName name="SUM_Food_Water">'Schedule and Metabolic'!$W$16</definedName>
    <definedName name="SUM_Heat_Load">schedule_compl[[#Totals],[heat]]</definedName>
    <definedName name="SUM_Heat_Load_2">'Schedule and Metabolic'!$J$177</definedName>
    <definedName name="SUM_Hygiene_Solid_Waste">'Schedule and Metabolic'!$AC$16</definedName>
    <definedName name="SUM_Hygiene_Water_Need">schedule_compl[[#Totals],[hygiene]]</definedName>
    <definedName name="SUM_Hygiene_Water_Need_2">'Schedule and Metabolic'!$G$177</definedName>
    <definedName name="SUM_Metabolic_Water">'Schedule and Metabolic'!$Z$16</definedName>
    <definedName name="SUM_O2_Consumption">schedule_compl[[#Totals],[O2]]</definedName>
    <definedName name="SUM_O2_Consumption_2">'Schedule and Metabolic'!$B$177</definedName>
    <definedName name="SUM_Potable_Water_Need">schedule_compl[[#Totals],[potable]]</definedName>
    <definedName name="SUM_Potable_Water_Need_2">'Schedule and Metabolic'!$F$177</definedName>
    <definedName name="SUM_Sweat_Production">schedule_compl[[#Totals],[sweat]]</definedName>
    <definedName name="SUM_Sweat_Production_2">'Schedule and Metabolic'!$I$177</definedName>
    <definedName name="SUM_Urine_Production">schedule_compl[[#Totals],[urine]]</definedName>
    <definedName name="SUM_Urine_Production_2">'Schedule and Metabolic'!$D$177</definedName>
    <definedName name="SUM_Urine_Solid_Waste">'Schedule and Metabolic'!$AA$16</definedName>
    <definedName name="sweat">schedule_compl[sweat]</definedName>
    <definedName name="Sweat_Schedule2">'Schedule and Metabolic'!$I$129:$I$176</definedName>
    <definedName name="Sweat_Solid_Waste">'Schedule and Metabolic'!$AD$16</definedName>
    <definedName name="SystemLevelFilter">'User Interface'!$F$22</definedName>
    <definedName name="task_breakfast">'Schedule and Metabolic'!$N$12</definedName>
    <definedName name="task_dinner">'Schedule and Metabolic'!$N$14</definedName>
    <definedName name="task_excersise">'Schedule and Metabolic'!$N$10</definedName>
    <definedName name="task_hygiene">'Schedule and Metabolic'!$N$6</definedName>
    <definedName name="task_lunch">'Schedule and Metabolic'!$N$13</definedName>
    <definedName name="task_personal">'Schedule and Metabolic'!$N$8</definedName>
    <definedName name="task_postexcersise">'Schedule and Metabolic'!$N$11</definedName>
    <definedName name="task_postsleep">'Schedule and Metabolic'!$N$4</definedName>
    <definedName name="task_presleep">'Schedule and Metabolic'!$N$5</definedName>
    <definedName name="task_sleep">'Schedule and Metabolic'!$N$3</definedName>
    <definedName name="task_work">'Schedule and Metabolic'!$N$7</definedName>
    <definedName name="TRL">'MCA ESM'!$I:$I</definedName>
    <definedName name="Urine_Schedule2">'Schedule and Metabolic'!$D$129:$D$176</definedName>
    <definedName name="UrineProcesingPotableWater">'ECLSS Composition'!$R$29</definedName>
    <definedName name="UrineProcessingGreyWater">'ECLSS Composition'!$Q$31</definedName>
    <definedName name="UrineProcessingGreyWaterToWasteValue">'ECLSS Composition'!$P$31</definedName>
    <definedName name="UrineToPlantsLabel">'ECLSS Composition'!$D$22</definedName>
    <definedName name="UrineToPlantsValue">'ECLSS Composition'!$C$22</definedName>
    <definedName name="Volume">'MCA ESM'!$D:$D</definedName>
    <definedName name="Waste_FromPlantsLabel">'ECLSS Composition'!$D$31</definedName>
    <definedName name="Waste_FromPlantsValue">'ECLSS Composition'!$D$33</definedName>
    <definedName name="WaterFromPBRValue">'ECLSS Composition'!$A$7</definedName>
    <definedName name="WaterLegend">'ECLSS Composition'!$AB$41</definedName>
    <definedName name="WaterToPBRValue">'ECLSS Composition'!$J$5</definedName>
    <definedName name="WC_Cooling">'User Interface'!$E$13</definedName>
    <definedName name="WC_Maintenance">'User Interface'!$E$14</definedName>
    <definedName name="WC_Mass">'User Interface'!$E$10</definedName>
    <definedName name="WC_Power">'User Interface'!$E$12</definedName>
    <definedName name="WC_Reliability">'User Interface'!$E$15</definedName>
    <definedName name="WC_TRL">'User Interface'!$E$16</definedName>
    <definedName name="WC_Volume">'User Interface'!$E$11</definedName>
    <definedName name="WWFiltrationToWasteLabel">'ECLSS Composition'!$V$35</definedName>
    <definedName name="WWFiltrationToWasteValue">'ECLSS Composition'!$T$35</definedName>
    <definedName name="X">'User Interface'!$V:$V</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S366" i="1" l="1"/>
  <c r="P366" i="1"/>
  <c r="M366" i="1"/>
  <c r="J366" i="1"/>
  <c r="J365" i="1"/>
  <c r="M365" i="1"/>
  <c r="P365" i="1"/>
  <c r="S365" i="1"/>
  <c r="S364" i="1"/>
  <c r="P364" i="1"/>
  <c r="M364" i="1"/>
  <c r="J364" i="1"/>
  <c r="V364" i="1"/>
  <c r="F75" i="7"/>
  <c r="F76" i="7" s="1"/>
  <c r="E75" i="7"/>
  <c r="E76" i="7" s="1"/>
  <c r="G75" i="7"/>
  <c r="G76" i="7" s="1"/>
  <c r="D75" i="7"/>
  <c r="D76" i="7" s="1"/>
  <c r="H75" i="7"/>
  <c r="H76" i="7" s="1"/>
  <c r="I75" i="7"/>
  <c r="I76" i="7" s="1"/>
  <c r="J75" i="7"/>
  <c r="J76" i="7" s="1"/>
  <c r="K75" i="7"/>
  <c r="K76" i="7" s="1"/>
  <c r="L75" i="7"/>
  <c r="L76" i="7" s="1"/>
  <c r="C75" i="7"/>
  <c r="C76" i="7" s="1"/>
  <c r="AD354" i="1"/>
  <c r="J362" i="1"/>
  <c r="X362" i="1"/>
  <c r="W18" i="1" l="1"/>
  <c r="AF82" i="1"/>
  <c r="AF51" i="1"/>
  <c r="AE46" i="1"/>
  <c r="X90" i="1"/>
  <c r="P90" i="1"/>
  <c r="S90" i="1"/>
  <c r="M90" i="1"/>
  <c r="J90" i="1"/>
  <c r="S91" i="1"/>
  <c r="P91" i="1" s="1"/>
  <c r="J91" i="1"/>
  <c r="L92" i="1"/>
  <c r="J92" i="1"/>
  <c r="X78" i="1"/>
  <c r="S78" i="1"/>
  <c r="P78" i="1"/>
  <c r="M78" i="1"/>
  <c r="J78" i="1"/>
  <c r="S82" i="1"/>
  <c r="P82" i="1"/>
  <c r="M82" i="1"/>
  <c r="J82" i="1"/>
  <c r="S50" i="1" l="1"/>
  <c r="P50" i="1"/>
  <c r="M50" i="1"/>
  <c r="J50" i="1"/>
  <c r="S18" i="1"/>
  <c r="P18" i="1"/>
  <c r="M18" i="1"/>
  <c r="J18" i="1"/>
  <c r="AF92" i="1" l="1"/>
  <c r="AF91" i="1"/>
  <c r="P103" i="7"/>
  <c r="Q103" i="7" s="1"/>
  <c r="X357" i="1"/>
  <c r="X358" i="1"/>
  <c r="X359" i="1"/>
  <c r="X360" i="1"/>
  <c r="X361" i="1"/>
  <c r="X363" i="1"/>
  <c r="AF361" i="1"/>
  <c r="P361" i="1"/>
  <c r="S361" i="1"/>
  <c r="M361" i="1"/>
  <c r="J361" i="1"/>
  <c r="AF363" i="1"/>
  <c r="S363" i="1"/>
  <c r="P363" i="1"/>
  <c r="M363" i="1"/>
  <c r="J363" i="1"/>
  <c r="AF362" i="1"/>
  <c r="AF360" i="1"/>
  <c r="AF359" i="1"/>
  <c r="S362" i="1"/>
  <c r="S360" i="1"/>
  <c r="S359" i="1"/>
  <c r="P362" i="1"/>
  <c r="P360" i="1"/>
  <c r="P359" i="1"/>
  <c r="M362" i="1"/>
  <c r="M360" i="1"/>
  <c r="M359" i="1"/>
  <c r="J360" i="1"/>
  <c r="X92" i="1" l="1"/>
  <c r="X91" i="1"/>
  <c r="J358" i="1" l="1"/>
  <c r="J359" i="1"/>
  <c r="J357" i="1"/>
  <c r="S358" i="1" l="1"/>
  <c r="S357" i="1"/>
  <c r="M358" i="1" l="1"/>
  <c r="H26" i="6" l="1"/>
  <c r="J41" i="6" l="1"/>
  <c r="H51" i="3" a="1"/>
  <c r="H51" i="3" s="1"/>
  <c r="W356" i="1" l="1"/>
  <c r="X356" i="1" s="1"/>
  <c r="L356" i="1"/>
  <c r="AF358" i="1"/>
  <c r="AE357" i="1"/>
  <c r="P358" i="1"/>
  <c r="V357" i="1"/>
  <c r="P357" i="1"/>
  <c r="AE356" i="1" l="1"/>
  <c r="U357" i="1"/>
  <c r="J356" i="1"/>
  <c r="Z12" i="3"/>
  <c r="V356" i="1" l="1"/>
  <c r="U356" i="1"/>
  <c r="AE84" i="1"/>
  <c r="J177" i="3" l="1"/>
  <c r="I177" i="3"/>
  <c r="H177" i="3"/>
  <c r="G177" i="3"/>
  <c r="F177" i="3"/>
  <c r="E177" i="3"/>
  <c r="D177" i="3"/>
  <c r="C177" i="3"/>
  <c r="B177" i="3"/>
  <c r="Z13" i="3" l="1"/>
  <c r="Z14" i="3"/>
  <c r="R6" i="3" l="1"/>
  <c r="AA6" i="3" s="1"/>
  <c r="R5" i="3"/>
  <c r="AA5" i="3" s="1"/>
  <c r="R4" i="3"/>
  <c r="AA4" i="3" s="1"/>
  <c r="AB5" i="3"/>
  <c r="AB7" i="3"/>
  <c r="AB8" i="3"/>
  <c r="AB10" i="3"/>
  <c r="AB11" i="3"/>
  <c r="AB12" i="3"/>
  <c r="AB13" i="3"/>
  <c r="AB14" i="3"/>
  <c r="AB3" i="3"/>
  <c r="AA7" i="3"/>
  <c r="AA8" i="3"/>
  <c r="AA10" i="3"/>
  <c r="AA11" i="3"/>
  <c r="AA12" i="3"/>
  <c r="AA13" i="3"/>
  <c r="AA14" i="3"/>
  <c r="AA3" i="3"/>
  <c r="AC5" i="3"/>
  <c r="AC7" i="3"/>
  <c r="AC8" i="3"/>
  <c r="AC10" i="3"/>
  <c r="AC12" i="3"/>
  <c r="AC4" i="3"/>
  <c r="AC3" i="3"/>
  <c r="W14" i="3"/>
  <c r="W13" i="3"/>
  <c r="W12" i="3"/>
  <c r="V14" i="3"/>
  <c r="V13" i="3"/>
  <c r="V12" i="3"/>
  <c r="U14" i="3"/>
  <c r="AC14" i="3" s="1"/>
  <c r="U13" i="3"/>
  <c r="AC13" i="3" s="1"/>
  <c r="U11" i="3"/>
  <c r="AC11" i="3" s="1"/>
  <c r="U6" i="3"/>
  <c r="AC6" i="3" s="1"/>
  <c r="S4" i="3"/>
  <c r="S6" i="3"/>
  <c r="AB6" i="3" s="1"/>
  <c r="L51" i="3" a="1"/>
  <c r="L51" i="3" s="1"/>
  <c r="K51" i="3" a="1"/>
  <c r="K51" i="3" s="1"/>
  <c r="J51" i="3" a="1"/>
  <c r="J51" i="3" s="1"/>
  <c r="I51" i="3" a="1"/>
  <c r="I51" i="3" s="1"/>
  <c r="G51" i="3" a="1"/>
  <c r="G51" i="3" s="1"/>
  <c r="F51" i="3" a="1"/>
  <c r="F51" i="3" s="1"/>
  <c r="E51" i="3" a="1"/>
  <c r="E51" i="3" s="1"/>
  <c r="D51" i="3" a="1"/>
  <c r="D51" i="3" s="1"/>
  <c r="W15" i="3" l="1"/>
  <c r="W16" i="3" a="1"/>
  <c r="W16" i="3" s="1"/>
  <c r="AB4" i="3"/>
  <c r="R15" i="3"/>
  <c r="AB15" i="3"/>
  <c r="O16" i="3"/>
  <c r="Z9" i="3"/>
  <c r="Y10" i="3"/>
  <c r="Y9" i="3"/>
  <c r="X10" i="3"/>
  <c r="AD10" i="3" s="1"/>
  <c r="X9" i="3"/>
  <c r="V9" i="3"/>
  <c r="V16" i="3" s="1" a="1"/>
  <c r="V16" i="3" s="1"/>
  <c r="G53" i="3" s="1"/>
  <c r="U9" i="3"/>
  <c r="AC9" i="3" s="1"/>
  <c r="AC16" i="3" s="1" a="1"/>
  <c r="AC16" i="3" s="1"/>
  <c r="T9" i="3"/>
  <c r="S9" i="3"/>
  <c r="AB9" i="3" s="1"/>
  <c r="R9" i="3"/>
  <c r="AA9" i="3" s="1"/>
  <c r="AA16" i="3" s="1" a="1"/>
  <c r="AA16" i="3" s="1"/>
  <c r="Q9" i="3"/>
  <c r="P9" i="3"/>
  <c r="U16" i="3" l="1" a="1"/>
  <c r="U16" i="3" s="1"/>
  <c r="R16" i="3" a="1"/>
  <c r="R16" i="3" s="1"/>
  <c r="S16" i="3" a="1"/>
  <c r="S16" i="3" s="1"/>
  <c r="AD9" i="3"/>
  <c r="AB16" i="3" a="1"/>
  <c r="AB16" i="3" s="1"/>
  <c r="C53" i="3" s="1"/>
  <c r="S92" i="1"/>
  <c r="P92" i="1" s="1"/>
  <c r="M92" i="1"/>
  <c r="L91" i="1"/>
  <c r="M91" i="1" s="1"/>
  <c r="AD355" i="1" l="1"/>
  <c r="C5" i="3" l="1"/>
  <c r="C50" i="3" l="1"/>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X14" i="3"/>
  <c r="AD14" i="3" s="1"/>
  <c r="Q14" i="3"/>
  <c r="P14" i="3"/>
  <c r="C12" i="3"/>
  <c r="X13" i="3"/>
  <c r="AD13" i="3" s="1"/>
  <c r="Q13" i="3"/>
  <c r="P13" i="3"/>
  <c r="C11" i="3"/>
  <c r="X12" i="3"/>
  <c r="AD12" i="3" s="1"/>
  <c r="Q12" i="3"/>
  <c r="P12" i="3"/>
  <c r="C10" i="3"/>
  <c r="Y11" i="3"/>
  <c r="Y16" i="3" s="1" a="1"/>
  <c r="Y16" i="3" s="1"/>
  <c r="X11" i="3"/>
  <c r="Q11" i="3"/>
  <c r="P11" i="3"/>
  <c r="C9" i="3"/>
  <c r="Q10" i="3"/>
  <c r="P10" i="3"/>
  <c r="C8" i="3"/>
  <c r="X8" i="3"/>
  <c r="AD8" i="3" s="1"/>
  <c r="Q8" i="3"/>
  <c r="P8" i="3"/>
  <c r="C7" i="3"/>
  <c r="X7" i="3"/>
  <c r="AD7" i="3" s="1"/>
  <c r="Q7" i="3"/>
  <c r="P7" i="3"/>
  <c r="C6" i="3"/>
  <c r="X6" i="3"/>
  <c r="AD6" i="3" s="1"/>
  <c r="Q6" i="3"/>
  <c r="P6" i="3"/>
  <c r="X5" i="3"/>
  <c r="AD5" i="3" s="1"/>
  <c r="Q5" i="3"/>
  <c r="P5" i="3"/>
  <c r="C4" i="3"/>
  <c r="X4" i="3"/>
  <c r="AD4" i="3" s="1"/>
  <c r="Q4" i="3"/>
  <c r="P4" i="3"/>
  <c r="C3" i="3"/>
  <c r="X3" i="3"/>
  <c r="Q3" i="3"/>
  <c r="P3" i="3"/>
  <c r="M351" i="1"/>
  <c r="J351" i="1"/>
  <c r="S344" i="1"/>
  <c r="P344" i="1"/>
  <c r="M344" i="1"/>
  <c r="J344" i="1"/>
  <c r="AB337" i="1"/>
  <c r="AB336" i="1"/>
  <c r="AB335" i="1"/>
  <c r="AB334" i="1"/>
  <c r="AB333" i="1"/>
  <c r="AB332" i="1"/>
  <c r="AB331" i="1"/>
  <c r="AB330" i="1"/>
  <c r="AB329" i="1"/>
  <c r="AB328" i="1"/>
  <c r="AB327" i="1"/>
  <c r="AB325" i="1"/>
  <c r="Y325" i="1"/>
  <c r="AB324" i="1"/>
  <c r="Y324" i="1"/>
  <c r="AB323" i="1"/>
  <c r="Y323" i="1"/>
  <c r="AB322" i="1"/>
  <c r="Y322" i="1"/>
  <c r="AB321" i="1"/>
  <c r="Y321" i="1"/>
  <c r="AB320" i="1"/>
  <c r="Y320" i="1"/>
  <c r="AB319" i="1"/>
  <c r="Y319" i="1"/>
  <c r="AB318" i="1"/>
  <c r="Y318" i="1"/>
  <c r="AB317" i="1"/>
  <c r="Y317" i="1"/>
  <c r="AB316" i="1"/>
  <c r="Y316" i="1"/>
  <c r="AB315" i="1"/>
  <c r="Y315" i="1"/>
  <c r="AB314" i="1"/>
  <c r="Y314" i="1"/>
  <c r="AB313" i="1"/>
  <c r="Y313" i="1"/>
  <c r="AB312" i="1"/>
  <c r="Y312" i="1"/>
  <c r="AB311" i="1"/>
  <c r="Y311" i="1"/>
  <c r="AB310" i="1"/>
  <c r="Y310" i="1"/>
  <c r="AB309" i="1"/>
  <c r="AB308" i="1"/>
  <c r="Y308" i="1"/>
  <c r="AB307" i="1"/>
  <c r="Y307" i="1"/>
  <c r="AB306" i="1"/>
  <c r="Y306" i="1"/>
  <c r="AB305" i="1"/>
  <c r="Y305" i="1"/>
  <c r="AB304" i="1"/>
  <c r="Y304" i="1"/>
  <c r="AB303" i="1"/>
  <c r="Y303" i="1"/>
  <c r="AB302" i="1"/>
  <c r="Y302" i="1"/>
  <c r="AB301" i="1"/>
  <c r="Y301" i="1"/>
  <c r="AB300" i="1"/>
  <c r="Y300" i="1"/>
  <c r="AB299" i="1"/>
  <c r="Y299" i="1"/>
  <c r="AB298" i="1"/>
  <c r="Y298" i="1"/>
  <c r="AB297" i="1"/>
  <c r="Y297" i="1"/>
  <c r="AB296" i="1"/>
  <c r="Y296" i="1"/>
  <c r="AB295" i="1"/>
  <c r="Y295" i="1"/>
  <c r="AB294" i="1"/>
  <c r="Y294" i="1"/>
  <c r="AB293" i="1"/>
  <c r="AB292" i="1"/>
  <c r="Y292" i="1"/>
  <c r="AB291" i="1"/>
  <c r="Y291" i="1"/>
  <c r="AB290" i="1"/>
  <c r="Y290" i="1"/>
  <c r="AB289" i="1"/>
  <c r="Y289" i="1"/>
  <c r="AB288" i="1"/>
  <c r="Y288" i="1"/>
  <c r="AB287" i="1"/>
  <c r="Y287" i="1"/>
  <c r="AB286" i="1"/>
  <c r="Y286" i="1"/>
  <c r="AB285" i="1"/>
  <c r="Y285" i="1"/>
  <c r="AB284" i="1"/>
  <c r="Y284" i="1"/>
  <c r="AB283" i="1"/>
  <c r="Y283" i="1"/>
  <c r="AB282" i="1"/>
  <c r="Y282" i="1"/>
  <c r="AB281" i="1"/>
  <c r="Y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Y254" i="1"/>
  <c r="AB253" i="1"/>
  <c r="Y253" i="1"/>
  <c r="AB252" i="1"/>
  <c r="Y252" i="1"/>
  <c r="AB251" i="1"/>
  <c r="Y251" i="1"/>
  <c r="AB250" i="1"/>
  <c r="Y250" i="1"/>
  <c r="Y249" i="1"/>
  <c r="AB248" i="1"/>
  <c r="Y248" i="1"/>
  <c r="AB247" i="1"/>
  <c r="Y247" i="1"/>
  <c r="AB246" i="1"/>
  <c r="Y246" i="1"/>
  <c r="AB245" i="1"/>
  <c r="Y245" i="1"/>
  <c r="AB244" i="1"/>
  <c r="Y244" i="1"/>
  <c r="AB243" i="1"/>
  <c r="Y243" i="1"/>
  <c r="AB242" i="1"/>
  <c r="Y242" i="1"/>
  <c r="AB241" i="1"/>
  <c r="Y241" i="1"/>
  <c r="AB240" i="1"/>
  <c r="Y240" i="1"/>
  <c r="AB239" i="1"/>
  <c r="AB238" i="1"/>
  <c r="AB237" i="1"/>
  <c r="AB236" i="1"/>
  <c r="AB235" i="1"/>
  <c r="AB234" i="1"/>
  <c r="AB233" i="1"/>
  <c r="AB232" i="1"/>
  <c r="AB231" i="1"/>
  <c r="AB230" i="1"/>
  <c r="AB229" i="1"/>
  <c r="AB228" i="1"/>
  <c r="AB227" i="1"/>
  <c r="AB226"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8" i="1"/>
  <c r="AB187" i="1"/>
  <c r="AB186" i="1"/>
  <c r="AB185" i="1"/>
  <c r="AB184" i="1"/>
  <c r="AB182" i="1"/>
  <c r="AB179" i="1"/>
  <c r="AB178" i="1"/>
  <c r="AB177" i="1"/>
  <c r="AB176" i="1"/>
  <c r="AB173" i="1"/>
  <c r="AB172" i="1"/>
  <c r="AB171" i="1"/>
  <c r="AB170" i="1"/>
  <c r="AB169" i="1"/>
  <c r="AB168" i="1"/>
  <c r="AB167" i="1"/>
  <c r="AB166" i="1"/>
  <c r="AB165" i="1"/>
  <c r="AB164" i="1"/>
  <c r="AB163" i="1"/>
  <c r="AB162" i="1"/>
  <c r="AB160" i="1"/>
  <c r="AB159" i="1"/>
  <c r="AB158" i="1"/>
  <c r="AB157" i="1"/>
  <c r="AB156" i="1"/>
  <c r="AB155" i="1"/>
  <c r="AB154" i="1"/>
  <c r="AB153" i="1"/>
  <c r="AB152" i="1"/>
  <c r="AB151" i="1"/>
  <c r="AB150" i="1"/>
  <c r="AB149" i="1"/>
  <c r="AB148" i="1"/>
  <c r="AB147" i="1"/>
  <c r="AB146" i="1"/>
  <c r="AB145" i="1"/>
  <c r="AB144" i="1"/>
  <c r="AB143" i="1"/>
  <c r="M142" i="1"/>
  <c r="J142" i="1"/>
  <c r="AB141" i="1"/>
  <c r="AB139" i="1"/>
  <c r="Y139" i="1"/>
  <c r="M138" i="1"/>
  <c r="J138" i="1"/>
  <c r="S137" i="1"/>
  <c r="M136" i="1"/>
  <c r="AB135" i="1"/>
  <c r="Y135" i="1"/>
  <c r="AB134" i="1"/>
  <c r="AB133" i="1"/>
  <c r="Y133" i="1"/>
  <c r="S133" i="1"/>
  <c r="P133" i="1" s="1"/>
  <c r="AB132" i="1"/>
  <c r="Y132" i="1"/>
  <c r="AB131" i="1"/>
  <c r="Y131" i="1"/>
  <c r="AB130" i="1"/>
  <c r="Y130" i="1"/>
  <c r="Y129" i="1"/>
  <c r="AB128" i="1"/>
  <c r="X128" i="1"/>
  <c r="P128" i="1"/>
  <c r="O128" i="1"/>
  <c r="I125" i="1"/>
  <c r="AB104" i="1"/>
  <c r="M104" i="1"/>
  <c r="J104" i="1"/>
  <c r="AE103" i="1"/>
  <c r="S100" i="1"/>
  <c r="P100" i="1"/>
  <c r="M100" i="1"/>
  <c r="J100" i="1"/>
  <c r="AB98" i="1"/>
  <c r="AB96" i="1"/>
  <c r="P96" i="1"/>
  <c r="J96" i="1"/>
  <c r="AE119" i="1"/>
  <c r="AE88" i="1"/>
  <c r="Y87" i="1"/>
  <c r="AE86" i="1"/>
  <c r="AB86" i="1"/>
  <c r="R86" i="1"/>
  <c r="S86" i="1" s="1"/>
  <c r="AB84" i="1"/>
  <c r="AB82" i="1"/>
  <c r="AB80" i="1"/>
  <c r="S80" i="1"/>
  <c r="M80" i="1"/>
  <c r="J80" i="1"/>
  <c r="R79" i="1"/>
  <c r="AE77" i="1"/>
  <c r="R72" i="1"/>
  <c r="L72" i="1"/>
  <c r="M72" i="1" s="1"/>
  <c r="I72" i="1"/>
  <c r="M69" i="1"/>
  <c r="L69" i="1"/>
  <c r="AB64" i="1"/>
  <c r="BC63" i="1"/>
  <c r="AB60" i="1"/>
  <c r="AB58" i="1"/>
  <c r="AE52" i="1"/>
  <c r="AB51" i="1"/>
  <c r="S51" i="1"/>
  <c r="P51" i="1"/>
  <c r="M51" i="1"/>
  <c r="AB50" i="1"/>
  <c r="S46" i="1"/>
  <c r="P46" i="1" s="1"/>
  <c r="M46" i="1"/>
  <c r="J46" i="1"/>
  <c r="AE45" i="1"/>
  <c r="R45" i="1"/>
  <c r="S45" i="1" s="1"/>
  <c r="P45" i="1" s="1"/>
  <c r="L45" i="1"/>
  <c r="M45" i="1" s="1"/>
  <c r="J45" i="1"/>
  <c r="I45" i="1"/>
  <c r="AB44" i="1"/>
  <c r="S42" i="1"/>
  <c r="P42" i="1"/>
  <c r="M42" i="1"/>
  <c r="J42" i="1"/>
  <c r="AB41" i="1"/>
  <c r="AB40" i="1"/>
  <c r="BC39" i="1"/>
  <c r="M39" i="1"/>
  <c r="J39" i="1"/>
  <c r="AB38" i="1"/>
  <c r="M37" i="1"/>
  <c r="J37" i="1"/>
  <c r="M27" i="1"/>
  <c r="J27" i="1"/>
  <c r="AB24" i="1"/>
  <c r="AB18" i="1"/>
  <c r="Y18" i="1"/>
  <c r="AE16" i="1"/>
  <c r="AB15" i="1"/>
  <c r="M15" i="1"/>
  <c r="BC14" i="1"/>
  <c r="M12" i="1"/>
  <c r="AE11" i="1"/>
  <c r="AB11" i="1"/>
  <c r="AE9" i="1"/>
  <c r="AB9" i="1"/>
  <c r="AE5" i="1"/>
  <c r="AE4" i="1"/>
  <c r="AD3" i="1"/>
  <c r="AE3" i="1" s="1"/>
  <c r="J137" i="1" l="1"/>
  <c r="AD11" i="3"/>
  <c r="T11" i="3" a="1"/>
  <c r="T11" i="3" s="1"/>
  <c r="T13" i="3" a="1"/>
  <c r="T13" i="3" s="1"/>
  <c r="T14" i="3" a="1"/>
  <c r="T14" i="3" s="1"/>
  <c r="T12" i="3" a="1"/>
  <c r="T12" i="3" s="1"/>
  <c r="AD3" i="3"/>
  <c r="X16" i="3" a="1"/>
  <c r="X16" i="3" s="1"/>
  <c r="P16" i="3" a="1"/>
  <c r="P16" i="3" s="1"/>
  <c r="Q16" i="3" a="1"/>
  <c r="Q16" i="3" s="1"/>
  <c r="V15" i="3"/>
  <c r="AA15" i="3"/>
  <c r="P15" i="3"/>
  <c r="S15" i="3"/>
  <c r="Q15" i="3"/>
  <c r="Y15" i="3"/>
  <c r="X15" i="3"/>
  <c r="U15" i="3"/>
  <c r="M137" i="1"/>
  <c r="AC15" i="3"/>
  <c r="AD16" i="3" l="1" a="1"/>
  <c r="AD16" i="3" s="1"/>
  <c r="AD15" i="3"/>
  <c r="AE38" i="1" l="1"/>
  <c r="L86" i="1" l="1"/>
  <c r="M86" i="1" s="1"/>
  <c r="I86" i="1"/>
  <c r="J86" i="1" s="1"/>
  <c r="Z15" i="3"/>
  <c r="T16" i="3" l="1" a="1"/>
  <c r="T16" i="3" s="1"/>
  <c r="O19" i="3" s="1"/>
  <c r="T15"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Andreas</author>
  </authors>
  <commentList>
    <comment ref="AB5" authorId="0" shapeId="0" xr:uid="{00000000-0006-0000-0100-000001000000}">
      <text>
        <r>
          <rPr>
            <b/>
            <sz val="9"/>
            <color indexed="81"/>
            <rFont val="Segoe UI"/>
            <family val="2"/>
          </rPr>
          <t>Andreas:</t>
        </r>
        <r>
          <rPr>
            <sz val="9"/>
            <color indexed="81"/>
            <rFont val="Segoe UI"/>
            <family val="2"/>
          </rPr>
          <t xml:space="preserve">
relatively high, likely driven by compressor, slurper, fan and valves mean for WRM</t>
        </r>
      </text>
    </comment>
    <comment ref="AB350" authorId="0" shapeId="0" xr:uid="{00000000-0006-0000-0100-000002000000}">
      <text>
        <r>
          <rPr>
            <b/>
            <sz val="9"/>
            <color indexed="81"/>
            <rFont val="Segoe UI"/>
            <family val="2"/>
          </rPr>
          <t>Andreas:</t>
        </r>
        <r>
          <rPr>
            <sz val="9"/>
            <color indexed="81"/>
            <rFont val="Segoe UI"/>
            <family val="2"/>
          </rPr>
          <t xml:space="preserve">
Shortest lifetime item is commercial pump with 17000 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H1" authorId="0" shapeId="0" xr:uid="{00000000-0006-0000-0A00-000001000000}">
      <text>
        <r>
          <rPr>
            <b/>
            <sz val="9"/>
            <color indexed="81"/>
            <rFont val="Segoe UI"/>
            <family val="2"/>
          </rPr>
          <t>Autor:</t>
        </r>
        <r>
          <rPr>
            <sz val="9"/>
            <color indexed="81"/>
            <rFont val="Segoe UI"/>
            <family val="2"/>
          </rPr>
          <t xml:space="preserve">
A hardware/software grouping that performs related functions across or within elements, such as ECLS or power distribution</t>
        </r>
      </text>
    </comment>
    <comment ref="H2" authorId="0" shapeId="0" xr:uid="{00000000-0006-0000-0A00-000002000000}">
      <text>
        <r>
          <rPr>
            <b/>
            <sz val="9"/>
            <color indexed="81"/>
            <rFont val="Segoe UI"/>
            <family val="2"/>
          </rPr>
          <t>Autor:</t>
        </r>
        <r>
          <rPr>
            <sz val="9"/>
            <color indexed="81"/>
            <rFont val="Segoe UI"/>
            <family val="2"/>
          </rPr>
          <t xml:space="preserve">
A group of related assemblies performing interconnected functions, such as atmospheric revitalization or water recovery and managment. A subsystem may be packaged in a single rack</t>
        </r>
      </text>
    </comment>
    <comment ref="H3" authorId="0" shapeId="0" xr:uid="{00000000-0006-0000-0A00-000003000000}">
      <text>
        <r>
          <rPr>
            <b/>
            <sz val="9"/>
            <color indexed="81"/>
            <rFont val="Segoe UI"/>
            <family val="2"/>
          </rPr>
          <t>Autor:</t>
        </r>
        <r>
          <rPr>
            <sz val="9"/>
            <color indexed="81"/>
            <rFont val="Segoe UI"/>
            <family val="2"/>
          </rPr>
          <t xml:space="preserve">
A group or related components performing a specific function, such as CO2 removal or water processing, sometimes referred to as a subassembly</t>
        </r>
      </text>
    </comment>
    <comment ref="H4" authorId="0" shapeId="0" xr:uid="{00000000-0006-0000-0A00-000004000000}">
      <text>
        <r>
          <rPr>
            <b/>
            <sz val="9"/>
            <color indexed="81"/>
            <rFont val="Segoe UI"/>
            <family val="2"/>
          </rPr>
          <t>Autor:</t>
        </r>
        <r>
          <rPr>
            <sz val="9"/>
            <color indexed="81"/>
            <rFont val="Segoe UI"/>
            <family val="2"/>
          </rPr>
          <t xml:space="preserve">
A functional unit made up of parts, such as a pump or blower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<sst xmlns="http://schemas.openxmlformats.org/spreadsheetml/2006/main" count="5933" uniqueCount="2015">
  <si>
    <t>trace from</t>
  </si>
  <si>
    <t>TRL</t>
  </si>
  <si>
    <t>ESM</t>
  </si>
  <si>
    <t>Safety</t>
  </si>
  <si>
    <t>principial chemical equation</t>
  </si>
  <si>
    <t>inflow [kg/day] gas, liquid, solid</t>
  </si>
  <si>
    <t>inflow composition gas, liquid, solid</t>
  </si>
  <si>
    <t>outflow [kg/day] gas, liquid, solid</t>
  </si>
  <si>
    <t>outflow composition gas, liquid, solid</t>
  </si>
  <si>
    <t>source</t>
  </si>
  <si>
    <t>notes</t>
  </si>
  <si>
    <t>function1</t>
  </si>
  <si>
    <t>function2</t>
  </si>
  <si>
    <t>function3</t>
  </si>
  <si>
    <t>function4</t>
  </si>
  <si>
    <t>function5</t>
  </si>
  <si>
    <t>function6</t>
  </si>
  <si>
    <t>function7</t>
  </si>
  <si>
    <t>function8</t>
  </si>
  <si>
    <t>function9</t>
  </si>
  <si>
    <t>function10</t>
  </si>
  <si>
    <r>
      <t xml:space="preserve">Activated Charcoal Bed </t>
    </r>
    <r>
      <rPr>
        <b/>
        <sz val="11"/>
        <color theme="1"/>
        <rFont val="Calibri"/>
        <family val="2"/>
        <scheme val="minor"/>
      </rPr>
      <t>CBA</t>
    </r>
  </si>
  <si>
    <t>air-AR</t>
  </si>
  <si>
    <t>control</t>
  </si>
  <si>
    <t>non regenerable</t>
  </si>
  <si>
    <t>TCCS</t>
  </si>
  <si>
    <t>component</t>
  </si>
  <si>
    <t>&lt;100</t>
  </si>
  <si>
    <t>passive operation</t>
  </si>
  <si>
    <t>saturation (only slow)</t>
  </si>
  <si>
    <t>Safe</t>
  </si>
  <si>
    <t>10; 21
13</t>
  </si>
  <si>
    <t>on ISS</t>
  </si>
  <si>
    <t>CO2 removal</t>
  </si>
  <si>
    <t>regenerable</t>
  </si>
  <si>
    <t>assembly</t>
  </si>
  <si>
    <t>180
180
329+219</t>
  </si>
  <si>
    <t>1400 - 1600
1100</t>
  </si>
  <si>
    <t>vacuum required for insulation between foils</t>
  </si>
  <si>
    <t xml:space="preserve">
3</t>
  </si>
  <si>
    <t>consumable very small</t>
  </si>
  <si>
    <t>heat loss
forced air cooling of CFR tube and seals
multifoil insulation requires vacuum to minimize heat loss</t>
  </si>
  <si>
    <t>reliable CFR end seals
control to maintain H2/CO2 ratio</t>
  </si>
  <si>
    <t>Safe, but high heat must be safed operated</t>
  </si>
  <si>
    <t>CH4 -&gt; C(s)+2H2</t>
  </si>
  <si>
    <t>1
34</t>
  </si>
  <si>
    <t>water-WRM</t>
  </si>
  <si>
    <t>distillation</t>
  </si>
  <si>
    <t>WRS</t>
  </si>
  <si>
    <t xml:space="preserve">
852
1570
0</t>
  </si>
  <si>
    <t>315
2270
1570
3330</t>
  </si>
  <si>
    <t>280 - 333
333 nominal</t>
  </si>
  <si>
    <t xml:space="preserve">100
</t>
  </si>
  <si>
    <t>5
5
5</t>
  </si>
  <si>
    <r>
      <t xml:space="preserve">Wick evaporator design most allow ready acces to wick unit for periodic replacment; efficient packaging and sealing of dried, spent wicks for disposal due to foul smell
</t>
    </r>
    <r>
      <rPr>
        <b/>
        <sz val="11"/>
        <color theme="1"/>
        <rFont val="Calibri"/>
        <family val="2"/>
        <scheme val="minor"/>
      </rPr>
      <t xml:space="preserve">less than mean for WRM
</t>
    </r>
    <r>
      <rPr>
        <sz val="11"/>
        <color theme="1"/>
        <rFont val="Calibri"/>
        <family val="2"/>
        <scheme val="minor"/>
      </rPr>
      <t>207h for 500 days</t>
    </r>
  </si>
  <si>
    <t>nearly complete water recovery
simple device
insensitive to feed stocks
operates at ambient internal pressure (easy sealing)
operates either intermittently or continuously</t>
  </si>
  <si>
    <t>enery intensive
large logistics resupply requirement (mass and volume of wicks)
requires pretreatment of urine solution</t>
  </si>
  <si>
    <t>regenerable wicks
increasing wicking effectivness
increased degree of energy recovery
building of an engineering dev unit</t>
  </si>
  <si>
    <t>Safe, when closed cycle is used and pretreatment of urine</t>
  </si>
  <si>
    <t>1
13
34
48
51</t>
  </si>
  <si>
    <t xml:space="preserve">
D=-1;Dev cost=63$M</t>
  </si>
  <si>
    <t>Artificial gill</t>
  </si>
  <si>
    <t>O2 generation</t>
  </si>
  <si>
    <t>O2 is extracted directly from air using regenerative O2 binding organometallic compounds such as hemoglobin. Would be ideal for collecting O2 from a plant growth chamber or Mars atmosphere.</t>
  </si>
  <si>
    <t>early stages of development</t>
  </si>
  <si>
    <r>
      <t xml:space="preserve">Atmospheric pressure control </t>
    </r>
    <r>
      <rPr>
        <b/>
        <sz val="11"/>
        <color theme="1"/>
        <rFont val="Calibri"/>
        <family val="2"/>
        <scheme val="minor"/>
      </rPr>
      <t>ACS</t>
    </r>
  </si>
  <si>
    <t>air-ACS</t>
  </si>
  <si>
    <t>sub-system</t>
  </si>
  <si>
    <t>ACS</t>
  </si>
  <si>
    <r>
      <t xml:space="preserve">Avionics Air Assembly </t>
    </r>
    <r>
      <rPr>
        <b/>
        <sz val="11"/>
        <color theme="1"/>
        <rFont val="Calibri"/>
        <family val="2"/>
        <scheme val="minor"/>
      </rPr>
      <t>AAA</t>
    </r>
  </si>
  <si>
    <t>air-THC</t>
  </si>
  <si>
    <t xml:space="preserve">
175</t>
  </si>
  <si>
    <t>175
175
94 (94 standby)</t>
  </si>
  <si>
    <t>10
14
56</t>
  </si>
  <si>
    <r>
      <t xml:space="preserve">Bacteria Filter Assembly </t>
    </r>
    <r>
      <rPr>
        <b/>
        <sz val="11"/>
        <color theme="1"/>
        <rFont val="Calibri"/>
        <family val="2"/>
        <scheme val="minor"/>
      </rPr>
      <t>BFE</t>
    </r>
  </si>
  <si>
    <t>13 bacteria filter elements (BFE) are included in the USOS ventilation system. 6 in Destiny, 4 in Unity, and 3 in Quest. Flowrates are 113 m³/h, 127 m³/h, and 85 m³/h. Each BFE consists of pleated borosilicate HEPA media containing 0.3-μm pores mounted in arectangular aluminum frame. Each BFE slides into a housing that acts as the interface to the ventilation system. The filter media is rated at 99.97-percent efficiency for 0.3-μm-diameter particles. The crew periodically removes the lint and large debris from the filter face as part of the in-flight preventive maintenance program. Because lint buildup contributes significantly to overall pressure drop, this preventive maintenance helps manage the rising rate of pressure drop. According to design specification, a clean BFE is designed to have no more than 82.2 Pa (0.33 in water (H2O)) pressure drop at 113 m3/hr (66.7 ft3/min) flow rate. At the end-of-life pressure drop of 124 Pa (0.5 in H2O), each filter must be able to load with 32 g of PM. Each BFE is valued at $25.000.</t>
  </si>
  <si>
    <t>9
9</t>
  </si>
  <si>
    <t>periotical remove of lint (assuming 2h/week); changeout of filter all 2 years of operation</t>
  </si>
  <si>
    <t>longer operationtime
decrease in unit cost</t>
  </si>
  <si>
    <t>10
22
23
34</t>
  </si>
  <si>
    <t>on ISS; pressure dropless than 0,08 kPa @113,3m³/hr(1889L/min)</t>
  </si>
  <si>
    <t>Blower</t>
  </si>
  <si>
    <r>
      <t xml:space="preserve">Bosch Reactor </t>
    </r>
    <r>
      <rPr>
        <b/>
        <sz val="11"/>
        <color theme="1"/>
        <rFont val="Calibri"/>
        <family val="2"/>
        <scheme val="minor"/>
      </rPr>
      <t>BR</t>
    </r>
  </si>
  <si>
    <t>CO2 reacts with H2 at 700-1000K in presence of a catalyst, produces solid C and potable H2O and heat. Activated steel wool is generally used as catalyst. Better catalyst (Ni, Ni/Fe, Ru/Fe) are in development to increase efficiency and lower reactor T. Single-Pass has only 10% efficiency, so recycle mode must used. reactant molar H2:CO2 ratio should 2:1. periodic replacement of catalyst is necessary due solid C deposits. Chemical reactions in Bosch process can separated into low and high T. So better use two reactors in series. Also efficiency can increased by operating over a range of T, since optimum T changes as carbon in deposited. Use of CO2 laser would improve reduction reacion. 20 man-day per cartridge. second data is for theoretical processing of 1kg/s CO2 (three compressors) [19], third per kg-day of CO2 removal [27], unknown [13], crew of 6 for 400 days [34]</t>
  </si>
  <si>
    <t>239
162
1650
950
242</t>
  </si>
  <si>
    <t>800 - 1000
922 nominal
1303
700-1000</t>
  </si>
  <si>
    <t>6
6
4</t>
  </si>
  <si>
    <t>8 min per cartidge assumed, holds 20 CM-d</t>
  </si>
  <si>
    <t>no overboad venting
100% conversion efficiency</t>
  </si>
  <si>
    <t>high maintance (replacment of catalyst beds)
semi-batch operation of catlyst beds
hight operating temperature</t>
  </si>
  <si>
    <t>structural integrity of ceramic heat exchanger
recyclability of catalyst beds
cold seal reactor volume reduction</t>
  </si>
  <si>
    <t>Safe, but concernes about high heat</t>
  </si>
  <si>
    <t>CO2+2H2-&gt;C+2H2O+heat</t>
  </si>
  <si>
    <t>0,145 gas
(0,025 liquid)</t>
  </si>
  <si>
    <t>54,5 % H2 (-H2)
45,4 % CO2
0,1 % N
(H2O)</t>
  </si>
  <si>
    <t>0,009 gas
0,102 liquid
0,0034 solid</t>
  </si>
  <si>
    <t>6,3 % N (O2)
70,3 % H2O (-H2O)
23,4 % C</t>
  </si>
  <si>
    <t>1
19
27
13
34
26</t>
  </si>
  <si>
    <t>fourth technical data for comparison with co-electroylysis and sabatier (includes electrolysis for O2 generation)</t>
  </si>
  <si>
    <t>Cabin Diffuser Assembly</t>
  </si>
  <si>
    <t>Cabin pressure sensor</t>
  </si>
  <si>
    <t>monitor</t>
  </si>
  <si>
    <t>PCP</t>
  </si>
  <si>
    <t>on ISS; accuracy = 2,413 kPa</t>
  </si>
  <si>
    <t>Safe, but vacuum leakage must prevented as much as possible</t>
  </si>
  <si>
    <t>45; 50</t>
  </si>
  <si>
    <t>Catalyst Element Assembly</t>
  </si>
  <si>
    <t>10
13</t>
  </si>
  <si>
    <t>on ISS; pressure drop nearly linear from 0,05 kPa at 34 m³/hr to 0,249 kPa at 85m³/hr up to 0,45 kPa at 119 m³/hr [33]</t>
  </si>
  <si>
    <r>
      <t xml:space="preserve">Catalytic Oxidizer Assembly </t>
    </r>
    <r>
      <rPr>
        <b/>
        <sz val="11"/>
        <color theme="1"/>
        <rFont val="Calibri"/>
        <family val="2"/>
        <scheme val="minor"/>
      </rPr>
      <t>COA</t>
    </r>
  </si>
  <si>
    <t>insulation</t>
  </si>
  <si>
    <t>673 (811 max)</t>
  </si>
  <si>
    <t>connector seals can easily be changed; replaced each entire year of service [10]</t>
  </si>
  <si>
    <t>no maintance needed and high reliability</t>
  </si>
  <si>
    <t>10; 21</t>
  </si>
  <si>
    <r>
      <t xml:space="preserve">CO2 electrolysis </t>
    </r>
    <r>
      <rPr>
        <b/>
        <sz val="11"/>
        <color theme="1"/>
        <rFont val="Calibri"/>
        <family val="2"/>
        <scheme val="minor"/>
      </rPr>
      <t>COE</t>
    </r>
  </si>
  <si>
    <t>CO2 reduction</t>
  </si>
  <si>
    <t>800 - 1200</t>
  </si>
  <si>
    <t>dual purbose of CO2 reduction and O2 production</t>
  </si>
  <si>
    <t>high process T
ceramic-to-ceramic seals
possible CO leakage hazard</t>
  </si>
  <si>
    <t>CO2+H2O -&gt; CO+O2+H2
2CO -&gt; C+CO2</t>
  </si>
  <si>
    <t>1 gas
0,969 or 0 liquid</t>
  </si>
  <si>
    <t>CO2
H2O</t>
  </si>
  <si>
    <t>(1,567 or 0,727) + x gas
solid</t>
  </si>
  <si>
    <t>O2 + CH4 + H2
C</t>
  </si>
  <si>
    <t>1; 19
13
34</t>
  </si>
  <si>
    <t>technical data for comparison with sabatier and bosch</t>
  </si>
  <si>
    <r>
      <t xml:space="preserve">Common Cabin Air Assembly </t>
    </r>
    <r>
      <rPr>
        <b/>
        <sz val="11"/>
        <color theme="1"/>
        <rFont val="Calibri"/>
        <family val="2"/>
        <scheme val="minor"/>
      </rPr>
      <t>CCAA</t>
    </r>
  </si>
  <si>
    <t>THC</t>
  </si>
  <si>
    <t xml:space="preserve">
0</t>
  </si>
  <si>
    <t>10
14
23</t>
  </si>
  <si>
    <t>storage</t>
  </si>
  <si>
    <t>&lt; 93,15</t>
  </si>
  <si>
    <t>101 up to high pressure</t>
  </si>
  <si>
    <t>high storage density
reduced mass
higher safety
usable as refrigeration source</t>
  </si>
  <si>
    <t>sensitive to heat leaks
fluid delivery more complex
some analysis &amp; design problems</t>
  </si>
  <si>
    <t>in development at spaceX</t>
  </si>
  <si>
    <t>1
11
27</t>
  </si>
  <si>
    <t>see high pressure storage</t>
  </si>
  <si>
    <t>waste-WM</t>
  </si>
  <si>
    <t>Dry incineration involves the cumbustion of a concentrated solid waste feed consisting of human feces, urine and non human waste. Pretreatment by evaporation do a solid content of about 50 wt-% are necessary. The waste is then heated in O2 to about 813 K. The end products of dry incineration are sterile, and consists of water condensate, inorganic ash and gases (primarily CO2). A catalytic afterburner are required for acceptable combustion efficiency.  Data for crew of 6 for 400 days [34]</t>
  </si>
  <si>
    <t>290 - 813</t>
  </si>
  <si>
    <t>oxidizes most of the important biological elements to their heighest oxidation state (for fertilizer)
yields Nitrate (NO3-)(for plants)</t>
  </si>
  <si>
    <t>incomplete combustion
pre- and posttreatment
effective sinks for nitrite (NO2-) needed (phytotoxic)</t>
  </si>
  <si>
    <t>1; 34</t>
  </si>
  <si>
    <t>has the potential for being much more efficient than other CO2 removal tech</t>
  </si>
  <si>
    <t>1; 26
34</t>
  </si>
  <si>
    <r>
      <t xml:space="preserve">Electrochemical depolarization concentration </t>
    </r>
    <r>
      <rPr>
        <b/>
        <sz val="11"/>
        <color theme="1"/>
        <rFont val="Calibri"/>
        <family val="2"/>
        <scheme val="minor"/>
      </rPr>
      <t>EDC</t>
    </r>
  </si>
  <si>
    <t>336
336
393</t>
  </si>
  <si>
    <t>148 AC; 106 DC
60
42
44
-86
-619</t>
  </si>
  <si>
    <t>291 - 297
291-300</t>
  </si>
  <si>
    <t xml:space="preserve">
101</t>
  </si>
  <si>
    <t>6
6
6
5</t>
  </si>
  <si>
    <t xml:space="preserve">
4600</t>
  </si>
  <si>
    <t>CO2 concentration capacity may be regulated by current adjustment; capacity to handle large CO2 overload situations
DC power is generated
good cabin rel humidity toler.</t>
  </si>
  <si>
    <t>heat generated
requires supply of H2
O2 is consumed; requires larger O2 generation system
potential H2 leakage; fire/ explosion hazard</t>
  </si>
  <si>
    <t>Safe, but of potential fire/explosion hazard (same for electrolyzers)</t>
  </si>
  <si>
    <t>2CO2+2H2+O2 -&gt; 2H2O+2CO2+DCpower+heat</t>
  </si>
  <si>
    <t>2610 gas</t>
  </si>
  <si>
    <t>99,99 % cabin air
0,01 % H2</t>
  </si>
  <si>
    <t>99,77 % purified air
0,002 % H2
0,15 % CO2
0,08 % H2O</t>
  </si>
  <si>
    <t>1
27
13
34
46
51</t>
  </si>
  <si>
    <t>It is a non-thermal electrolysis process which degrades organic, solid waste materials and urine by oxidation to CO2, N2, O2 and H2 at the surface of catalytic electrodes. Lower power requirements than SCWO, Wet Oxidation or Dry Incineration.</t>
  </si>
  <si>
    <t>low temperatures
no consumption of O2
lower power requirements</t>
  </si>
  <si>
    <r>
      <t xml:space="preserve">Electrodialysis </t>
    </r>
    <r>
      <rPr>
        <b/>
        <sz val="11"/>
        <color theme="1"/>
        <rFont val="Calibri"/>
        <family val="2"/>
        <scheme val="minor"/>
      </rPr>
      <t>EDI</t>
    </r>
  </si>
  <si>
    <t>filtration</t>
  </si>
  <si>
    <t>System is divided into three adjacent compartments: a diluting compartment bordered on either side by a concentrating compartment where waste water enters. Ions in this water react with ion exchange resins and transfered through this resins. Due to the semipermeability properties of the ion exchange membranes, ion concentration will decrease in this comparment and increase in the concentrating compartments. Outputs are brine from the concentrating and purified deionized water from the diluting compartment. pre- and post-treatment is required. technical data is for 240 people!, crew of 6 for 400 days [34]</t>
  </si>
  <si>
    <t xml:space="preserve">
759</t>
  </si>
  <si>
    <t xml:space="preserve">460
</t>
  </si>
  <si>
    <t>460
460</t>
  </si>
  <si>
    <t>283 - 308
295 nominal</t>
  </si>
  <si>
    <t>140 - 420
280 nominal</t>
  </si>
  <si>
    <t xml:space="preserve">98
</t>
  </si>
  <si>
    <t>4
4</t>
  </si>
  <si>
    <t>cleanable by flushing</t>
  </si>
  <si>
    <t>capable of deionizing a wide range of feeds
no chemical required
no waste neutralization required
no corrosion problems</t>
  </si>
  <si>
    <t>high complexity (compared to MF)</t>
  </si>
  <si>
    <t>ion transport</t>
  </si>
  <si>
    <t>6000 liquid</t>
  </si>
  <si>
    <t>100 % feed water</t>
  </si>
  <si>
    <t>gases:
0,0001 % H2
0,0008 % O2/Cl2
liquids:
98 % product water
2 % waste water</t>
  </si>
  <si>
    <t>1
34
48</t>
  </si>
  <si>
    <t>Electronic Interface Assembly</t>
  </si>
  <si>
    <t>Safe, if tank is safe</t>
  </si>
  <si>
    <t>Flowmeter</t>
  </si>
  <si>
    <t>Food lockers on ISS</t>
  </si>
  <si>
    <t>food-FM</t>
  </si>
  <si>
    <t>IR passes through a sample of cabin air, creating an IR adsorption spectrum with an interferometer.</t>
  </si>
  <si>
    <t>Some compounds are undetectable by IR
Inability to discriminate between related compounds</t>
  </si>
  <si>
    <t>Gas chromatograph/ Mass spectrometer GC/MS</t>
  </si>
  <si>
    <t>can detect low concentrations of contaminants</t>
  </si>
  <si>
    <r>
      <t xml:space="preserve">General Laboratory Active Cryogenic International Space Station (ISS) Experiment Refrigerator </t>
    </r>
    <r>
      <rPr>
        <b/>
        <sz val="11"/>
        <color theme="1"/>
        <rFont val="Calibri"/>
        <family val="2"/>
        <scheme val="minor"/>
      </rPr>
      <t>GLACIER</t>
    </r>
  </si>
  <si>
    <t>The GLACIER is a rear-breathing or water-cooled cryogenic freezer that provides cryogenic transportation and preservation of samples requiring temperatures between +4 °C (39 °F) and -160 °C (-301 °F). The cold volume of the unit has a generic design that allows multiple types of science samples requiring cryogenic thermal storage to use the GLACIER.</t>
  </si>
  <si>
    <t>25300 (max)
34800 max
41369</t>
  </si>
  <si>
    <t xml:space="preserve">
328000</t>
  </si>
  <si>
    <t>highly reliable
optimum for small amounts of fluid</t>
  </si>
  <si>
    <t>high mass at high pressures
material compatibility concern</t>
  </si>
  <si>
    <t>1; 9
51</t>
  </si>
  <si>
    <t>Type III: Metal liner with full composite overwrap, generally aluminum, with a carbon fiber composite. The composite materials carry the structural loads.
Type IV: An all-composite construction featuring a polymer (typically high-density polyethylene, or HDPE) liner with carbon fiber or hybrid carbon/glass fiber composite. The composite materials carry all of the structural loads.
The cost of Type III and Type IV vessels, however, is roughly two times greater than Type II vessels and 3.5 times greater than the all-metal Type I tanks.</t>
  </si>
  <si>
    <t>Hydrogen sensor</t>
  </si>
  <si>
    <t>OGS</t>
  </si>
  <si>
    <t>Hydrogen tank</t>
  </si>
  <si>
    <t>Inlet Deionizing Bed</t>
  </si>
  <si>
    <t>life limit of 6 years</t>
  </si>
  <si>
    <t xml:space="preserve">The air sample is ionized and the resulting ions are separated on the basis of molecular weight and analyzed by an ion detector. </t>
  </si>
  <si>
    <t>possible fastest analysis time, lowest weight and greatest flexibility</t>
  </si>
  <si>
    <t>412
100
400</t>
  </si>
  <si>
    <t xml:space="preserve">297
</t>
  </si>
  <si>
    <t>268
1400
1400</t>
  </si>
  <si>
    <r>
      <t xml:space="preserve">Lithium hydroxide </t>
    </r>
    <r>
      <rPr>
        <b/>
        <sz val="11"/>
        <color theme="1"/>
        <rFont val="Calibri"/>
        <family val="2"/>
        <scheme val="minor"/>
      </rPr>
      <t>LiOH</t>
    </r>
  </si>
  <si>
    <t>9
9</t>
  </si>
  <si>
    <t>highly reliable</t>
  </si>
  <si>
    <t>high weight penalty</t>
  </si>
  <si>
    <t>2LiOH+CO2-&gt;Li2CO3+H2O</t>
  </si>
  <si>
    <t>4 gas</t>
  </si>
  <si>
    <t>100 % CO2 (in cabin air)</t>
  </si>
  <si>
    <t>100 % water</t>
  </si>
  <si>
    <t>1; 13; 9; 20
34
45</t>
  </si>
  <si>
    <t>3000 $ estimated cost per canister, sums up to 60.000.000 $!</t>
  </si>
  <si>
    <r>
      <t xml:space="preserve">Lithium Hydroxide Sorbent Bed </t>
    </r>
    <r>
      <rPr>
        <b/>
        <sz val="11"/>
        <color theme="1"/>
        <rFont val="Calibri"/>
        <family val="2"/>
        <scheme val="minor"/>
      </rPr>
      <t>SBA</t>
    </r>
  </si>
  <si>
    <t>Low Pressure Nitrogen Regulator / Relief Valve
Assembly</t>
  </si>
  <si>
    <t>PCA</t>
  </si>
  <si>
    <t>Low Pressure Oxygen Regulator / Relief Valve
Assembly</t>
  </si>
  <si>
    <t>2 used on ISS</t>
  </si>
  <si>
    <r>
      <t xml:space="preserve">Major constituent analyser </t>
    </r>
    <r>
      <rPr>
        <b/>
        <sz val="11"/>
        <color theme="1"/>
        <rFont val="Calibri"/>
        <family val="2"/>
        <scheme val="minor"/>
      </rPr>
      <t>MCA</t>
    </r>
  </si>
  <si>
    <t>The MCA continuously monitors partial pressures of oxygen, carbon dioxide, hydrogen, methane, nitrogen, and water vapor m the space station atmosphere. Connection to the Sample Delivery System allows the MCA to draw atinosphere samples from modules. Second data is for crew of 6 on mars transit vehicle [14], ? (should be ISS) [33], for ISS [23]</t>
  </si>
  <si>
    <t xml:space="preserve">
290 - 300</t>
  </si>
  <si>
    <t>replaced every 2 yrs</t>
  </si>
  <si>
    <t>10
14
33</t>
  </si>
  <si>
    <r>
      <t xml:space="preserve">Manual Pressurization Equalization Valve
</t>
    </r>
    <r>
      <rPr>
        <b/>
        <sz val="11"/>
        <color theme="1"/>
        <rFont val="Calibri"/>
        <family val="2"/>
        <scheme val="minor"/>
      </rPr>
      <t>MPEV</t>
    </r>
  </si>
  <si>
    <t>9 used on ISS (24 with 1 spare [23]). Located in all hatches and used to equalize pressure in two adjacent pressurized modules prior to opening the hatch between them. Can also be used to collect atmo samples.</t>
  </si>
  <si>
    <t>11
23</t>
  </si>
  <si>
    <t>Medium Pressure Oxygen Regulator / Relief Valve
Assembly</t>
  </si>
  <si>
    <r>
      <t xml:space="preserve">Metal oxides </t>
    </r>
    <r>
      <rPr>
        <b/>
        <sz val="11"/>
        <color theme="1"/>
        <rFont val="Calibri"/>
        <family val="2"/>
        <scheme val="minor"/>
      </rPr>
      <t>METOX</t>
    </r>
  </si>
  <si>
    <t>413 (regeneration)</t>
  </si>
  <si>
    <t>moist process atmosphere</t>
  </si>
  <si>
    <t>limited lifetime of pellets
needs water for absorption</t>
  </si>
  <si>
    <t>1; 26; 27; 45</t>
  </si>
  <si>
    <t>2 h/y</t>
  </si>
  <si>
    <t>1; 14</t>
  </si>
  <si>
    <r>
      <t xml:space="preserve">Microgravity Experiment Research Locker Incubator </t>
    </r>
    <r>
      <rPr>
        <b/>
        <sz val="11"/>
        <color theme="1"/>
        <rFont val="Calibri"/>
        <family val="2"/>
        <scheme val="minor"/>
      </rPr>
      <t>MERLIN</t>
    </r>
  </si>
  <si>
    <t>MERLIN will be activated, using battery power, prior to loading onto the Space Shuttle. Once onboard the Space Shuttle, it is connected to power supplied from the vehicle. MERLIN will be deactivated briefly for transfer to ISS where it will be connected to a power source once onboard. Depending on the types of samples that are placed into MERLIN, it will be used as a refrigerator, freezer or incubator with temperature capabilities of -20.0°C (-4°F) to + 48.5°C (+119°F). The crew will perform maintenance and routine checks of the hardware. MERLIN can also be monitored and commanded from the ground.</t>
  </si>
  <si>
    <r>
      <t xml:space="preserve">Minus Eighty-Degree Laboratory Freezer for ISS </t>
    </r>
    <r>
      <rPr>
        <b/>
        <sz val="11"/>
        <color theme="1"/>
        <rFont val="Calibri"/>
        <family val="2"/>
        <scheme val="minor"/>
      </rPr>
      <t>MELFI</t>
    </r>
  </si>
  <si>
    <t>The freezer is based on the Reverse Brayton Thermodynamic Cycle which uses nitrogen gas as a working fluid. It includes four individually-controlled dewars which can be configured to support samples at temperatures between 10 degrees C and -99 degrees C.</t>
  </si>
  <si>
    <t>230
77</t>
  </si>
  <si>
    <t>283 - 338</t>
  </si>
  <si>
    <t xml:space="preserve">2-3
3
4
</t>
  </si>
  <si>
    <t>working capacity is about twice larger than 4BMS
 no trace contaminant found in system</t>
  </si>
  <si>
    <t>limited experimental data and testing results
 no prototype for system design analyses</t>
  </si>
  <si>
    <t>1
27
34
44</t>
  </si>
  <si>
    <t>535
860
546
536,06
900
170
1000
860
945
714
497</t>
  </si>
  <si>
    <t>283 - 423
283-477
290-480</t>
  </si>
  <si>
    <t>66
66</t>
  </si>
  <si>
    <t xml:space="preserve">8
8
6
9
8
9
</t>
  </si>
  <si>
    <t>1150 gas</t>
  </si>
  <si>
    <t>100 % air</t>
  </si>
  <si>
    <t>99,5 % air
0,5 % CO2</t>
  </si>
  <si>
    <t>1
10
12
14
9
27
34
42
43
44
45
46
56
23</t>
  </si>
  <si>
    <t>see above for components
In summary, the overall lessons learned from on-orbit operation of the CDRA were
- ECLS systems for extremely long missions must be designed for maintainability below the ORU level as a contingency measure, Contamination impacts must be part of design considerations and requirements,
- Engineers must be aware of the differences between testing on ground and operation in microgravity when assessing wear and long-term reliability in the presence of abrasive microparticles, New technology implementations should be fully qualified prior to flight to reduce future mitigation costs,
-To protect the subsystem supplier from problems caused by system-wide changes, funding should be provided to the subject matter expert to fully vet operational changes, System designs must incorporate emergency functionalities to allow recovery from known failure modes,
- Inter-system considerations should be made to prevent problems from one system to cascade into downstream systems.</t>
  </si>
  <si>
    <r>
      <t xml:space="preserve">Multi Bed Trace Contaminant Control </t>
    </r>
    <r>
      <rPr>
        <b/>
        <sz val="11"/>
        <color theme="1"/>
        <rFont val="Calibri"/>
        <family val="2"/>
        <scheme val="minor"/>
      </rPr>
      <t>TCCS</t>
    </r>
  </si>
  <si>
    <t>Air flows first through an nonregenerable activated charcoal bed, impregnated with phosphoric acid, for control of well-adsorbed contaminants, ammonia and water-soluble contaminants. A filter downstream prevents particulates from entering other parts of the system. About 30% enters the  smaller activated charocoal bed while the remaining is ducted to the cabin. Low air-flow rate there aids in removal of contaminants poorly adsorbed by charcoal. (This bed is reactivated by using heat and vacuum. At the end of desorption cycle the bed T is 366K and pressure is 6,7*10^-3 Pa. The required time is 195 minutes.) A nonregenerable LiOH presorbant bed prevent acid gases, like HCl, HF, or SO2, from entering the catalytic oxidixer downstream. The high temperature catalytic oxidizer contains an oxidation catalyst, like palladium on aluminia, and operates at 673K. His primary function is to oxidize hydrocarbons not adsorbed in the charocoal beds. The air then flows to the nonregenerable postsorbant LiOH bed which removes any undesirable acidic products of oxidation. Two units operates on ISS in Destiny and Node3. Technical data from for ISS [10]&amp;[23], second data is for crew of 6 on mars transit vehicle [14], third for crew of 4 [9], fourth per person [27]; fifth for crew of 6 [13], crew of 6 for 400 days ISS baseline and Improved with a regenerable sorbent bed that is regenerated using space vacuum [34], kg/CMd [43]</t>
  </si>
  <si>
    <t>723
720</t>
  </si>
  <si>
    <t>5
5
8
6
5</t>
  </si>
  <si>
    <t>versatile for non-specific - can control many different organic and inorganic airborne trace contaminants
provides for a country-fresh air environment</t>
  </si>
  <si>
    <t>data for load model is often qualitative; quantitative data on material off-gasing needed
SMAC levels are often based on qualitative considerations
catalyst poisoning must be taken into account
regenerable charcoal bed may needed for missions to Mars
long-term testing of an integrated TCC needed</t>
  </si>
  <si>
    <t>development of a method for activated charcoal regeneration without decrease of charcoal capacity
reliability and modes of failure of a TCC subsystem are unknown
quantitative data on the outlet of a TCC subsystem during long-term operation</t>
  </si>
  <si>
    <t>0,0154 gas (contaminants only)</t>
  </si>
  <si>
    <t>20 % O2
80 % N2
&lt;1 % contaminants</t>
  </si>
  <si>
    <t>20 % O2
80 % N2
&lt;1% traces of oxidation products</t>
  </si>
  <si>
    <t>1; 10; 23
14
9
21
13
34
34</t>
  </si>
  <si>
    <r>
      <t xml:space="preserve">Multifiltration </t>
    </r>
    <r>
      <rPr>
        <b/>
        <sz val="11"/>
        <color theme="1"/>
        <rFont val="Calibri"/>
        <family val="2"/>
        <scheme val="minor"/>
      </rPr>
      <t>MF</t>
    </r>
  </si>
  <si>
    <t>289 - 328
290</t>
  </si>
  <si>
    <t>70 - 210
101</t>
  </si>
  <si>
    <t>5
8
8
8
9</t>
  </si>
  <si>
    <r>
      <t xml:space="preserve">typical exchange at 15 days if used for complete treatment
</t>
    </r>
    <r>
      <rPr>
        <b/>
        <sz val="11"/>
        <color theme="1"/>
        <rFont val="Calibri"/>
        <family val="2"/>
        <scheme val="minor"/>
      </rPr>
      <t xml:space="preserve">best for WRM
</t>
    </r>
    <r>
      <rPr>
        <sz val="11"/>
        <color theme="1"/>
        <rFont val="Calibri"/>
        <family val="2"/>
        <scheme val="minor"/>
      </rPr>
      <t>128 for 500 days</t>
    </r>
  </si>
  <si>
    <t>contains all polishing elements in one catridge</t>
  </si>
  <si>
    <t>connot be regenerated practically
must be replaced and trashed</t>
  </si>
  <si>
    <t>regeneration technology
possibly improved sorbants for higher capacity</t>
  </si>
  <si>
    <t>sorption</t>
  </si>
  <si>
    <t>114 liquid
0,015 solid</t>
  </si>
  <si>
    <t>100 % water
solid:
0,01 % organic carbon
0,01 % inorganics</t>
  </si>
  <si>
    <t>114 liquid</t>
  </si>
  <si>
    <t>100 % water
solid:
0,001 organic carbon
0,0025 % inorganics</t>
  </si>
  <si>
    <t>1
9
13
13
48
51</t>
  </si>
  <si>
    <t xml:space="preserve">
D=-1;Dev cost=76$M</t>
  </si>
  <si>
    <t>Negative Pressure Relief Valve NPRV</t>
  </si>
  <si>
    <t>6 used on ISS (9 with 0 spares [23])</t>
  </si>
  <si>
    <t>on ISS; minimum flow rate = 0,567 kg/s [33]</t>
  </si>
  <si>
    <t>Nitrogen / Oxygen Pressure Restrictor</t>
  </si>
  <si>
    <t>Nitrogen / Oxygen Pressure Sensor</t>
  </si>
  <si>
    <t>4 used on ISS, where no PCA installed</t>
  </si>
  <si>
    <t>Nitrogen from ammonia</t>
  </si>
  <si>
    <t>N2 generation</t>
  </si>
  <si>
    <t>needs preheater
ammonia is toxic
early stages of development</t>
  </si>
  <si>
    <t>Unsafe, because Ammonia is highly toxic</t>
  </si>
  <si>
    <t>2NH3+heat -&gt; N2+3H2</t>
  </si>
  <si>
    <t>Nitrogen from Hydrazine</t>
  </si>
  <si>
    <t>no external power required</t>
  </si>
  <si>
    <t>hydrazine is highly toxic</t>
  </si>
  <si>
    <t>Unsafe, because Hydrazine is higly toxic</t>
  </si>
  <si>
    <t>3N2H4 -&gt; 3N2+6H2+heat</t>
  </si>
  <si>
    <t>Nitrogen Latching Motor Valves NLMV</t>
  </si>
  <si>
    <t>2 used on ISS in AL</t>
  </si>
  <si>
    <t xml:space="preserve">
0</t>
  </si>
  <si>
    <r>
      <t xml:space="preserve">Nitrogen Interface Assembly </t>
    </r>
    <r>
      <rPr>
        <b/>
        <sz val="11"/>
        <color theme="1"/>
        <rFont val="Calibri"/>
        <family val="2"/>
        <scheme val="minor"/>
      </rPr>
      <t>NIA</t>
    </r>
  </si>
  <si>
    <t>3 used on ISS with 1 spare. Pressurizes the accumulator in the Internal Thermal Control System (ITCS) pump package assembly in the Low- and Moderate-Temperature Loop (LTL, MTL) and included in the PCA.</t>
  </si>
  <si>
    <t>Nitrogen Manual Isolation Valve</t>
  </si>
  <si>
    <t xml:space="preserve">
0; 48 peak</t>
  </si>
  <si>
    <t>Nitrogen Purge ORU</t>
  </si>
  <si>
    <t>Osmotic Membrances</t>
  </si>
  <si>
    <t>would likely result in simple, light, small, low power CO2 removal system</t>
  </si>
  <si>
    <t>inefficient process requires large membranes to remove relativly small quantities of CO2
poor gas selectivity results in CO2 return to cabin air</t>
  </si>
  <si>
    <t>1; 27</t>
  </si>
  <si>
    <t>0
17
0</t>
  </si>
  <si>
    <t>9
8</t>
  </si>
  <si>
    <t>very reliable</t>
  </si>
  <si>
    <t>high weight</t>
  </si>
  <si>
    <t>LiClO4 -&gt; ClLi + 2O2</t>
  </si>
  <si>
    <t>2,2 solid</t>
  </si>
  <si>
    <t>LiClO4</t>
  </si>
  <si>
    <t>0,8 gas
1,4 solid</t>
  </si>
  <si>
    <t>40 % O2
60 % ClLi</t>
  </si>
  <si>
    <t>13
27</t>
  </si>
  <si>
    <t>Oxygen Latching Motor Valves</t>
  </si>
  <si>
    <t>Oxygen Manual Isolation Valve</t>
  </si>
  <si>
    <t>3 used on ISS</t>
  </si>
  <si>
    <t>Oxygen Outlet</t>
  </si>
  <si>
    <t>Oxygen Relief Valve
Assembly</t>
  </si>
  <si>
    <t>Polar</t>
  </si>
  <si>
    <t>Polar is a Cold Stowage managed facility that provides transport and storage of science samples at cryogenic temperatures (-80ºC) to and from ISS.  Polar operates on 75 W supplied power and uses air cooling as its heat rejection method.  Polar can accommodate up to 12.75 liters of sample volume and 20 lbm including sample support equipment.</t>
  </si>
  <si>
    <r>
      <t xml:space="preserve">Portable Breathing Apparatus </t>
    </r>
    <r>
      <rPr>
        <b/>
        <sz val="11"/>
        <color theme="1"/>
        <rFont val="Calibri"/>
        <family val="2"/>
        <scheme val="minor"/>
      </rPr>
      <t>PBA</t>
    </r>
    <r>
      <rPr>
        <sz val="11"/>
        <color theme="1"/>
        <rFont val="Calibri"/>
        <family val="2"/>
        <scheme val="minor"/>
      </rPr>
      <t xml:space="preserve">
Quick Disconnect</t>
    </r>
  </si>
  <si>
    <t>PBA</t>
  </si>
  <si>
    <t>on ISS; flow rate = 1,36 kg/hr [33]</t>
  </si>
  <si>
    <t>Positive Pressure Relief
Valve PPRV</t>
  </si>
  <si>
    <t>6 used on ISS</t>
  </si>
  <si>
    <t>on ISS; flow rate = 0,1134 kg/s [33]</t>
  </si>
  <si>
    <t>Power Supply Module</t>
  </si>
  <si>
    <r>
      <t xml:space="preserve">Pressure Control Assembly </t>
    </r>
    <r>
      <rPr>
        <b/>
        <sz val="11"/>
        <color theme="1"/>
        <rFont val="Calibri"/>
        <family val="2"/>
        <scheme val="minor"/>
      </rPr>
      <t>PCA</t>
    </r>
  </si>
  <si>
    <t>One PCA per module. Monitors and controls total habitat pressure by controlling O2 and N2 partial pressures. It provides for controlled venting to space and provides controlled repressurization capability.</t>
  </si>
  <si>
    <r>
      <t xml:space="preserve">Pressure Control Panel </t>
    </r>
    <r>
      <rPr>
        <b/>
        <sz val="11"/>
        <color theme="1"/>
        <rFont val="Calibri"/>
        <family val="2"/>
        <scheme val="minor"/>
      </rPr>
      <t>PCP</t>
    </r>
  </si>
  <si>
    <r>
      <rPr>
        <b/>
        <sz val="11"/>
        <color theme="1"/>
        <rFont val="Calibri"/>
        <family val="2"/>
        <scheme val="minor"/>
      </rPr>
      <t>88</t>
    </r>
    <r>
      <rPr>
        <sz val="11"/>
        <color theme="1"/>
        <rFont val="Calibri"/>
        <family val="2"/>
        <scheme val="minor"/>
      </rPr>
      <t xml:space="preserve">
18
16</t>
    </r>
  </si>
  <si>
    <t xml:space="preserve">
286 -338,7 </t>
  </si>
  <si>
    <t xml:space="preserve">
0 - 104,8</t>
  </si>
  <si>
    <t>11
23
33</t>
  </si>
  <si>
    <t>Process Controller</t>
  </si>
  <si>
    <t>life limit of 1 year!</t>
  </si>
  <si>
    <t>highly efficient electrostatic precipitator
relativly simple
low operation temperature
possible long life operation</t>
  </si>
  <si>
    <t>high power requirement
possible decrements in performance caused by surrounding electromagnetic interference</t>
  </si>
  <si>
    <r>
      <t xml:space="preserve">Reverse osmosis </t>
    </r>
    <r>
      <rPr>
        <b/>
        <sz val="11"/>
        <color theme="1"/>
        <rFont val="Calibri"/>
        <family val="2"/>
        <scheme val="minor"/>
      </rPr>
      <t>RO</t>
    </r>
  </si>
  <si>
    <t>15
0</t>
  </si>
  <si>
    <t>20
80</t>
  </si>
  <si>
    <t>280 - 320
295 nominal</t>
  </si>
  <si>
    <t>310 - 3100
2750 nominal</t>
  </si>
  <si>
    <t>5
5
6</t>
  </si>
  <si>
    <t>very low energy consumption
no requirement for a gas-liquid phase separator
operates at low temperatures</t>
  </si>
  <si>
    <t>high pressure needed
pre- and post-treatment</t>
  </si>
  <si>
    <t>membrane improvments to eliminate the need of pre- and posttreatment</t>
  </si>
  <si>
    <t>Safe, but only if high pressure can made safe</t>
  </si>
  <si>
    <t>1
34
48
51</t>
  </si>
  <si>
    <r>
      <t xml:space="preserve">Sabatier Reactor </t>
    </r>
    <r>
      <rPr>
        <b/>
        <sz val="11"/>
        <color theme="1"/>
        <rFont val="Calibri"/>
        <family val="2"/>
        <scheme val="minor"/>
      </rPr>
      <t>SR</t>
    </r>
  </si>
  <si>
    <t>CO2 react with H2 at 480-800 K in presence of ruthenium catalyst on a high granular substrate producing methane and water. Input gases must be free of contaminant gases! Effective catalyst is 20 wt-% ruthenium supported on alumenia. Reaction begins at 450 K and from then is self-sustaining. Above 866K reverse endothermic reaction occurs which prevents overheating. Molar ratios of H2/CO2 ranging from 1,8 to 5 with the lean component is H2 for molar ratios of H2/CO2 from 1,8 to 4 and CO2 from molar ratios from 4 to 5. By-products (C or CO) are minimized when H2/CO2 feed ratios slightly exceed stochiometric values, ie 4:1. First data kg/CM [1], Second technical data for crew of 6 on Mars Trasit Vehicle [14], third for crew of 3 [9], forth theoretical processing of 1kg/s COs [19], fifth per kg-day of CO2 removed [27], unknown [13], 6 crew for 400 days [34], kg/CMd [43], specific heat production [26], Crew of 6 for STS LARS study [20], Crew of 9 for 500 day mission [51]</t>
  </si>
  <si>
    <t>5
7
8
6</t>
  </si>
  <si>
    <t>- design of major components, catalyst and subsystem configuration are  mature level
- reliable operation
- short start-up time
- signifigant savings in weight, power, volume and resupply compared to Bosch
- single pass efficiency &gt;99%</t>
  </si>
  <si>
    <t>- recovered water contains dissolved gases (CO2, CH4)
- N2 will be vented with CH4
- catalyst susceptible to poisoning by solid amine vapors
- increases water resupply and requires methane handling</t>
  </si>
  <si>
    <t>- development of a posttreatment process for the formation of dense carbon by the pyrolysis of methane</t>
  </si>
  <si>
    <t>CO2+4H2 -&gt; CH4+2H2O+heat</t>
  </si>
  <si>
    <t>1
14
9
19
27
13
34
43
26
20
51</t>
  </si>
  <si>
    <t>for food rehydration and heating</t>
  </si>
  <si>
    <t>Sodasorb</t>
  </si>
  <si>
    <t>CO2+H2O + NaOH + Ca(OH)2 -&gt; 2H2O + CaCO3 + Heat</t>
  </si>
  <si>
    <t>1; 26</t>
  </si>
  <si>
    <r>
      <t xml:space="preserve">Solid amine water desorption </t>
    </r>
    <r>
      <rPr>
        <b/>
        <sz val="11"/>
        <color theme="1"/>
        <rFont val="Calibri"/>
        <family val="2"/>
        <scheme val="minor"/>
      </rPr>
      <t>SAWD</t>
    </r>
  </si>
  <si>
    <t>454
612</t>
  </si>
  <si>
    <t>454
150
570
612
1923
250</t>
  </si>
  <si>
    <t>292 - 300</t>
  </si>
  <si>
    <t>100 - 30</t>
  </si>
  <si>
    <t>6
6
5</t>
  </si>
  <si>
    <t>Amine resin degrade by steam during regeneration
degradation my yield toxic vapors; moisture content must be optimized and conrolled
excess moisture increases pressure drop and reduces CO2 capacity
for a low relative humidity in the cabin the CO2 Removal process does not work properly</t>
  </si>
  <si>
    <t>improved method of resin regeneration having a low power consumption; dev of a more stable resin</t>
  </si>
  <si>
    <t>Adsorption:
Amine + H2O -&gt; Amine - H2O
Amine - H2O -&gt; Amine - H2CO3
Desorption:
Amine - H2CO3 + steam heat -&gt; CO2 + H2O + Amine</t>
  </si>
  <si>
    <t>724 gas</t>
  </si>
  <si>
    <t>19,6 vol-% O2
78,6 vol-% N2
0,5 vol-% CO2
1,3 vol-% H2O vapor
trace contaminants</t>
  </si>
  <si>
    <t>721 gas</t>
  </si>
  <si>
    <t>19,7 vol-% O2
79 vol-% N2
1,3 vol-% H2O vapor
trace contaminants</t>
  </si>
  <si>
    <t>1
27
?
34
46
51
20</t>
  </si>
  <si>
    <t xml:space="preserve">
290</t>
  </si>
  <si>
    <t>nearly any
101</t>
  </si>
  <si>
    <t>4 (6)
7
8
8</t>
  </si>
  <si>
    <t>3H2O+energy -&gt; 2H2+H2O+O2+heat</t>
  </si>
  <si>
    <t>1; 14
34
52
10
9
42
43
56</t>
  </si>
  <si>
    <r>
      <t xml:space="preserve">Starved-air combustion </t>
    </r>
    <r>
      <rPr>
        <b/>
        <sz val="11"/>
        <color theme="1"/>
        <rFont val="Calibri"/>
        <family val="2"/>
        <scheme val="minor"/>
      </rPr>
      <t>SAC</t>
    </r>
  </si>
  <si>
    <t>Waste water solids must mechanically dewaterd before. The partly oxidized remains after the combustion exist through the furnace as gaseous effluent and can be fully oxidized in a catalytic oxidation unit. Catalytic oxidation uses relatively small amounts of O2. Ammonia from the combustion process is converted to N2 and water in the afterburner.</t>
  </si>
  <si>
    <t>Oxidation for sludge needs less O2 than dry incineration
more stable
easier to direct because contollable by adjusting the rate of gas input
fewer toxic emissions 
larger particulates</t>
  </si>
  <si>
    <t>pre- and posttreatment</t>
  </si>
  <si>
    <r>
      <t xml:space="preserve">Static feed water electrolysis </t>
    </r>
    <r>
      <rPr>
        <b/>
        <sz val="11"/>
        <color theme="1"/>
        <rFont val="Calibri"/>
        <family val="2"/>
        <scheme val="minor"/>
      </rPr>
      <t>SFWE</t>
    </r>
  </si>
  <si>
    <t>113
54
180</t>
  </si>
  <si>
    <t>39
60</t>
  </si>
  <si>
    <t>1470
959
1950
243</t>
  </si>
  <si>
    <t>up to 7*10^3 if desired</t>
  </si>
  <si>
    <t>8
3</t>
  </si>
  <si>
    <t>use same as SPWE</t>
  </si>
  <si>
    <t>not 100% efficient</t>
  </si>
  <si>
    <t>better anode/cathode material to increase cell life and reliability
improved electrolyte to reduce cell resistance and power requirements</t>
  </si>
  <si>
    <t>3H2O+energy -&gt; 2H2+O2+H2O+heat</t>
  </si>
  <si>
    <t>1; 13
34
52
53</t>
  </si>
  <si>
    <r>
      <t xml:space="preserve">Super critical waste oxidation </t>
    </r>
    <r>
      <rPr>
        <b/>
        <sz val="11"/>
        <color theme="1"/>
        <rFont val="Calibri"/>
        <family val="2"/>
        <scheme val="minor"/>
      </rPr>
      <t>SCWO</t>
    </r>
  </si>
  <si>
    <t>Process medium is supercritical water. Oxidation occurs in a single phase. If T and P are high enough, organic compounds, process atmo and trace contaminant gases are completly oxidized to CO2, H2 and N2. The reaction is fast and essentially complete oxidation. SCWO can handle all types of waste, in addition of processing condensate, wash and urine/flush water. It produces potable water from all input waste waters. Safety concern due to high pressure and temperature, material corrosive problems and the need of post-treatment to remove a few toxic product gases must be solved. First technical data for supporting 4 people [1], second data per crew member, based on lab breadboard design to supply 4 people [9], crew of 4 for 400 days [34]</t>
  </si>
  <si>
    <t>694
150
694</t>
  </si>
  <si>
    <t>360
90</t>
  </si>
  <si>
    <t>1440
360
1440</t>
  </si>
  <si>
    <t>647 - 1023
923
647</t>
  </si>
  <si>
    <t>3
3
4</t>
  </si>
  <si>
    <t>mean for WRM</t>
  </si>
  <si>
    <t>can combine oxidation of trace organic contaminants in air and air organic contaminants in water in a single unit
high destruction efficiencies at short residence time (&lt;5 min)
can be used to separate inorganic salts from water</t>
  </si>
  <si>
    <t>reactor operates at high P and T
since oxidation reactions are exothermic, T control may be difficult
metals may corrode and contaminate product water</t>
  </si>
  <si>
    <t>mass and energy balance on waste streams of interest are poorly defined
reliability and modes of failure of a corrosion resistant reactor material are needed
salt crystal nucleation &amp; growth
salt separation</t>
  </si>
  <si>
    <t>Unsafe, because of high pressure combinded with high temperature at exothermic reaction. Also potential corrorsion with contamination of product water.</t>
  </si>
  <si>
    <t>Organic+O2 -&gt; CO2+H2O+N2</t>
  </si>
  <si>
    <t>2,59 gas
25,3 liquid
1,27 solid</t>
  </si>
  <si>
    <t>3,77 gas
25,3 liquid
0,098 solid</t>
  </si>
  <si>
    <t>1
9
34</t>
  </si>
  <si>
    <t>Superoxides</t>
  </si>
  <si>
    <t>423 (desorption)</t>
  </si>
  <si>
    <t>sucessfully used on many missions</t>
  </si>
  <si>
    <t>overheating problems
low efficiency of 50-80% when use of KO2
limited to about 90 cycles</t>
  </si>
  <si>
    <t>Safe, but overheating problems are a concern</t>
  </si>
  <si>
    <t>for carbonate
K2CO3(s)+CO2(g)+H2O(g)
&lt;-&gt;2KHCO3(s) s:solid; g:gas
for potassium:
4KO2+3H2O+2CO2-&gt;
2(K2CO3*3/2H2O)+3O2+heat</t>
  </si>
  <si>
    <t>0,309 gas
1 solid</t>
  </si>
  <si>
    <t>100 % cabin air
100% KO2</t>
  </si>
  <si>
    <t>0,38 gas
(1 solid)</t>
  </si>
  <si>
    <t>100 % O2
(100 % KO2)</t>
  </si>
  <si>
    <t>1; 45
26</t>
  </si>
  <si>
    <t>Has to control comfortable atmo for crew and avoidance of condensing water. Condensing heat exchanges (CHX) effect both. Thermal control is archieved by transferring internal heat load and external heat fluxes to a water coolant loop. Plate fin heat exchanger have proven to be superior. Humidity is removed by decreasing air T below its dew point and separating the condensed water. This is realized by including a slurper into the air discharge face of the CHX.</t>
  </si>
  <si>
    <t>170
500
-300</t>
  </si>
  <si>
    <t>170
500
1634</t>
  </si>
  <si>
    <t>336 - 339</t>
  </si>
  <si>
    <t>4-5
4
6</t>
  </si>
  <si>
    <r>
      <t xml:space="preserve">longest hands-off run was 20 days (1987)
</t>
    </r>
    <r>
      <rPr>
        <b/>
        <sz val="11"/>
        <color theme="1"/>
        <rFont val="Calibri"/>
        <family val="2"/>
        <scheme val="minor"/>
      </rPr>
      <t xml:space="preserve">worst for WRM
</t>
    </r>
    <r>
      <rPr>
        <sz val="11"/>
        <color theme="1"/>
        <rFont val="Calibri"/>
        <family val="2"/>
        <scheme val="minor"/>
      </rPr>
      <t>36 for 500 days</t>
    </r>
  </si>
  <si>
    <t>circulation waste fluid is contained within hollow fiber membranes in the evaporating section
recycle fluid loop is at atmosheric pressure
static evaporation and condensing surfaces</t>
  </si>
  <si>
    <t>the large number of organic fibers could be attacked by the acid oxidizing environment and fail
plugging of small diameter tubes can result in a plugging/ maintenance problem
more breakdown of urea due to higher T causing poorer water quality than VCD
about twice the energy per kg water recovered as VCD
requires pretreatment</t>
  </si>
  <si>
    <t>reliability improvments
ability to achieve higher water recovery</t>
  </si>
  <si>
    <t>Urea -&gt; NH3+CO2 (side reaction)</t>
  </si>
  <si>
    <t>21,8 liquid
0,7 solid</t>
  </si>
  <si>
    <t>0,7 gas
21,1 liquid
0,7 solid</t>
  </si>
  <si>
    <t>1; 13
34
48
51</t>
  </si>
  <si>
    <t xml:space="preserve">
D=0;Dev cost=157$M</t>
  </si>
  <si>
    <r>
      <t xml:space="preserve">Ultrafiltration </t>
    </r>
    <r>
      <rPr>
        <b/>
        <sz val="11"/>
        <color theme="1"/>
        <rFont val="Calibri"/>
        <family val="2"/>
        <scheme val="minor"/>
      </rPr>
      <t>UF</t>
    </r>
  </si>
  <si>
    <t>This is a process that filters most suspended solids and macromolecules, while allowing low molecular weight salts and water to permeate the membrane. The driving force is low pressure and the selective separation of Ions is relativly good.</t>
  </si>
  <si>
    <t>115
30
397
440
0</t>
  </si>
  <si>
    <t>115
30
397
65
440
1005
315</t>
  </si>
  <si>
    <t>289 - 311
290</t>
  </si>
  <si>
    <t>5
5
8
6
9</t>
  </si>
  <si>
    <t>low power consumption due to passive latent heat recovery
produces slightly higher quality and processes higher flow rates than TIMES
can tolerate high solid concentrations within the recylce loop
self-regulating process
insensitive to plugging or rupture</t>
  </si>
  <si>
    <t>generation of gaseous products which must be vented
processors have not been operated in steady state mode
feed stream is pretreated
less than 100% water recovery necessitates brine storage
requires a liquid droplet containment device in the event of power failure</t>
  </si>
  <si>
    <t>adapt processor for steady state operation
remove pretreatment of inlet stream
develop modes of operation which minimizes the generation of NH3</t>
  </si>
  <si>
    <t>Urea+H2O -&gt; NH3+CO2</t>
  </si>
  <si>
    <t>32,64 liquid
0,87 solid</t>
  </si>
  <si>
    <t>liquid:
34,8 % flush water
0,58 % pretreat water
solid:
0,005 % ozone
0,01 % sulfuric acid
64,61 % urine (=96%water)</t>
  </si>
  <si>
    <t>0,03 gas
32,64 liquid
0,84 solid</t>
  </si>
  <si>
    <t>gas:
ammonia
CO2
liquid:
34,8 % flush water
0,58 % pretreat water
solid:
0,005 % ozone
0,01 % sulfuric acid
64,61 % urine (=96%water)</t>
  </si>
  <si>
    <t>1
9
13
34
43
48
51</t>
  </si>
  <si>
    <t xml:space="preserve">
D=0;Dev cost=164$M</t>
  </si>
  <si>
    <t>100
2232400
160</t>
  </si>
  <si>
    <t>100
2232400
2380
160</t>
  </si>
  <si>
    <t>350 - 723</t>
  </si>
  <si>
    <t>50 - 200 
80 nominal</t>
  </si>
  <si>
    <t>3
6
4</t>
  </si>
  <si>
    <t>worst for wrm</t>
  </si>
  <si>
    <t>- produces potable water
- catalytic beds decompose hydrocarbons and ammonia
- no pretreatment
- minimum posttreatment
- appears to have the highest potential for keeping the water system decontaminated over a long period of time
- capable of processing potable water, reducing WRM complexity by reducing the number of water processors.</t>
  </si>
  <si>
    <t>- low TRL
- higher energy usage than VCD
- possible compressor problems</t>
  </si>
  <si>
    <t>- development nedded on tube evaporator
- better compressor needed</t>
  </si>
  <si>
    <t>0,02 gas
13 liquid
0,45 solid</t>
  </si>
  <si>
    <t>0,08 gas
13 liquid
0,45 solid</t>
  </si>
  <si>
    <t>1
13
34
48</t>
  </si>
  <si>
    <t xml:space="preserve">
D=0;Dev cost=99$M</t>
  </si>
  <si>
    <r>
      <t xml:space="preserve">Vent and Relief Valve </t>
    </r>
    <r>
      <rPr>
        <b/>
        <sz val="11"/>
        <color theme="1"/>
        <rFont val="Calibri"/>
        <family val="2"/>
        <scheme val="minor"/>
      </rPr>
      <t>VRV</t>
    </r>
  </si>
  <si>
    <t>30
30</t>
  </si>
  <si>
    <t>Utilizes catalytic oxidation and may be more efficient in microbial control than other water recovery processes. Can simultaneously process solid and liquid wastes. The original WM-WS, including a plutonium heat source, was known as the radio isotope thermal engery (RITE) system.</t>
  </si>
  <si>
    <t>high temperature</t>
  </si>
  <si>
    <t>Unsafe, because of plutonium source</t>
  </si>
  <si>
    <t>Continously or frequently measurement of pH, ammonia content, total organic carbon, electrical conductivity and microbial concentration. Less frequent parameters are color, odor, turbidity, foaming and heavy metal concentrations. Commercial sensors are available for this measurements. Data is for crew of 6 on mars transfer vehicle [14], installed on ISS [23]</t>
  </si>
  <si>
    <t>1; 14
23</t>
  </si>
  <si>
    <t>life limit of 2,92 years</t>
  </si>
  <si>
    <t>- simple and therefore reliable
- does not penalize the hygiene water supply and helps control humidity</t>
  </si>
  <si>
    <t>- few interfaces</t>
  </si>
  <si>
    <t>2H2O+energy -&gt; 2H2+O2+heat</t>
  </si>
  <si>
    <t>2,41 - 3 gas</t>
  </si>
  <si>
    <t>O2 generated</t>
  </si>
  <si>
    <t>1; 25</t>
  </si>
  <si>
    <t xml:space="preserve">Wet oxidation involves the oxidation of either a dilute or concentrated waste slurry at an elevated pressure and temperature. Combustion takes place place in air of O2 at a pressure of about 14 Mpa and temperatures ranging from 473 to 573 K, producing largely CO2 and water. Cumbustion takes around 15 to 60 minutes. </t>
  </si>
  <si>
    <t>473 - 573</t>
  </si>
  <si>
    <t>14*10^3</t>
  </si>
  <si>
    <t>reduction of solid wastes to very small weight and volume of sterile, non degradable ash</t>
  </si>
  <si>
    <t>O2 requirement
potential hazard of high pressure
posttreatment by catalytic oxidation</t>
  </si>
  <si>
    <t>Safe, but high pressure is a concern, so it must be operated outside the hab volume.</t>
  </si>
  <si>
    <r>
      <t xml:space="preserve">Waste and Hygiene Compartment </t>
    </r>
    <r>
      <rPr>
        <b/>
        <sz val="11"/>
        <color theme="1"/>
        <rFont val="Calibri"/>
        <family val="2"/>
        <scheme val="minor"/>
      </rPr>
      <t>WHC</t>
    </r>
  </si>
  <si>
    <r>
      <t xml:space="preserve">Water recovery system </t>
    </r>
    <r>
      <rPr>
        <b/>
        <sz val="11"/>
        <color theme="1"/>
        <rFont val="Calibri"/>
        <family val="2"/>
        <scheme val="minor"/>
      </rPr>
      <t>WRS</t>
    </r>
  </si>
  <si>
    <t>919,74
1360</t>
  </si>
  <si>
    <t>919,74
990
1270
1360
743</t>
  </si>
  <si>
    <t xml:space="preserve">
6
5</t>
  </si>
  <si>
    <t>14
34
34
48
56</t>
  </si>
  <si>
    <t>180 h/y</t>
  </si>
  <si>
    <t>see VPCAR</t>
  </si>
  <si>
    <t>Microbial check valve</t>
  </si>
  <si>
    <t>14; 13; 34</t>
  </si>
  <si>
    <t>Food packaging (inlcudes aluminum film, tubes ...)</t>
  </si>
  <si>
    <t>store food with required self life (12-18 months on ISS). Has often a second function of  directly servicable, so no need of dishes. Special events like depressurization must also be considered. See presentation [16] for pros and cons.</t>
  </si>
  <si>
    <t>25 % mass reduction due to Orion. 4 Meal replacment bars enabling 10% mass reduction.</t>
  </si>
  <si>
    <t>Conventional ovens</t>
  </si>
  <si>
    <t>Microwave ovens</t>
  </si>
  <si>
    <t>9; 34</t>
  </si>
  <si>
    <t>Diswasher</t>
  </si>
  <si>
    <t>Toilet</t>
  </si>
  <si>
    <t>90
31</t>
  </si>
  <si>
    <t>180
200</t>
  </si>
  <si>
    <t xml:space="preserve">
4</t>
  </si>
  <si>
    <t>9
34</t>
  </si>
  <si>
    <t>Shower</t>
  </si>
  <si>
    <t>1000
700</t>
  </si>
  <si>
    <t>9; 34
51</t>
  </si>
  <si>
    <t>Washing machine</t>
  </si>
  <si>
    <t>Clothes dryer</t>
  </si>
  <si>
    <t>Trash compactor/trash lock</t>
  </si>
  <si>
    <t>850
110</t>
  </si>
  <si>
    <t>Food restraints, handrails, aisle-mounted equipment anchors, tethers ... First data is for crew of 6 for 180 day mars tranfer mission, Second for ISS [9]</t>
  </si>
  <si>
    <t>100
83</t>
  </si>
  <si>
    <t>9
9</t>
  </si>
  <si>
    <t>Hand tools and accessories</t>
  </si>
  <si>
    <t>crew-CS</t>
  </si>
  <si>
    <t>Sleep provisions (restraints only)</t>
  </si>
  <si>
    <t>Crew quarter</t>
  </si>
  <si>
    <t>17
38</t>
  </si>
  <si>
    <t xml:space="preserve">
9</t>
  </si>
  <si>
    <t>42/24
48
56
11</t>
  </si>
  <si>
    <r>
      <t xml:space="preserve">Water processing assembly </t>
    </r>
    <r>
      <rPr>
        <b/>
        <sz val="11"/>
        <color theme="1"/>
        <rFont val="Calibri"/>
        <family val="2"/>
        <scheme val="minor"/>
      </rPr>
      <t>WPA</t>
    </r>
  </si>
  <si>
    <t>48
56</t>
  </si>
  <si>
    <r>
      <t xml:space="preserve">Coolant supply and return or Internal Thermal Control System </t>
    </r>
    <r>
      <rPr>
        <b/>
        <sz val="11"/>
        <color theme="1"/>
        <rFont val="Calibri"/>
        <family val="2"/>
        <scheme val="minor"/>
      </rPr>
      <t>ITCS</t>
    </r>
  </si>
  <si>
    <t>124-689</t>
  </si>
  <si>
    <t>Vacuum access jumper (hose)</t>
  </si>
  <si>
    <t>Portable breathing apparatus PBA</t>
  </si>
  <si>
    <t>11
9</t>
  </si>
  <si>
    <r>
      <t xml:space="preserve">Solid Electrolyte Oxygen System </t>
    </r>
    <r>
      <rPr>
        <b/>
        <sz val="11"/>
        <color theme="1"/>
        <rFont val="Calibri"/>
        <family val="2"/>
        <scheme val="minor"/>
      </rPr>
      <t>SEOS</t>
    </r>
  </si>
  <si>
    <t>The objective for the high pressure-high purity oxygen supply task is to develop the capability to recharge extravehicular activity (EVA) tanks as well as provide on-demand medical oxygen</t>
  </si>
  <si>
    <t>very low trl</t>
  </si>
  <si>
    <r>
      <t xml:space="preserve">High Pressure Electrolysis </t>
    </r>
    <r>
      <rPr>
        <b/>
        <sz val="11"/>
        <color theme="1"/>
        <rFont val="Calibri"/>
        <family val="2"/>
        <scheme val="minor"/>
      </rPr>
      <t>HPE</t>
    </r>
  </si>
  <si>
    <t>Hydrogen peroxide H2O2</t>
  </si>
  <si>
    <t>2H2O2 -&gt; O2 + 2H2O</t>
  </si>
  <si>
    <r>
      <t xml:space="preserve">Condensing Heat Exchanger </t>
    </r>
    <r>
      <rPr>
        <b/>
        <sz val="11"/>
        <color theme="1"/>
        <rFont val="Calibri"/>
        <family val="2"/>
        <scheme val="minor"/>
      </rPr>
      <t>CHX</t>
    </r>
  </si>
  <si>
    <t>HX ORU</t>
  </si>
  <si>
    <t>8
9</t>
  </si>
  <si>
    <t>23
34</t>
  </si>
  <si>
    <r>
      <t xml:space="preserve">Heat Exchanger </t>
    </r>
    <r>
      <rPr>
        <b/>
        <sz val="11"/>
        <color theme="1"/>
        <rFont val="Calibri"/>
        <family val="2"/>
        <scheme val="minor"/>
      </rPr>
      <t>HX ORU</t>
    </r>
  </si>
  <si>
    <t>CCAA</t>
  </si>
  <si>
    <t>Consist of CHX, Temperature Sensors, TCCV, and ducting hoses</t>
  </si>
  <si>
    <t>23
13</t>
  </si>
  <si>
    <r>
      <t xml:space="preserve">Temperature Control and Check Valve </t>
    </r>
    <r>
      <rPr>
        <b/>
        <sz val="11"/>
        <color theme="1"/>
        <rFont val="Calibri"/>
        <family val="2"/>
        <scheme val="minor"/>
      </rPr>
      <t>TCCV</t>
    </r>
  </si>
  <si>
    <t>Controls the amount of air that flows through or around the CHX. Depending on the amount of cooling required, the flow through the CHX will be more or less. PI-control scheme is used, but manual overwrite is allowed.</t>
  </si>
  <si>
    <t>23; 13</t>
  </si>
  <si>
    <t>Temperature Sensor ORU</t>
  </si>
  <si>
    <t>Liquid Sensor ORU</t>
  </si>
  <si>
    <t>Detects the presence of water on the duct wall downstream of the THC assembly.</t>
  </si>
  <si>
    <r>
      <t xml:space="preserve">Water seperator </t>
    </r>
    <r>
      <rPr>
        <b/>
        <sz val="11"/>
        <color theme="1"/>
        <rFont val="Calibri"/>
        <family val="2"/>
        <scheme val="minor"/>
      </rPr>
      <t>WS</t>
    </r>
  </si>
  <si>
    <t>Pressure Sensor for WS</t>
  </si>
  <si>
    <t>WS</t>
  </si>
  <si>
    <t>Bonded foil strain gauge type with proportional differential voltage output when the bridge is imbalanced. First value from text, second from table.</t>
  </si>
  <si>
    <r>
      <t xml:space="preserve">Electrical Interface Box </t>
    </r>
    <r>
      <rPr>
        <b/>
        <sz val="11"/>
        <color theme="1"/>
        <rFont val="Calibri"/>
        <family val="2"/>
        <scheme val="minor"/>
      </rPr>
      <t>EIB</t>
    </r>
  </si>
  <si>
    <t xml:space="preserve">Provides signal conditioning for sensors that are imcompatible with the MDM, on/off control, ... </t>
  </si>
  <si>
    <t>Intermodule Ventilation Fan Assembly</t>
  </si>
  <si>
    <t>IMV</t>
  </si>
  <si>
    <t>55
55
55</t>
  </si>
  <si>
    <r>
      <t xml:space="preserve">Intermodule Ventilation </t>
    </r>
    <r>
      <rPr>
        <b/>
        <sz val="11"/>
        <color theme="1"/>
        <rFont val="Calibri"/>
        <family val="2"/>
        <scheme val="minor"/>
      </rPr>
      <t>IMV</t>
    </r>
  </si>
  <si>
    <t>Ensures air circulation throughout the ISS to provide good distribution of O2, aid in removal of CO2 and trace contaminants, and help to maintain appropiate temperature and RH. Hardware consists of two ORUs and other hardware such as ducting.</t>
  </si>
  <si>
    <t>Intermodule Ventilation Valve Assembly</t>
  </si>
  <si>
    <t>Provides the capability to isolate the atmosphere from adjacent modules when the hatches are closed. The IMV valve thus allows or prevents atmosphere exchange between adjacent modules.</t>
  </si>
  <si>
    <t>Inlet ORU</t>
  </si>
  <si>
    <t>Consists of a fan assembly, a fan deltaP sensor, and an acoustic enclosure. The fan is an impeller design with axial rotation including stator vanes and flow distributor. The deltaP pressure sensor is a linear variable pressure transducer.</t>
  </si>
  <si>
    <t>23
13
33</t>
  </si>
  <si>
    <t>on ISS; normal outlet flow = 509,7 m³/hr with pressure rise of 0,4 kPa. Nearly linear up to 935 m³/hr with 1,145 kPa rise. Mass flow pressure correction is linear from 500kg/hr at 425m³/hr to 1134kg/hr at 935m³/hr.[33]</t>
  </si>
  <si>
    <r>
      <t xml:space="preserve">Cabin Air Ducting Damper Assembly </t>
    </r>
    <r>
      <rPr>
        <b/>
        <sz val="11"/>
        <color theme="1"/>
        <rFont val="Calibri"/>
        <family val="2"/>
        <scheme val="minor"/>
      </rPr>
      <t>CADDA</t>
    </r>
  </si>
  <si>
    <t>Manual Valves to close for maintance of the BFEs</t>
  </si>
  <si>
    <t>CDRA</t>
  </si>
  <si>
    <t>Desiccant bed</t>
  </si>
  <si>
    <t>13
11</t>
  </si>
  <si>
    <t>Heat exchanger</t>
  </si>
  <si>
    <t>Humidity sensor</t>
  </si>
  <si>
    <t>Pre-cooler</t>
  </si>
  <si>
    <t>Pressure sensor</t>
  </si>
  <si>
    <t>Pump</t>
  </si>
  <si>
    <t>Sample port</t>
  </si>
  <si>
    <t>Sorbent bed</t>
  </si>
  <si>
    <t>Temperature sensor</t>
  </si>
  <si>
    <t>Valve (check)</t>
  </si>
  <si>
    <t>Valve (3-way)</t>
  </si>
  <si>
    <t>Accumulator</t>
  </si>
  <si>
    <t>EDC</t>
  </si>
  <si>
    <t>Cell</t>
  </si>
  <si>
    <t>Combustible gas sensor</t>
  </si>
  <si>
    <t>Current controller</t>
  </si>
  <si>
    <t>Current sensor</t>
  </si>
  <si>
    <t>Filter</t>
  </si>
  <si>
    <t>Flow sensor</t>
  </si>
  <si>
    <t>Flow sensor controller</t>
  </si>
  <si>
    <t>Pressure controller</t>
  </si>
  <si>
    <t>Pressure regulator</t>
  </si>
  <si>
    <t>Valve (4-way)</t>
  </si>
  <si>
    <t>Valve (quick disconnect)</t>
  </si>
  <si>
    <t>Valve (selenoid liquid)</t>
  </si>
  <si>
    <t>Valve (electrical -1)</t>
  </si>
  <si>
    <t>Valve (electrical -2)</t>
  </si>
  <si>
    <t>Valve (relief)</t>
  </si>
  <si>
    <t>Voltage sensor</t>
  </si>
  <si>
    <t>Amine bed</t>
  </si>
  <si>
    <t>SAWD</t>
  </si>
  <si>
    <t>Crew 3, 2 units</t>
  </si>
  <si>
    <t>Conductivity sensor</t>
  </si>
  <si>
    <t>Crew 3, 3 units</t>
  </si>
  <si>
    <t>Crew 3, 5 units</t>
  </si>
  <si>
    <t>Valve (diverter)</t>
  </si>
  <si>
    <t>Valve (electric)</t>
  </si>
  <si>
    <t>SFWE</t>
  </si>
  <si>
    <t>Condenser/seperator</t>
  </si>
  <si>
    <t>Electrolysis stack</t>
  </si>
  <si>
    <t>COE</t>
  </si>
  <si>
    <t>CO/H2 reactor</t>
  </si>
  <si>
    <t>Compressor</t>
  </si>
  <si>
    <t>Condenser/ separator</t>
  </si>
  <si>
    <t>Flow restrictor</t>
  </si>
  <si>
    <t>Heater</t>
  </si>
  <si>
    <t>Humidifier</t>
  </si>
  <si>
    <t>Level sensor</t>
  </si>
  <si>
    <t>Valve (eletric)</t>
  </si>
  <si>
    <t>Valve (manual)</t>
  </si>
  <si>
    <t>VCD</t>
  </si>
  <si>
    <t>conductivity sensor</t>
  </si>
  <si>
    <t>Distillation assembly</t>
  </si>
  <si>
    <t>5 units</t>
  </si>
  <si>
    <t>Tank</t>
  </si>
  <si>
    <t>2 units</t>
  </si>
  <si>
    <t>3 units</t>
  </si>
  <si>
    <t>4 units</t>
  </si>
  <si>
    <t>TIMES</t>
  </si>
  <si>
    <t>Condenser/separator</t>
  </si>
  <si>
    <t>20kg/day model, 2 units</t>
  </si>
  <si>
    <t>20kg/day model, 3 units</t>
  </si>
  <si>
    <t>20kg/day model, 4 units</t>
  </si>
  <si>
    <t>20kg/day model, 8 units</t>
  </si>
  <si>
    <t>Thermo electric device</t>
  </si>
  <si>
    <t>Water evaporator</t>
  </si>
  <si>
    <t>VPCAR</t>
  </si>
  <si>
    <t>Mass flow controller</t>
  </si>
  <si>
    <t>Oxidation reactor</t>
  </si>
  <si>
    <t>6 units</t>
  </si>
  <si>
    <t>15 units</t>
  </si>
  <si>
    <t>Vacuum pump</t>
  </si>
  <si>
    <t>10 units</t>
  </si>
  <si>
    <t>Valve (needle)</t>
  </si>
  <si>
    <t>WFRD</t>
  </si>
  <si>
    <t>AES</t>
  </si>
  <si>
    <t>delta_p sensor</t>
  </si>
  <si>
    <t>Slurper</t>
  </si>
  <si>
    <t>Wick evaporator</t>
  </si>
  <si>
    <t>MF</t>
  </si>
  <si>
    <t>Ion exchange bed</t>
  </si>
  <si>
    <t>Multifiltration bed</t>
  </si>
  <si>
    <t>Particulate filter</t>
  </si>
  <si>
    <t>pH adjuster</t>
  </si>
  <si>
    <t>8 units</t>
  </si>
  <si>
    <t>SR</t>
  </si>
  <si>
    <t>Blower silencer</t>
  </si>
  <si>
    <t>Liquid trap</t>
  </si>
  <si>
    <t>Sabatier reactor unit</t>
  </si>
  <si>
    <t>13; 57</t>
  </si>
  <si>
    <t>BR</t>
  </si>
  <si>
    <t>Bosch reactor unit</t>
  </si>
  <si>
    <t>Electric valve</t>
  </si>
  <si>
    <t>9 units</t>
  </si>
  <si>
    <t>Flow sensor 1</t>
  </si>
  <si>
    <t>Flow sensor 2</t>
  </si>
  <si>
    <t>Pyrolisis</t>
  </si>
  <si>
    <t>13; 34</t>
  </si>
  <si>
    <t>Carbon formation reactor</t>
  </si>
  <si>
    <t>Treadmill</t>
  </si>
  <si>
    <t>Shuttle treadmill</t>
  </si>
  <si>
    <t>Rowing Machine</t>
  </si>
  <si>
    <t>Shuttle rowing machine</t>
  </si>
  <si>
    <t>Flex Hoses</t>
  </si>
  <si>
    <t>Quick Disconnects</t>
  </si>
  <si>
    <t>278 - 319</t>
  </si>
  <si>
    <r>
      <t xml:space="preserve">Solid Amine Vacuum Desorption </t>
    </r>
    <r>
      <rPr>
        <b/>
        <sz val="11"/>
        <color theme="1"/>
        <rFont val="Calibri"/>
        <family val="2"/>
        <scheme val="minor"/>
      </rPr>
      <t>SAVD</t>
    </r>
  </si>
  <si>
    <t>Like the SAWD except uses vacuum to pull CO2 and H2O from the solid amine beds. Includes a hydrophilic membrane stack prior to the amine bed, for moisture removal. If not venting to space vacuum, compressor development is required and TRL is lowered to the level of compressor development. data is for crew of 6 for 400 days and Water save CO2 with new amine, second old amine (RCRS) with no water saver (uses vacuum to pull CO2 and H2O [34]</t>
  </si>
  <si>
    <t>122
122</t>
  </si>
  <si>
    <t>3
9</t>
  </si>
  <si>
    <r>
      <t xml:space="preserve">Air Polarized Concentrator </t>
    </r>
    <r>
      <rPr>
        <b/>
        <sz val="11"/>
        <color theme="1"/>
        <rFont val="Calibri"/>
        <family val="2"/>
        <scheme val="minor"/>
      </rPr>
      <t>APC</t>
    </r>
  </si>
  <si>
    <t xml:space="preserve">
566</t>
  </si>
  <si>
    <t>285
763</t>
  </si>
  <si>
    <t xml:space="preserve">
291-300</t>
  </si>
  <si>
    <t xml:space="preserve">
101</t>
  </si>
  <si>
    <t>Safe, because it doesn´t use H2</t>
  </si>
  <si>
    <t>34
46</t>
  </si>
  <si>
    <t>Plasma Arc Thermal Destruction PATD</t>
  </si>
  <si>
    <t>Safe, but only few data available</t>
  </si>
  <si>
    <r>
      <t xml:space="preserve">Cascade Distillation Subsystem </t>
    </r>
    <r>
      <rPr>
        <b/>
        <sz val="11"/>
        <color theme="1"/>
        <rFont val="Calibri"/>
        <family val="2"/>
        <scheme val="minor"/>
      </rPr>
      <t>CDS</t>
    </r>
  </si>
  <si>
    <r>
      <t xml:space="preserve">Capillary Brine Residual in Containment Water Recovery System </t>
    </r>
    <r>
      <rPr>
        <b/>
        <sz val="11"/>
        <color theme="1"/>
        <rFont val="Calibri"/>
        <family val="2"/>
        <scheme val="minor"/>
      </rPr>
      <t>BRIC</t>
    </r>
  </si>
  <si>
    <r>
      <t xml:space="preserve">Ionomer-membrane Water Processor </t>
    </r>
    <r>
      <rPr>
        <b/>
        <sz val="11"/>
        <color theme="1"/>
        <rFont val="Calibri"/>
        <family val="2"/>
        <scheme val="minor"/>
      </rPr>
      <t>IWP</t>
    </r>
  </si>
  <si>
    <t>5-6</t>
  </si>
  <si>
    <r>
      <t xml:space="preserve">Heat Melt Compactor </t>
    </r>
    <r>
      <rPr>
        <b/>
        <sz val="11"/>
        <color theme="1"/>
        <rFont val="Calibri"/>
        <family val="2"/>
        <scheme val="minor"/>
      </rPr>
      <t>HMC</t>
    </r>
  </si>
  <si>
    <t>5?</t>
  </si>
  <si>
    <r>
      <t xml:space="preserve">Carbon Dioxide Concentration Assembly </t>
    </r>
    <r>
      <rPr>
        <b/>
        <sz val="11"/>
        <color theme="1"/>
        <rFont val="Calibri"/>
        <family val="2"/>
        <scheme val="minor"/>
      </rPr>
      <t>CCA</t>
    </r>
  </si>
  <si>
    <t>ACLS</t>
  </si>
  <si>
    <t xml:space="preserve">
250</t>
  </si>
  <si>
    <t>250
250</t>
  </si>
  <si>
    <t>Water Management System has DI and biocide units that must be replaced &lt;1 year</t>
  </si>
  <si>
    <t>58
46
51</t>
  </si>
  <si>
    <t>Intermodule Ventilation Tubes</t>
  </si>
  <si>
    <r>
      <t xml:space="preserve">Restraints and Mobility Aids </t>
    </r>
    <r>
      <rPr>
        <b/>
        <sz val="11"/>
        <color theme="1"/>
        <rFont val="Calibri"/>
        <family val="2"/>
        <scheme val="minor"/>
      </rPr>
      <t>R&amp;Mas</t>
    </r>
  </si>
  <si>
    <t>44.45
19.05</t>
  </si>
  <si>
    <t>0.1048
0.0991</t>
  </si>
  <si>
    <t>12.519
12.4</t>
  </si>
  <si>
    <t>0.033134
0.03</t>
  </si>
  <si>
    <t>102.1
700
102
68</t>
  </si>
  <si>
    <t>0.57
3.9
0.3
0.09</t>
  </si>
  <si>
    <t>83.853
7.26</t>
  </si>
  <si>
    <t>0.073492
0.013308918</t>
  </si>
  <si>
    <t>96.161
118.08
112</t>
  </si>
  <si>
    <t xml:space="preserve">
0.5
0.4</t>
  </si>
  <si>
    <t xml:space="preserve">
0.261</t>
  </si>
  <si>
    <t>7
3.177
623</t>
  </si>
  <si>
    <t>0.005
1.9</t>
  </si>
  <si>
    <t>54.7483
54.3
54.7486
54</t>
  </si>
  <si>
    <t>0.43896
0.09
0.4389
0.081</t>
  </si>
  <si>
    <t>48.1
16
57.15</t>
  </si>
  <si>
    <t>0.26
0.09</t>
  </si>
  <si>
    <t>0.33
0.387984
0.43
0.42
0.45
0.11
1.55
0.448
0.4814
0.386</t>
  </si>
  <si>
    <t>79.8318
85.81
80
100
78
83
77
20</t>
  </si>
  <si>
    <t>0.271866
0.4
0.75
0.3
0.27
0.25
0.13</t>
  </si>
  <si>
    <t>0.00124
0.04
2.36
1.18
1.81+0.43
0.1133+0.1793</t>
  </si>
  <si>
    <t>3.9
10
635
318
232+33.02
51.26+93.44</t>
  </si>
  <si>
    <t>8.5
55.79+33.11</t>
  </si>
  <si>
    <t>0.056
0.17+0.099</t>
  </si>
  <si>
    <t xml:space="preserve">
0.19
0.21
3
0.8
0.01
0.7079+0.3964+5.6634</t>
  </si>
  <si>
    <t>17.9
143.53
114
91
43
31
38
45.5
198.22+949.37+202.76</t>
  </si>
  <si>
    <t>51.3
17
59.86
55
99.79
149.69
59.8
44.45</t>
  </si>
  <si>
    <t>0.21
0.07
0.04
0.2039
0.708
0.1048</t>
  </si>
  <si>
    <t>378.86
64
63.5
446
210
676+399
35</t>
  </si>
  <si>
    <t>1
0.05
0,18</t>
  </si>
  <si>
    <t>0.14
0.03</t>
  </si>
  <si>
    <t>2.21
0.5
2.21</t>
  </si>
  <si>
    <t>101.2
25
128
48
25
378+172.69
156.94+131.09
291</t>
  </si>
  <si>
    <t>0.507
0.1
0.36
0.08
3.36+1.06
0.34+0.21
0.52</t>
  </si>
  <si>
    <t>68
283
283
176+36.29</t>
  </si>
  <si>
    <t>0.24
1.57
1.95+0.24</t>
  </si>
  <si>
    <t>14.07
38</t>
  </si>
  <si>
    <t>0.04
0.051</t>
  </si>
  <si>
    <t>40.4
47.17</t>
  </si>
  <si>
    <t>455+229
928+512
245
291</t>
  </si>
  <si>
    <t>5.6
40</t>
  </si>
  <si>
    <t>0.00131
0.19</t>
  </si>
  <si>
    <t>54.45
50</t>
  </si>
  <si>
    <t>0.108
0.4</t>
  </si>
  <si>
    <t>42
114.3</t>
  </si>
  <si>
    <t>0.06
0.197</t>
  </si>
  <si>
    <t xml:space="preserve">25.3
</t>
  </si>
  <si>
    <t>Provides ventilation between adjacent modules. Value is from table [23]</t>
  </si>
  <si>
    <t>68
352+182.35
225.89+90.27</t>
  </si>
  <si>
    <t>0.23
3.36+1.06
0.3964+0.1666</t>
  </si>
  <si>
    <t xml:space="preserve">
0.0033</t>
  </si>
  <si>
    <t>LiSTOT - Life Support Trade Off Tool</t>
  </si>
  <si>
    <t>[days]</t>
  </si>
  <si>
    <t>1. Mission Definition</t>
  </si>
  <si>
    <t>2. Multi-criteria Analysis</t>
  </si>
  <si>
    <t>Weighting Coefficients (optional)</t>
  </si>
  <si>
    <t>Minimum Value (optional)</t>
  </si>
  <si>
    <t>Maximum Value (optional)</t>
  </si>
  <si>
    <t>3. ESM Analysis</t>
  </si>
  <si>
    <t>Mission Parameters (required)</t>
  </si>
  <si>
    <t>ESM Factors (required)</t>
  </si>
  <si>
    <t>Crew Size:</t>
  </si>
  <si>
    <t>Mission Duration:</t>
  </si>
  <si>
    <t>Schedule Number:</t>
  </si>
  <si>
    <t>Mass:</t>
  </si>
  <si>
    <t>Volume:</t>
  </si>
  <si>
    <t>Power:</t>
  </si>
  <si>
    <t>Cooling:</t>
  </si>
  <si>
    <t>Maintenance:</t>
  </si>
  <si>
    <t>Reliability:</t>
  </si>
  <si>
    <t>TRL:</t>
  </si>
  <si>
    <t>Crew Time:</t>
  </si>
  <si>
    <t>[kg]</t>
  </si>
  <si>
    <r>
      <t>[m</t>
    </r>
    <r>
      <rPr>
        <vertAlign val="superscript"/>
        <sz val="11"/>
        <color theme="1"/>
        <rFont val="Calibri"/>
        <family val="2"/>
        <scheme val="minor"/>
      </rPr>
      <t>3</t>
    </r>
    <r>
      <rPr>
        <sz val="11"/>
        <color theme="1"/>
        <rFont val="Calibri"/>
        <family val="2"/>
        <scheme val="minor"/>
      </rPr>
      <t>]</t>
    </r>
  </si>
  <si>
    <t>[W]</t>
  </si>
  <si>
    <t>[h]</t>
  </si>
  <si>
    <t>[kg/kg]</t>
  </si>
  <si>
    <r>
      <t>[kg/m</t>
    </r>
    <r>
      <rPr>
        <vertAlign val="superscript"/>
        <sz val="11"/>
        <color theme="1"/>
        <rFont val="Calibri"/>
        <family val="2"/>
        <scheme val="minor"/>
      </rPr>
      <t>3</t>
    </r>
    <r>
      <rPr>
        <sz val="11"/>
        <color theme="1"/>
        <rFont val="Calibri"/>
        <family val="2"/>
        <scheme val="minor"/>
      </rPr>
      <t>]</t>
    </r>
  </si>
  <si>
    <t>[kg/kW]</t>
  </si>
  <si>
    <r>
      <rPr>
        <b/>
        <sz val="12"/>
        <color theme="1"/>
        <rFont val="Calibri"/>
        <family val="2"/>
        <scheme val="minor"/>
      </rPr>
      <t>User Interface</t>
    </r>
    <r>
      <rPr>
        <sz val="12"/>
        <color theme="1"/>
        <rFont val="Calibri"/>
        <family val="2"/>
        <scheme val="minor"/>
      </rPr>
      <t>: Select, modify and adapt mission parameters, criteria and ESM factors</t>
    </r>
  </si>
  <si>
    <t>time</t>
  </si>
  <si>
    <t>task</t>
  </si>
  <si>
    <t>Crew</t>
  </si>
  <si>
    <t>O2</t>
  </si>
  <si>
    <t>CO2</t>
  </si>
  <si>
    <t>urine</t>
  </si>
  <si>
    <t>feces</t>
  </si>
  <si>
    <t>potable</t>
  </si>
  <si>
    <t>hygiene</t>
  </si>
  <si>
    <t>food</t>
  </si>
  <si>
    <t>sweat</t>
  </si>
  <si>
    <t>heat</t>
  </si>
  <si>
    <t>Sleep</t>
  </si>
  <si>
    <t>Post Sleep</t>
  </si>
  <si>
    <t>Pre-Sleep</t>
  </si>
  <si>
    <t>Personal Hygiene</t>
  </si>
  <si>
    <t>Recreation</t>
  </si>
  <si>
    <t>Exercise</t>
  </si>
  <si>
    <t>Post Exercise</t>
  </si>
  <si>
    <t>Breakfast</t>
  </si>
  <si>
    <t>Lunch</t>
  </si>
  <si>
    <t>Dinner</t>
  </si>
  <si>
    <t>hr/day</t>
  </si>
  <si>
    <t>Pressurized Volume:</t>
  </si>
  <si>
    <t>2.2
12.8
569
484</t>
  </si>
  <si>
    <t>1.0432
1.0</t>
  </si>
  <si>
    <t>1.6329
1.5</t>
  </si>
  <si>
    <t>0.002548
0.001</t>
  </si>
  <si>
    <t xml:space="preserve">
0.845
0.475</t>
  </si>
  <si>
    <t>0.004531
0.004</t>
  </si>
  <si>
    <t>0.524
0.429
0.3-0.45
68.38^0.75
0.3485^0.75
0.4512^0.75
2.826^0.75</t>
  </si>
  <si>
    <t xml:space="preserve">
530.52</t>
  </si>
  <si>
    <t>0.07
0.02
0.4
0.06
0.12
1.44
0.64</t>
  </si>
  <si>
    <t>44.4
11
44
42
61.24
115.67
89.77</t>
  </si>
  <si>
    <t>0.556-1.7
0.364
1.9
0.3-0.45</t>
  </si>
  <si>
    <t>1.41
1.36</t>
  </si>
  <si>
    <t>0.3
0.36</t>
  </si>
  <si>
    <t>150
15.1</t>
  </si>
  <si>
    <t>75.00
88.45</t>
  </si>
  <si>
    <t>0.7
3.2</t>
  </si>
  <si>
    <t>20.6
49.71</t>
  </si>
  <si>
    <t>0.04
0.393293</t>
  </si>
  <si>
    <t>0.006
0.001416</t>
  </si>
  <si>
    <t xml:space="preserve">5.10
</t>
  </si>
  <si>
    <t>17.3
21.32</t>
  </si>
  <si>
    <t xml:space="preserve">
0.04248</t>
  </si>
  <si>
    <t>38
163.2
1800</t>
  </si>
  <si>
    <t xml:space="preserve">0.2
0.59
</t>
  </si>
  <si>
    <t>Name of Assembly</t>
  </si>
  <si>
    <t>Desired Function:</t>
  </si>
  <si>
    <t>ECLSS Subsystem</t>
  </si>
  <si>
    <t>Reliability</t>
  </si>
  <si>
    <t>Mass CF</t>
  </si>
  <si>
    <t>Volume CF</t>
  </si>
  <si>
    <t>Power CF</t>
  </si>
  <si>
    <t>Cooling CF</t>
  </si>
  <si>
    <t>Maintenance CF</t>
  </si>
  <si>
    <t>Reliability CF</t>
  </si>
  <si>
    <t>TRL CF</t>
  </si>
  <si>
    <t>MCA Value</t>
  </si>
  <si>
    <t>Remove Gaseous Atmospheric Contaminants</t>
  </si>
  <si>
    <t>Process Gaseous Wastes</t>
  </si>
  <si>
    <t>Regenerate Oxygen</t>
  </si>
  <si>
    <t>Process Wastewater a)</t>
  </si>
  <si>
    <t>Process Wastewater b)</t>
  </si>
  <si>
    <t>Process Wastewater c)</t>
  </si>
  <si>
    <t>Water System Decontamination</t>
  </si>
  <si>
    <t>Accept Thermal Energy b)</t>
  </si>
  <si>
    <t>Detect Hazardous Atmosphere</t>
  </si>
  <si>
    <t>Functionname</t>
  </si>
  <si>
    <t>ECLSS 
Subsystem</t>
  </si>
  <si>
    <t>Supply Inert Gas</t>
  </si>
  <si>
    <t>Store Inert Gas</t>
  </si>
  <si>
    <t>Supply Oxygen</t>
  </si>
  <si>
    <t>Store Oxygen</t>
  </si>
  <si>
    <t>Reuse Thermal Energy</t>
  </si>
  <si>
    <t>Control Microbes</t>
  </si>
  <si>
    <t>Control Water Quality</t>
  </si>
  <si>
    <t>Supply Water</t>
  </si>
  <si>
    <t>Store Water</t>
  </si>
  <si>
    <t>Accept Wastewater</t>
  </si>
  <si>
    <t>Store Wastewater</t>
  </si>
  <si>
    <t>Store Gaseous Wastes</t>
  </si>
  <si>
    <t>Accept Solid and Concentrated Liquid Wastes</t>
  </si>
  <si>
    <t>Process Solid and Concentrated Liquid Wastes</t>
  </si>
  <si>
    <t>Potentially hazardous gaseous, vapor, aerosol and particulate atmospheric contaminants shall be detected independent of active crew observation and monitoring before they reach hazardous concentrations within the crew cabin.</t>
  </si>
  <si>
    <t>Venting of atmosphere to space shall not occur at less than 103.4 kPa.</t>
  </si>
  <si>
    <t>The total atmospheric pressure in the crew cabin shall be maintained within in the range of 96.5  to 102.7 kPa, with a minimum of 95.8 kPa.</t>
  </si>
  <si>
    <t>The inert gas nitrogen shall be supplied to points of use in accordance with applicable interface specifications for gas temperature, pressure and flow rate.</t>
  </si>
  <si>
    <t>The gaseous metabolical inert gas nitrogen shall be added to the cabin atmosphere as needed during normal operations and  to restore the atmosphere following decompression.</t>
  </si>
  <si>
    <t>Gaseous oxygen shall be added to the cabin atmosphere as needed during normal operations.</t>
  </si>
  <si>
    <t>Gaseous oxygen shall be added to the cabin to restore the atmosphere following decompression.</t>
  </si>
  <si>
    <t>Oxygen shall be supplied to points of use in accordance with applicable interface specifications for gas temperature, pressure and flow rate.</t>
  </si>
  <si>
    <t>Storage of the inert gas nitrogen shall be provided with a minimum capacity to meet usage and contingency needs, including cabin repressurization.</t>
  </si>
  <si>
    <t>Storage of oxygen or oxygen generating resources shall be provided with a minimum capacity to meet usage and contingency needs, including cabin repressurization.</t>
  </si>
  <si>
    <t>Remove or Add Sensible Heat</t>
  </si>
  <si>
    <t>Control Atmospheric Compostion</t>
  </si>
  <si>
    <t>Exchange Atmosphere between Modules</t>
  </si>
  <si>
    <t>Accept Thermal Energy a)</t>
  </si>
  <si>
    <t>Accept Thermal Energy c)</t>
  </si>
  <si>
    <t>Release Thermal Energy</t>
  </si>
  <si>
    <t>The atmospheric temperature in the crew cabin shall be maintained in the range of 291.5 to 299.8 K (18.35 - 26.65 °C) during normal operational and 90-day degraded phases. It shall be in the range of 288.7 to 302.6 K (15.6 - 29.5 °C) during 28-day emergencies.</t>
  </si>
  <si>
    <t>Rapid decompression event shall be detected independent of active crew observation or monitoring prior to the cabin total pressure decreasing by 3.4 % (or 3.4 kPa) based on a hole size of 1.3 cm to 5.1 cm in diameter.</t>
  </si>
  <si>
    <t>Detect Rapid Decompression</t>
  </si>
  <si>
    <t>Recover from Hazardous Atmosphere</t>
  </si>
  <si>
    <t>Sensible heat shall be removed from and/or added to the cabin atmosphere as needed during normal operations.</t>
  </si>
  <si>
    <t>The atmospheric temperature in the crew cabin shall be adjustable and remain within 1.1 Kelvin of the selected temperature at steady state regardless of crew activities.</t>
  </si>
  <si>
    <t>Atmospheric composition within the crew cabin shall be maintained within the specified ranges throughout the cabin volume.</t>
  </si>
  <si>
    <t>Control Atmospheric Humidity</t>
  </si>
  <si>
    <t>The atmospheric relative humidity (RH) in the crew cabin shall be maintained in the range of 25 to 70 % independent of the current phase. Nominal value is assumed to 40 %. For suited operations of less than 4 hours, it is allowed: RH &lt;= 5% for 1 hr; 5-15 % RH for 2 hr; 15-25 % RH for 4 hr. For a 90-day degraded or 28-day emergency it could be up to 75 %.</t>
  </si>
  <si>
    <t>Remove or Add Moisture</t>
  </si>
  <si>
    <t>Moisture shall be removed from and/or added to the cabin atmosphere as needed during normal operations.</t>
  </si>
  <si>
    <t>Atmosphere exchange between adjacent, non-isolated pressurized volumes shall be provided to maintain sufficiently uniform conditions for atmosphere composition control when atmospheric constituents are controlled by centralized systems.</t>
  </si>
  <si>
    <t>Excess thermal energy shall be accepted from the spacecraft/habitat atmosphere.</t>
  </si>
  <si>
    <t>Excess thermal energy shall be collected from equipment.</t>
  </si>
  <si>
    <t>Excess thermal energy shall be accepted from internal sources of liquids that require cooling according to interface specifications.</t>
  </si>
  <si>
    <t>Description</t>
  </si>
  <si>
    <t>Thermal energy shall be transferred from the thermal energy transport equipment.</t>
  </si>
  <si>
    <t>The capability to recover from a rapid decompression event within 75 hours shall be provided.</t>
  </si>
  <si>
    <t>It is permissible to transfer thermal energy to other vehicle processes and equipment, as specified by mission interface requirements.</t>
  </si>
  <si>
    <t>Excess thermal energy shall be transferred to the cooling external interface.</t>
  </si>
  <si>
    <t>Reject (Dispose of) Excess Thermal Energy</t>
  </si>
  <si>
    <t>Airborne microbes shall be removed from the cabin atmosphere as needed.</t>
  </si>
  <si>
    <r>
      <t>The concentration of airborne particulates greater than 0.5 µm  in the cabin atmosphere shall be maintained with less or same as 3.500.000 particles per m</t>
    </r>
    <r>
      <rPr>
        <vertAlign val="superscript"/>
        <sz val="11"/>
        <color theme="1"/>
        <rFont val="Calibri"/>
        <family val="2"/>
        <scheme val="minor"/>
      </rPr>
      <t>3</t>
    </r>
    <r>
      <rPr>
        <sz val="11"/>
        <color theme="1"/>
        <rFont val="Calibri"/>
        <family val="2"/>
        <scheme val="minor"/>
      </rPr>
      <t xml:space="preserve"> (0.05 mg/m³ with periodic peaks to 1 mg/m³ are allowed) during normal operational phases. The total particulate generation specified for design is 1.4 × 10^6 particles/min.</t>
    </r>
  </si>
  <si>
    <r>
      <t>The concentration of microbes within the cabin, whether airborne or on a surface, shall be controlled with less than 500 CFU per m</t>
    </r>
    <r>
      <rPr>
        <vertAlign val="superscript"/>
        <sz val="11"/>
        <color theme="1"/>
        <rFont val="Calibri"/>
        <family val="2"/>
        <scheme val="minor"/>
      </rPr>
      <t>3</t>
    </r>
    <r>
      <rPr>
        <sz val="11"/>
        <color theme="1"/>
        <rFont val="Calibri"/>
        <family val="2"/>
        <scheme val="minor"/>
      </rPr>
      <t xml:space="preserve"> during normal operational phases, less than 750 CFU per m</t>
    </r>
    <r>
      <rPr>
        <vertAlign val="superscript"/>
        <sz val="11"/>
        <color theme="1"/>
        <rFont val="Calibri"/>
        <family val="2"/>
        <scheme val="minor"/>
      </rPr>
      <t>3</t>
    </r>
    <r>
      <rPr>
        <sz val="11"/>
        <color theme="1"/>
        <rFont val="Calibri"/>
        <family val="2"/>
        <scheme val="minor"/>
      </rPr>
      <t xml:space="preserve"> during 90-day degraded phases and less than 1000 CFU per m</t>
    </r>
    <r>
      <rPr>
        <vertAlign val="superscript"/>
        <sz val="11"/>
        <color theme="1"/>
        <rFont val="Calibri"/>
        <family val="2"/>
        <scheme val="minor"/>
      </rPr>
      <t>3</t>
    </r>
    <r>
      <rPr>
        <sz val="11"/>
        <color theme="1"/>
        <rFont val="Calibri"/>
        <family val="2"/>
        <scheme val="minor"/>
      </rPr>
      <t xml:space="preserve"> during 28-day emergencies.</t>
    </r>
  </si>
  <si>
    <t>The capability to recover from a hazardous atmosphere shall be provided.</t>
  </si>
  <si>
    <t>It is permissible to regenerate oxygen.</t>
  </si>
  <si>
    <t>Water provided for crew use and consumption shall meet current established water quality requirements as defined in SSp-4100 and SSP-50260 (ISS MORD), including those for microbial control.</t>
  </si>
  <si>
    <t>Capabilities shall be provided for in-flight decontamination of water processing and storage systems.</t>
  </si>
  <si>
    <t>Water shall be supplied to points of use in accordance with applicable interface specifications for water temperature, pressure, flow rate and quality. This includes potable water for hot beverages and food hydration at a temperature between 68.3 °C and 79.4 °C, and cold beverage water with a maximum temperature of 15.6 °C. Potable water for personal hygiene shall be at a temperature between 29.4 °C and 46.1 °C. Potable water for medical events shall be at a temperature between 18 °C and 28 °C.</t>
  </si>
  <si>
    <t>Stored potable water shall provide sufficient capacity to meet missionspecific contingency needs.</t>
  </si>
  <si>
    <t>Wastewater shall be accepted from points of collection in accordance with applicable interface specifications.</t>
  </si>
  <si>
    <t>Storage for wastewater shall provide the minimum capacity necessary to meet peak and contingency storage needs.</t>
  </si>
  <si>
    <t>It is permissible to process wastewater from humidity condensate to recover potable or hygiene water.</t>
  </si>
  <si>
    <t>It is permissible to process hygiene wastewater to recover potable or hygiene water.</t>
  </si>
  <si>
    <t>It is permissible to process wastewater from urine to recover potable or hygiene water and produce a concentrated waste.</t>
  </si>
  <si>
    <t>Storage for gaseous wastes shall provide the minimum capacity necessary to meet peak and contingency storage needs.</t>
  </si>
  <si>
    <t>It is permissible to process gaseous wastes to recover useful products.</t>
  </si>
  <si>
    <t>Excess gaseous wastes shall be disposed.</t>
  </si>
  <si>
    <t>Solid and concentrated liquid wastes shall be accepted from points of collection in accordance with applicable interface specifications.</t>
  </si>
  <si>
    <t>Temporary storage of unprocessed solid and concentrated liquid wastes shall provide the minimum capacity necessary to meet peak and contingency storage needs.</t>
  </si>
  <si>
    <t>Store Solid and Concentrated Liquid Wastes a)</t>
  </si>
  <si>
    <t>Store Solid and Concentrated Liquid Wastes b)</t>
  </si>
  <si>
    <t>Long-term storage for residuals and non-recovered wastes shall be provided.</t>
  </si>
  <si>
    <t>It is permissible to process solid and concentrated liquid wastes to recover useful products.</t>
  </si>
  <si>
    <t>The atmospheric oxygen partial pressure in the crew cabin shall be maintained within the range of 19.5 to 23.1 kPa for normal operational phases, 16.5 to 23.8 kPa for 90-day degraded phases and 15.9 to 23.8 kPa for 28-day emergencies. The minimum partial oxygen pressure for 1 hour is 15.17 kPa.</t>
  </si>
  <si>
    <t>AR</t>
  </si>
  <si>
    <t>WRM</t>
  </si>
  <si>
    <t>WM</t>
  </si>
  <si>
    <t>Control Atmospheric Temperature a)</t>
  </si>
  <si>
    <t>Control Atmospheric Temperature b)</t>
  </si>
  <si>
    <t>Control Airborne Particulates</t>
  </si>
  <si>
    <t>Remove Airborne Particulates</t>
  </si>
  <si>
    <t>Dispose of Excess Gaseous Wastes</t>
  </si>
  <si>
    <t>Add Inert Gas to Atmosphere</t>
  </si>
  <si>
    <t>Add Oxygen to Atmosphere a)</t>
  </si>
  <si>
    <t>Add Oxygen to Atmosphere b)</t>
  </si>
  <si>
    <t>Add Intert Gas to Atmosphere</t>
  </si>
  <si>
    <t>Control Atmosphere Total Pressure</t>
  </si>
  <si>
    <t>Relieve Overpressure</t>
  </si>
  <si>
    <t>Control Oxygen Partial Pressure</t>
  </si>
  <si>
    <t>Remove Airborne Microbes</t>
  </si>
  <si>
    <t>Recover from Rapid Decompression</t>
  </si>
  <si>
    <t>Store Food and Food Ingredients</t>
  </si>
  <si>
    <t>Process Food and Food Ingredients</t>
  </si>
  <si>
    <t>Control Atmopsheric Humidity</t>
  </si>
  <si>
    <t>Provide Food b)</t>
  </si>
  <si>
    <t>Filter by System Level:</t>
  </si>
  <si>
    <t>Microbial Monitoring and Control</t>
  </si>
  <si>
    <t>Type</t>
  </si>
  <si>
    <t>Use</t>
  </si>
  <si>
    <t>Ambient Pressure Storage</t>
  </si>
  <si>
    <t>Water Quality Monitoring</t>
  </si>
  <si>
    <t>Water Storage</t>
  </si>
  <si>
    <t>Intramodule Atmospheric Circulation</t>
  </si>
  <si>
    <r>
      <t xml:space="preserve">Water Vapor Electrolysis </t>
    </r>
    <r>
      <rPr>
        <b/>
        <sz val="11"/>
        <color theme="1"/>
        <rFont val="Calibri"/>
        <family val="2"/>
        <scheme val="minor"/>
      </rPr>
      <t>WVE</t>
    </r>
  </si>
  <si>
    <t>Wet Oxidation</t>
  </si>
  <si>
    <t>Waste Managment - Water Systems WM-WS</t>
  </si>
  <si>
    <r>
      <t xml:space="preserve">Vapor Compression Distillation </t>
    </r>
    <r>
      <rPr>
        <b/>
        <sz val="11"/>
        <color theme="1"/>
        <rFont val="Calibri"/>
        <family val="2"/>
        <scheme val="minor"/>
      </rPr>
      <t>VCD</t>
    </r>
  </si>
  <si>
    <r>
      <t xml:space="preserve">Temperature and Humidity Control </t>
    </r>
    <r>
      <rPr>
        <b/>
        <sz val="11"/>
        <color theme="1"/>
        <rFont val="Calibri"/>
        <family val="2"/>
        <scheme val="minor"/>
      </rPr>
      <t>THC</t>
    </r>
  </si>
  <si>
    <r>
      <t xml:space="preserve">Thermoelectric Integrated Membrane Evaporation </t>
    </r>
    <r>
      <rPr>
        <b/>
        <sz val="11"/>
        <color theme="1"/>
        <rFont val="Calibri"/>
        <family val="2"/>
        <scheme val="minor"/>
      </rPr>
      <t>TIMES</t>
    </r>
  </si>
  <si>
    <t>Shuttle Rehydration Apparatus and Conduction Oven</t>
  </si>
  <si>
    <r>
      <t xml:space="preserve">Reactive Bed Plasma </t>
    </r>
    <r>
      <rPr>
        <b/>
        <sz val="11"/>
        <color theme="1"/>
        <rFont val="Calibri"/>
        <family val="2"/>
        <scheme val="minor"/>
      </rPr>
      <t>RBP</t>
    </r>
  </si>
  <si>
    <r>
      <t xml:space="preserve">Oxygen Candles </t>
    </r>
    <r>
      <rPr>
        <b/>
        <sz val="11"/>
        <color theme="1"/>
        <rFont val="Calibri"/>
        <family val="2"/>
        <scheme val="minor"/>
      </rPr>
      <t>LiClO4</t>
    </r>
  </si>
  <si>
    <r>
      <t xml:space="preserve">Molecular Sieves </t>
    </r>
    <r>
      <rPr>
        <b/>
        <sz val="11"/>
        <color theme="1"/>
        <rFont val="Calibri"/>
        <family val="2"/>
        <scheme val="minor"/>
      </rPr>
      <t>2BMS</t>
    </r>
  </si>
  <si>
    <t>Refrigerator/Freezer</t>
  </si>
  <si>
    <t>Ion Trap Mass Spectroscopy/ Mass Spectroscopy MS/MS</t>
  </si>
  <si>
    <t>High Pressure Storage</t>
  </si>
  <si>
    <t>Extreme pH</t>
  </si>
  <si>
    <r>
      <t xml:space="preserve">Fourier Transform Infrared Spectroscopy </t>
    </r>
    <r>
      <rPr>
        <b/>
        <sz val="11"/>
        <color theme="1"/>
        <rFont val="Calibri"/>
        <family val="2"/>
        <scheme val="minor"/>
      </rPr>
      <t>FTIR</t>
    </r>
  </si>
  <si>
    <t>Cryogenic Storage</t>
  </si>
  <si>
    <t>Dry Incineration</t>
  </si>
  <si>
    <t>Electroactive Carriers</t>
  </si>
  <si>
    <r>
      <t xml:space="preserve">Air Evaporation System </t>
    </r>
    <r>
      <rPr>
        <b/>
        <sz val="11"/>
        <color theme="1"/>
        <rFont val="Calibri"/>
        <family val="2"/>
        <scheme val="minor"/>
      </rPr>
      <t>AES</t>
    </r>
  </si>
  <si>
    <r>
      <t xml:space="preserve">Advanced Carbon-Formation Reactor System </t>
    </r>
    <r>
      <rPr>
        <b/>
        <sz val="11"/>
        <color theme="1"/>
        <rFont val="Calibri"/>
        <family val="2"/>
        <scheme val="minor"/>
      </rPr>
      <t>ACRS</t>
    </r>
  </si>
  <si>
    <t>Electrochemical Oxidation</t>
  </si>
  <si>
    <t>[0 to 1]</t>
  </si>
  <si>
    <t>Additional Filter and MCA Options</t>
  </si>
  <si>
    <r>
      <t>CO</t>
    </r>
    <r>
      <rPr>
        <vertAlign val="subscript"/>
        <sz val="11"/>
        <color theme="1"/>
        <rFont val="Calibri"/>
        <family val="2"/>
        <scheme val="minor"/>
      </rPr>
      <t>2</t>
    </r>
    <r>
      <rPr>
        <sz val="11"/>
        <color theme="1"/>
        <rFont val="Calibri"/>
        <family val="2"/>
        <scheme val="minor"/>
      </rPr>
      <t xml:space="preserve"> and Moisture Removal Amine Swing-Bed System </t>
    </r>
    <r>
      <rPr>
        <b/>
        <sz val="11"/>
        <color theme="1"/>
        <rFont val="Calibri"/>
        <family val="2"/>
        <scheme val="minor"/>
      </rPr>
      <t>CAMRAS</t>
    </r>
  </si>
  <si>
    <t>Atmospheric contaminants, such as CO2 and other trace contaminants, shall be removed from the cabin atmosphere as needed. The maximum allowable concentration of CO2 depends on total pressure,  2.027 kPa for 1h, and 0.53 kPa for over 24h. (See JSC-20584 for further details). This function includes CO2 reduction and removal systems.</t>
  </si>
  <si>
    <t>0.1 gas</t>
  </si>
  <si>
    <t>0.232 solid</t>
  </si>
  <si>
    <t>Consists of a recuperative heat exchanger, electric heater, oxydizer bed and 2 temperature sensors. The bed includes 0.5 kg of 3.2mm cylindrical aluminium pellets with 0.5 % Pd. It converts CH4 and CO to CO2. It is assumed as wear out item, which is mainly limited by connector seals, resistance temperature detectors, and the heater assembly (all have assumed shelf life of 30 years, and more than 5 years operation life). Peak power is 168 W</t>
  </si>
  <si>
    <t>Peak power of 11.5 W</t>
  </si>
  <si>
    <t>Fist stage is a GC that uses molecular diffusion to separate constituents and the second stage is a MS employing electromagnetic separation. A GC consists of a separation column, an injector port at one end of the column and a detection device at the other end, and a gas supply equipment to operate the system. It is based on the repetitive distribution of comounds between two phases during a continous flow. components are detected by means of a thermal conductivity sensor or a flame ionization detector. After breakthrough of one of the components out of the column, it gets identified by the MS.</t>
  </si>
  <si>
    <t>Has to monitor how many vital microorganisms able to form colonies are in the air. It is done by blowing air onto an Agar substrate in an incubator and counting the colonies after 24h. Special precautions are necessary to avoid contamination of the habitat. Evaluation is done on ground by video picture. Control includes specialized filter systems. Data is for crew of 6 on mars transfer vehicle [14]</t>
  </si>
  <si>
    <r>
      <t xml:space="preserve">Utilize synthetic zeolites or metal ion alumino-silicates for CO2 collection. 2 synthetic zeolites are used alternativly for adsorption and desorption of CO2. Silica gel beds may be included to remove moisture. Technologies are 4BedMolecularSieve (4BMS) and 2BMS. Wet CO2-laden process air enters the adsorbing desiccant bed where water vapor is removed. Dry air passes blower to overcoming system pressure drops. Then passes through a pre-cooler, removing blower compression and motor and adsorption generated heat. The adsorbing CO2 removal bed removes CO2. Next directed into desorbing desiccant bed for rehumification and back into control system. Adsorption efficiency is highest at low temperatures, so needs air-liquid heat exchanger. Use of Zeolite 5A molecular sieve material requires much heat. </t>
    </r>
    <r>
      <rPr>
        <b/>
        <sz val="11"/>
        <color theme="1"/>
        <rFont val="Calibri"/>
        <family val="2"/>
        <scheme val="minor"/>
      </rPr>
      <t>CDRA can maintain required pCOs of &lt;5,3mmHg for up to 9 crewmembers</t>
    </r>
    <r>
      <rPr>
        <sz val="11"/>
        <color theme="1"/>
        <rFont val="Calibri"/>
        <family val="2"/>
        <scheme val="minor"/>
      </rPr>
      <t>. First technical data is for 3 people, second from [10] on ISS (peak power of 1487 W), third is from [12] also describes ISS CDRA, forth for crew of 6 on Mars transit vehicle [14], fifth for crew of 3 [9], sixth per kg/day CO2 [27], crew of 6 for 400 days [34], System+ORU on ISS [42], kg/CMd [43], crew of 4 [45], crew of 4 without ancillary comp for CO2 collection [46], for ISS with Crew of 6 [56], planning for ISS [23]</t>
    </r>
  </si>
  <si>
    <t>Very similar to N2 from hydrazine system. The ammonia dissociation reactor requires a preheater as the reaction is not self-propagating. H2 is separated from N2 using palladium-silver alloy tubes.</t>
  </si>
  <si>
    <t>Tank mass penalty for hydrazine is 0.2 kg compared to 0.5 kg for cryogenic N2 storage. It has also higher density, comparable to water. Thermal catalytic dissocation of hydrazine is a commodity, used on most satellites. It consists of a catalytic hydrazine decomposistion reactor followed by a hydrogen separator and catalytic oxidizer. Three heat exchangers required to dump waste heat. The separator removes H2 from N2 product stream. The catalytic oxidizer oxidizes any remaining ammonia and H2 to N2 and H2O.</t>
  </si>
  <si>
    <t>Each candle yields 0.8 kg O2 (from 2.2 kg LiClO4) and burns between 5 and 20 minutes, which produces 600 L O2 at 20°C. First data for one cartridge without structure/hardware [15], second per kg O2 production with 10 kg structure [27], for SFOG system of 6 CM for 25 days [45], and for BOCS system of 6 CM for 25 days [45]</t>
  </si>
  <si>
    <t>Life limit of 10 years</t>
  </si>
  <si>
    <t xml:space="preserve">1.63
</t>
  </si>
  <si>
    <t xml:space="preserve">0.0045
</t>
  </si>
  <si>
    <t>Life limit of 7.72 years</t>
  </si>
  <si>
    <t>Life limit of 4.17 years</t>
  </si>
  <si>
    <t>RBP can oxidize contaminants at low T (394K). Use of synergistic combination of plasma and catalyst. Air passes through an annular reactor filled with alumina catalyst, where it is partially ionized into plasma. Catalyst main function is increase the time contaminants modules spend in the active plasma region, where plasma-generated high-energy electrons and subsequently produced species oxidize toxic materials. It can also perform as highly efficient electrostatic precipitator to collect and deactivate hazardous particulate material.</t>
  </si>
  <si>
    <t>Mixture of calcium hydroxide (Ca(OH)2) (95% dry weight), sodium-, potassium- and barium hydroxides as "activtors". Water necessary for reaction with 12-19 % of mixture. A series of reactions occurs whereby CO2 goes into solution and forms carbonic acid, which then reacts with hydroxide to form sodium carbonate and regenerate the water consumed earlier. The sodium carbonate reacts with the hydrated lime to form calcium carbonate and regenate caustic potash. Theoretical capacity for CO2 is 0.488 kg CO2 per kg sorbent. Shearwater Research says 100 g Sodasorb absorbs 15 L CO2 and an 8 hour capacity holds around 1 kg absorbent.</t>
  </si>
  <si>
    <r>
      <t xml:space="preserve">SAWD is similar to 2BMS, but uses steam heated solid amine (WA-21). Degrades fairly rapidly with time. Requiring </t>
    </r>
    <r>
      <rPr>
        <b/>
        <sz val="11"/>
        <color theme="1"/>
        <rFont val="Calibri"/>
        <family val="2"/>
        <scheme val="minor"/>
      </rPr>
      <t>hygiene water</t>
    </r>
    <r>
      <rPr>
        <sz val="11"/>
        <color theme="1"/>
        <rFont val="Calibri"/>
        <family val="2"/>
        <scheme val="minor"/>
      </rPr>
      <t xml:space="preserve"> for steam which increases load on heat exchanger. Desortion takes places at cabin pressure. Water and amine reacts and form a bicarbonate with CO2. water vapour releases CO2. 20-35 wt-% of water in resin bed is required for optimum absorption.  Technical data is for 3 people [1], and per kg-day of CO2 removal [27], from STS [?], , crew of 6 for 400 days [34], crew of 4 for ISS without CO2 collection system [46], for Crew of 9 [51], Crew of 6 on STS in LARS project [20], ACLS CCA [58]</t>
    </r>
  </si>
  <si>
    <r>
      <t>Alkali and alkaline earth metal superoxides are solid chemicals which serves as dual purpose of scrubbing CO2 and providing O2. Most used superoxide in soviet union was potassium superoxide (KO2), which has a low utilization efficiency of 50-80% and some overheating problems. The density is 2.14 g/cm</t>
    </r>
    <r>
      <rPr>
        <vertAlign val="superscript"/>
        <sz val="11"/>
        <color theme="1"/>
        <rFont val="Calibri"/>
        <family val="2"/>
        <scheme val="minor"/>
      </rPr>
      <t>3</t>
    </r>
    <r>
      <rPr>
        <sz val="11"/>
        <color theme="1"/>
        <rFont val="Calibri"/>
        <family val="2"/>
        <scheme val="minor"/>
      </rPr>
      <t>.  The theoretical capacity of KO2 for CO2 is 0.309 kg CO2/kg sorbent and 0.388 kg O2/kg sorbent are produced. Better is Ca(O2)2 (2,91 g/cm</t>
    </r>
    <r>
      <rPr>
        <vertAlign val="superscript"/>
        <sz val="11"/>
        <color theme="1"/>
        <rFont val="Calibri"/>
        <family val="2"/>
        <scheme val="minor"/>
      </rPr>
      <t>3</t>
    </r>
    <r>
      <rPr>
        <sz val="11"/>
        <color theme="1"/>
        <rFont val="Calibri"/>
        <family val="2"/>
        <scheme val="minor"/>
      </rPr>
      <t>) or a mixture of both. Also carbonate, like potassium (K2CO3), or sodium superoxides are in this group. The superoxides reacts with moisture in the atmosphere to produce O2 and potassium hydroxide (KOH-). The KOH- then absorbs the CO2 in the atmosphere. The chemical equilibria are complex and depend on the levels of moisture and CO2 and the temperature in the sorbent bed. The potassium carbonate is gradually consumed therefore limiting the life of the process to about 90 cycles. The KHC03 reverts back to K2C03 when heated to about 150°C. Data is for KO2 system used by russians (Soyuz) [45]</t>
    </r>
  </si>
  <si>
    <t>Waste water is evaporated and compressed to raise its saturation T and then condensing the vapor on the surface in direct thermal contact with the evaporator. The resultant heat flux from condenser to evaporator is sufficent to evaporate a mass equal to that being condened, so this is a thermally passive process. It enables the recovery of more than 96 % of water contained in urine, concentrating urine to over 50 % solids. Unevaporated waste water is recirculated unil the solids concentration reaches specified concentration. Included in UPA on ISS. first data is from [1], second data is per person from [9], unknown [13], crew of 6 for 400 days [34], kg/CMd [43], crew of 4 for 450day Mars transit [48], crew of 9 for 500 day mission [51], ISS VCD mit processing rate of 8.45 kg/d [11]</t>
  </si>
  <si>
    <t>Untreated unrine is evaporated by a bundle of hollow fiber membranes made from a perfluorinated ion-exchange polymer. The vapor is mixed with air and recycled process vapor and flows into the NH3 oxidation catalyst, which contains 0.5 % platinum on alumina pellets and operates at 523 K. There, NH3 is oxidized to a mix of N2O and N2. volitile hydrocarbons are oxidized to CO2 and H2O. The H2O is seperated in the following condenser, which contains little NH3, few hydrocarbons and low conductivity, so requires only pH adjustment to meet potable water standards. After that, a portion of the flow is treated in the second bed, where N2O is catalytically decomposed to N2 and O2, the rest is recycled in the loop. The bed contains 0.5 % ruthenium on alumina pellets and operates at 723 K. The whole loop are maintained above pasteurization T of 347 K to maintain water quality and minimizing/eliminating growth of microorganisms. Third data is for crew of 6 for 400 days [34], crew of 4 for 450 day Mars transit [48]</t>
  </si>
  <si>
    <t>Power of 30 W is peak power (both valves at same time), 3 on ISS with 2 spares. Includes two valves mounted in series in a single housing: Vent/Relief Isolation Valve (VRIV) and Vent/Relief Control Valve (VRCV). Each valve intependently powered and controlled.</t>
  </si>
  <si>
    <t>WVE electrolyses directly from cabin air. Moist air is feed to the anode of the SFWE-style electrolysis cell, producing O2 enriched steam at the anode and H2 at the cathode. Helps to control cabin humidity and having few interfaces. Potential candidate for providing a safe haven atmo regeneration system. data for crew of 3 [1], from STS [?]</t>
  </si>
  <si>
    <t>Data is for crew of 6 on mars transit vehicle [14]</t>
  </si>
  <si>
    <t>System is employed on ISS. Data is for crew of 6 on mars transfer vehicle [14], for ISS [?], crew of 6 for 400 days ISS baseline (VCD, MF, VRA) and adv Node 3 (lot of Bioreg.)[34], crew of 4 for 450 day Mars transit [48], for ISS (should be Crew of 4) [56]</t>
  </si>
  <si>
    <t>2463.74
435
3377
356
1612+2.55</t>
  </si>
  <si>
    <t>Handwash/mouthwash faucet</t>
  </si>
  <si>
    <t>Data is for crew of 6 for 180 day mars tranfer mission [9]</t>
  </si>
  <si>
    <t>Data is for crew of 6 for 180 day mars tranfer mission (2 toilets)[9], one vacuum toilet [34]</t>
  </si>
  <si>
    <t>Data is for crew of 6 for 180 day mars tranfer mission [9], crew of 9 for 500 days [51]</t>
  </si>
  <si>
    <t>Each crewquarter should provide at least 1.5 m³ for sleeping and 0.63 m³ for stowing personal equipment. If desk, computer and communication system is installed, add another 1.5 m³</t>
  </si>
  <si>
    <t>Data is for crew of 6 for 180 day mars tranfer mission [9], one bulk compactor</t>
  </si>
  <si>
    <t>Flexible hose for overboard vent</t>
  </si>
  <si>
    <t>0.00043 
0.0032</t>
  </si>
  <si>
    <t>Plate fin core design with a four-pass cross counter flow coolant circuit, with 33 air and 34 coolant layers constructed of stainless steel ruffled fins. Air-side passages are coated with a hydrophilic material that promotes film wetting on the sufaces ..., 8 h/w dryout to prevent microbial growht and 5 years lifetime</t>
  </si>
  <si>
    <t xml:space="preserve">1.66
</t>
  </si>
  <si>
    <t xml:space="preserve">0.00057
</t>
  </si>
  <si>
    <t xml:space="preserve">0.0099
</t>
  </si>
  <si>
    <t>High pressure oxygen supply by water electrolysis at 24.8 MPa</t>
  </si>
  <si>
    <t>Liquid H2O2 which is unstable. Decomposed into O2 and H2O.</t>
  </si>
  <si>
    <t>Water tank for storage system based on included mass</t>
  </si>
  <si>
    <t xml:space="preserve">Measures temperature with 2 redundant temperature sensors in series. One unit is installed after TCCV, another before Inlet ORU. </t>
  </si>
  <si>
    <t xml:space="preserve">Design is based on space shuttle/ spacelab WS. Consist of rotating drum, pitot tube, centrifugal fan, relief fan ... </t>
  </si>
  <si>
    <t>For a crew of 4, 1 unit</t>
  </si>
  <si>
    <t>Removes moisture from air stream. Data for a crew of 4 [13] and on CDRA on ISS [11] , 2 units</t>
  </si>
  <si>
    <t>Crew of 4, 2 units</t>
  </si>
  <si>
    <t>Crew of 4, 4 units</t>
  </si>
  <si>
    <t>Crew of 4, 1 unit</t>
  </si>
  <si>
    <t>Crew of 4, 3 units</t>
  </si>
  <si>
    <t>Crew of 4, 7 units</t>
  </si>
  <si>
    <t>Crew of 4, 6 units</t>
  </si>
  <si>
    <t>Crew of 4, 5 units</t>
  </si>
  <si>
    <t>Also called INL co-electrolysis process has  a dual purpose of reducing CO2 directly from a concentrator as well as producing O2. The solid electrolyte subsystem can electrolyse both CO2 and H2O vapor to continously generate enough O2 for a person and cabin leakage. Technical problem, such as ineffective high T (&gt;1140K) and ceramic-to-ceramic seals. Both sides of the electrolyte are coated with a porous metal catalyst-electrode, such as platinum. In the CO reactor (Boudouard reactor), Ni, Fe or Co catalyst are used. Since this is an electrolytic process, it is capable of operating at several times of its design capacity. Increased O2 output is archieved by merely increasing the DC voltage. Data is for theoretical processing of 1kg/s CO2 [19], Capacity to produce 36.8 kg/d [13]</t>
  </si>
  <si>
    <t>Capacity to produce 36.8kg/d, 2 units</t>
  </si>
  <si>
    <t>Capacity to produce 36.8kg/d, 9 units</t>
  </si>
  <si>
    <t>Capacity to produce 36.8kg/d, 3 units</t>
  </si>
  <si>
    <t>Capacity to produce 36.8kg/d, 4 units</t>
  </si>
  <si>
    <t>Capacity to produce 36.8kg/d,8 units</t>
  </si>
  <si>
    <t>1 unit</t>
  </si>
  <si>
    <t>Crew 3, 1 unit</t>
  </si>
  <si>
    <t>Capacity to produce 36.8kg/d, 1 unit</t>
  </si>
  <si>
    <t>11 unit</t>
  </si>
  <si>
    <t>20kg/day model, 1 unit</t>
  </si>
  <si>
    <t>1 unit (2 units for ACLS). Technical data for ACLS ORU for a crew of 3 [57]</t>
  </si>
  <si>
    <t>Also known as Carbonization, heat waste to 250 °C and 10342 kPA then cool. Liquid phase process. Recovers water with a second process. Can be used for deactivation after biological processes. Upon heating in an O2 free atmosphere, most organics are split into gas, solid and liquid fractions. Endothermic reaction. data for unknow crew [13, from 1]</t>
  </si>
  <si>
    <t>In-flight tool kit</t>
  </si>
  <si>
    <t>Handtools, test equipment, fixtures and large machine tools, and consumables like wires, tape, hoses etc. First data is from Shuttle, second from ISS and third estimate for Mars trip [9]</t>
  </si>
  <si>
    <t>Material is convoluted Inconel with overwrapped stainless steel braid</t>
  </si>
  <si>
    <t>Self sealing type with 250 demate/mate cycles</t>
  </si>
  <si>
    <t xml:space="preserve">80
</t>
  </si>
  <si>
    <t xml:space="preserve">0.15
</t>
  </si>
  <si>
    <t>Like the EDC but doesn´t require H2, i.e. safer but is a net power consumer. Data is for crew of 6 for 400 days [34], for crew of 4 for ISS [46]</t>
  </si>
  <si>
    <t>Data for crew of 6 for 400 days [34]</t>
  </si>
  <si>
    <t>High-capacity, five-stage rotary vacuum distillation machine</t>
  </si>
  <si>
    <t>For recovery of up to 98% water from brine</t>
  </si>
  <si>
    <t>Dual-membrane distillation process. The first layer, a microporous membrane, allows bulk gas permeation at high rates while retaining the liquid and solids. The second layer is an ionomer membrane with selective permeability to water vapor. The ionomer transports water vapor while trapping harmful volatiles. Water vapor is swept away by a purge gas while residual dehydrated brine and volatiles are fully contained within the membranes</t>
  </si>
  <si>
    <t>The CO2 Concentration Subsystem (CCA) removes CO2 from the cabin and passes it to the CRA for reprocessing. Technical data includes also CO2 removal but no buffer tank -&gt; SAWD [58], for SAWD system and crew of 4 with vacuum pump and buffer tank [46]</t>
  </si>
  <si>
    <t>Needed tubes for IMV</t>
  </si>
  <si>
    <t>Name</t>
  </si>
  <si>
    <t>Sum [kg/CM*d]</t>
  </si>
  <si>
    <r>
      <t xml:space="preserve">Metabolic factors
</t>
    </r>
    <r>
      <rPr>
        <i/>
        <sz val="11"/>
        <color theme="1"/>
        <rFont val="Calibri"/>
        <family val="2"/>
        <scheme val="minor"/>
      </rPr>
      <t>(Values taken from NASA's Life Support Baseline Values and Assumptions Document)</t>
    </r>
  </si>
  <si>
    <t>Membrane filters out CO2 from air</t>
  </si>
  <si>
    <t>2
0.5
2</t>
  </si>
  <si>
    <t>Consists of a sabatier reactor, gas/liquid separator to remove water from methane and carbon formation reactor (CFR). CFR packs carbon better than Bosch. But operation T of CFR over 1144 K. Technical data for 3 people [1], crew of 6 for 400 days [34], System+ORU on ISS for "normal" CRS [42]</t>
  </si>
  <si>
    <t>Consist of a canister with included 22.7 kg 4x6 mesh type 3032 granular activated charcoal treated with 10 wt-% phoshporic acid (H3PO4). Removes NH3, dichlormethane, and VOCs. Post-flight test indicate a service-life of 6 years for a crew of 3 (2.25 years for 6). Most contaminants satured in fist quarter.</t>
  </si>
  <si>
    <t xml:space="preserve">400
</t>
  </si>
  <si>
    <t>CO2 Removal</t>
  </si>
  <si>
    <t>CO2 Reduction</t>
  </si>
  <si>
    <t>Excess CO2 shall be removed from the atmosphere by reduction.</t>
  </si>
  <si>
    <t>Pretreated urine is pumped through a particulate filter to a wick package using a pulse feed technique. A circulating heated air stream evaporates water from the urine, leaving urine solids in the wicks. When sufficient urine solids accumlate in the wicks, the feed pump is stopped and the loaded wicks are dried down and replaced with a new wick package. Humid air leaving the package condensed by a heat exchanger. A water separator downstream removes water from the air stream. Acceptable water passes through a microbial check valve to posttreatment section, where it is filtered. This results in nearly 100% water recovery. Technical data is for supply of 8 people [1], unknown [13], [43], crew of 4 for 450 day Mars transit [48], crew of 8 for 500 day mission [51]</t>
  </si>
  <si>
    <t>178
345+27.67
117.93+225.83</t>
  </si>
  <si>
    <t>0.05
3.35+0.3
0.3398+1.1893</t>
  </si>
  <si>
    <t>Peak power of 51.75 W. life time limit of 5 years.</t>
  </si>
  <si>
    <t>Intramodule atmosphere circulation. 6 on ISS</t>
  </si>
  <si>
    <t>The Amine Swingbed is an amine-based, vacuum-regenerated adsorption technology for removing carbon dioxide and humidity from a habitable spacecraft environment, and is the baseline technology for the Orion Program’s Multi-Purpose Crew Vehicle (MPCV). Uses a pair of interleaved-layer beds filled with SA9T, the amine sorbent. A linear multiball valve rotates 270° back and forth to control the flow of air and vacuum to adsorbing and desorbing beds: one bed adsorbs CO2 and H2O from cabin air while the other bed is exposed to vacuum for regeneration by venting the CO2 and H2O. The two beds are thermally linked, so no additional heating or cooling is required. The technology can be applied to habitable environments where recycling CO2 and H2O is not required such as short duration missions. It can be used as a backup, which was happend on ISS. Second technical data for comparable system (RCA2 spacesuit) [45]</t>
  </si>
  <si>
    <t>Metal oxides have been considered for use in space habitats and EMU suits. During a 1973 study a silver oxide formulation (80.3 percent Ag20, 10.4 percent KOH, and 9.3percent Na2Si03) was found to have the best overall characteristics (absorption capacity, strength, desorption characteristics, etc.). Silver dioxide formulation has a absorption capacity of 0.12 kg/kg oxide at pCO2 of 0.4 kPa with requiring power of 1.86*10^6 J/kg CO2. Due to expansion and contraction during absorption and desorption, the metal oxide pellets structurally breakdown, and therefore have a limited life. Design goal is 50-60 regenerations with cycle times of 8 h. Water is required for the absorption reaction and enhances the sorption capacity, reaction kinetics, and cycle life, so moisture in the process atmosphere is necessary and high humidity may be preferable. This technology is used in ISS EMUs.</t>
  </si>
  <si>
    <r>
      <t xml:space="preserve">Molecular sieves </t>
    </r>
    <r>
      <rPr>
        <b/>
        <sz val="11"/>
        <color theme="1"/>
        <rFont val="Calibri"/>
        <family val="2"/>
        <scheme val="minor"/>
      </rPr>
      <t xml:space="preserve">4BMS </t>
    </r>
    <r>
      <rPr>
        <sz val="11"/>
        <color theme="1"/>
        <rFont val="Calibri"/>
        <family val="2"/>
        <scheme val="minor"/>
      </rPr>
      <t>or Carbon Dioxide Removal Assembly</t>
    </r>
    <r>
      <rPr>
        <b/>
        <sz val="11"/>
        <color theme="1"/>
        <rFont val="Calibri"/>
        <family val="2"/>
        <scheme val="minor"/>
      </rPr>
      <t xml:space="preserve"> CDRA</t>
    </r>
  </si>
  <si>
    <t xml:space="preserve">
860
546
536.06
900
945
498
497</t>
  </si>
  <si>
    <t>366.5 - 811
700 nominal
473-673
523-573
450-800</t>
  </si>
  <si>
    <t>50
148.59
60
263
260
50
130
2910</t>
  </si>
  <si>
    <t>268
148.59
640/480
-56
288
183kJ/mol_CO2
20286.66</t>
  </si>
  <si>
    <t>1.7*10^3</t>
  </si>
  <si>
    <t>0.395 - 10
0.35/1/20
680 (max)</t>
  </si>
  <si>
    <t>180 (250 peak)
194.35
200
150
180
244
128</t>
  </si>
  <si>
    <t>130 [23]
194.35
200</t>
  </si>
  <si>
    <t>0.395 - 10</t>
  </si>
  <si>
    <t xml:space="preserve">
2.76
7.081</t>
  </si>
  <si>
    <t>Similar to SFWE, using solid polymer electrolyte of perfluorinated sulfonic acid polymer about 0.3 mm thick. Requires feed water in direct contact with cell anode to provide cooling. No need of H2O-O2 seperator but dynamic 0g phase seperator pump for H2O-H2 seperation. This type is used on ISS. Technical data for crew of 6 on mars transit vehicle [14], crew of 6 for 400 days [34], crew of 6 [52], for crew of 6 on ISS [10], for crew of 6 [9], System+ORU for ISS [42], kg/CMd [43], Crew of 4 on ISS [56]</t>
  </si>
  <si>
    <t>1801.94
235
600
567</t>
  </si>
  <si>
    <t>3288.88
1021
1420
2100
1276</t>
  </si>
  <si>
    <r>
      <t>SFWE electrolyses</t>
    </r>
    <r>
      <rPr>
        <b/>
        <sz val="11"/>
        <color theme="1"/>
        <rFont val="Calibri"/>
        <family val="2"/>
        <scheme val="minor"/>
      </rPr>
      <t xml:space="preserve"> hygiene water </t>
    </r>
    <r>
      <rPr>
        <sz val="11"/>
        <color theme="1"/>
        <rFont val="Calibri"/>
        <family val="2"/>
        <scheme val="minor"/>
      </rPr>
      <t>to produce O2. Water resting statically in feed compartment diffuses as vapour through a membrane and into an aqueous KOH electrolyte. O2 gas is produced at the anode, with H2O vapor which must be removed by an seperator. Has capability of circulating feed water to provide any needed cooling. Water feed and cell matrices consists of thin asbestos sheets saturated with a hygroscopic aqueous potassium hydroxide (KOH) solution.</t>
    </r>
    <r>
      <rPr>
        <i/>
        <sz val="11"/>
        <color theme="1"/>
        <rFont val="Calibri"/>
        <family val="2"/>
        <scheme val="minor"/>
      </rPr>
      <t xml:space="preserve"> STS uses 3 cells, with each mean power output of 7.35 kW and max of 14 kW. 0.413kg H2O/kWh, 0.0454kg/kWh H2, 0.367kg/kWh O2</t>
    </r>
    <r>
      <rPr>
        <sz val="11"/>
        <color theme="1"/>
        <rFont val="Calibri"/>
        <family val="2"/>
        <scheme val="minor"/>
      </rPr>
      <t>. Technical data is for crew of 4 [13], crew of 6 for 400 days [34], crew of 6 [52], detailed system per CM [53]</t>
    </r>
  </si>
  <si>
    <t>Uses thermoelectric heat pump to transfer heat from a water condenser to an evaporator. Pretreatment of urine with ozone and sulfuric acid to fix free NH3, inhibit microbial growth, control odor and reduce foaming are necessary. The pretreated urine flows through two parallel heat exchanges in contact with the hot side of a thermoelectrical heat pump, which heated it to 339K. Then it flows to the evaporator which consists of 600 nafion tubes. The exteriour of the fibers is exposed to reduced pressure (17.2 kPa) causing water to evaporate. The vapor flows to the condenser whch is a porous plate surface in contact with the cold junctions of the thermoelectric pump. Partially condensed, the steam flows through an air-cooled heat exchanger where condensation process is completed. Latent heat is recoverd and reused in the evaporative process. The condensate is tested for water quality and gets deliverd as product water by a centrifuge-type pump. This pump acts as gas/liquid seperator. Unacceptable condensate is reprocessed. Technical data is based on a 20 kg/day model [13], crew of 4 for 450 day Mars transit [48], crew of 9 for 500 day mission [51]</t>
  </si>
  <si>
    <t>Waste water is purified by flowing it through filters and packed columns connected in series. Only required pressure is to overcome the small pressure drops across the filters and packed beds. The 3 basic steps are, particulates are removed by filtration, suspended organic contaminants are removed by a bed of activated charcoal and last inorganic salts are removed by cation and anion exchange resin beds. Six unibeds are installed in series. When the first one becomes too contaminated, it will be removed and a new one is placed at the end. Technical data is for support of 4 people [1], second data per person from [9], third and fourth unknown, but includes all equipment, maybe ISS, needs resupply of 478 kg/y [13], crew of 4 for 450 day Mars transit [48], crew of 9 for 500 day mission [51]</t>
  </si>
  <si>
    <t>4.31
3</t>
  </si>
  <si>
    <t>up to 104.7</t>
  </si>
  <si>
    <t>291.5 - 299.8</t>
  </si>
  <si>
    <t>96.5 -102.7</t>
  </si>
  <si>
    <t>276.5-294.2</t>
  </si>
  <si>
    <t>6.8  (15.7 dynamic)</t>
  </si>
  <si>
    <t>0.24
0.2</t>
  </si>
  <si>
    <t>0.15
7.68</t>
  </si>
  <si>
    <t xml:space="preserve">
62 - 104.8</t>
  </si>
  <si>
    <t>Excess CO2 shall be removed from the atmosphere.</t>
  </si>
  <si>
    <t>Controls total and partial pressures</t>
  </si>
  <si>
    <t>1.64 liquid</t>
  </si>
  <si>
    <t>ISS refrigerator/freezer is composed of 4 compartments. In refrigerator mode, all compartments akts as refrigerators. Other mode is refrigerator/freezer, in which 2 compartements acts as refrigerator or freezer. Thermodynamic coefficient of performance (COP) is 0.36. Maintance is on ground! Internal volume is 0.614 m³ and load is 295 kg [10], Second data is for crew of 6 on 6-12 m lunar surface mission [9], third for crew of 6 on 500 day mars mission [9]</t>
  </si>
  <si>
    <t>12
0
22.5</t>
  </si>
  <si>
    <t>CO2 laden air flows through canister with LiOH ganules. 2 kg LiOH removes around 0.84 kg CO2 (1 persons output). Weight inludes structure and removes 4kg CO2 and produces 1.6 kg H2O. Second data is from Shuttle, dry cartidge weight is 0.907 kg and 2.27 kg LiOH/cartidge, and rack weight of 3.63 kg for 3 cartiges (0.0311m³); Shuttle had 9 racks (27 canister) and must changeout all 12 h for a crew of 4 (7. 6h for 6 CM, 3.2 h for 10 CM); H2O production was 0.39 kg/CMd; system consist of temperature control assembly (with valve and controller) and the LiOH controller; Weight for hardware was 10.43 kg + 3 contingency canisters 9.52kg + 1 storage rack 3.63 kg = fixed weight of 23.58 kg [20], crew of 6 for 400 days [34], data from [45]</t>
  </si>
  <si>
    <t>Consists of canister with included 6x14 mesh granular anhydrous LiOH. It is needed because COA produces acid gases. Removes those gases which cannot be absorbed by activated charcoal or oxidized to CO2 and H2O. These are primarily nitrogen and sulfur compounds, halogens and metal hybrids Analyses show it could have a operation life of 12.7 y (6 y with high margin).</t>
  </si>
  <si>
    <t>The Pressure Control Panel (PCP) is consists of an O2 Isolation Valve, a N2 Isolation Valve, a Firware controller, two O2/N2 Ime pressure sensors, two O2/N2 flow restrictors, and O2/N2 discharge difiuser, 3 on ISS with 0 spares</t>
  </si>
  <si>
    <t>30.8 % CH4 (+H2+CO2+O2)
69.2 % H2O</t>
  </si>
  <si>
    <t>0.06 gas (1.272 O2)
0.136 liquid</t>
  </si>
  <si>
    <t>0.196 gas
(0.748 liquid)</t>
  </si>
  <si>
    <t>84.6 % H2 (-H2)
15.4 % CO2
(H2O)</t>
  </si>
  <si>
    <t>1.7 man-hours per year
31.2 scheduled + 9.3 unscheduled</t>
  </si>
  <si>
    <t>leakage to vacuum
O2 and H2O losses through venting (7.3*10^-3 kg/h air, 3.1*10^-2 kg/h water)
only 1000 hours of inflight test</t>
  </si>
  <si>
    <t>Zeolite molecular sieves, the principle adsorbents used, have a greater affinity for water than for CO2 and a desiccant (another Zeolite andlor silica gel) is used to dry the atmosphere upstream of the Zeolite. 2BMS uses two zeolite molecular sieve materials (referred to as 13X and 5A) in a layered bed arrangement to remove excess moisture and CO2 from the atmosphere. The sorbents were regenerated by venting to space, in the reverse direction so that water would not enter the CO2 removal portion of the bed (the 5A material). For such open-loop operation the molecular sieve was also used for trace contaminant removal and humidity control. Continuous operation was achieved by cycling between two "beds" so that one could be desorbed while the other was adsorbing. Technical data is for 3 people [1], per kg/day CO2 [27], crew of 6 for 400 days [34], from apollo applications program [44]</t>
  </si>
  <si>
    <t>Food containers store at ambient storage temperature. Each food locker store 18 meals and have empty mass of 0.9 kg.</t>
  </si>
  <si>
    <t xml:space="preserve">99.9
</t>
  </si>
  <si>
    <t>0.38
40
2042000
1021000
920
12</t>
  </si>
  <si>
    <t>0.38
40
2042000
1021000
920
0</t>
  </si>
  <si>
    <t>3.6 - 6.5
5</t>
  </si>
  <si>
    <t>4.37 CMh/y
0.08 CMh/y</t>
  </si>
  <si>
    <t xml:space="preserve">
103.5</t>
  </si>
  <si>
    <t>87.6
103.5
87.6
103.3</t>
  </si>
  <si>
    <t xml:space="preserve">
68.9 - 104.8</t>
  </si>
  <si>
    <t>operating temperatures [K]</t>
  </si>
  <si>
    <t>operating pressures [kPa]</t>
  </si>
  <si>
    <t>life limit of 2.38 years</t>
  </si>
  <si>
    <t>Subsystem</t>
  </si>
  <si>
    <t>Level</t>
  </si>
  <si>
    <t>TRL
Literature</t>
  </si>
  <si>
    <t>Maintance</t>
  </si>
  <si>
    <t>Advantages</t>
  </si>
  <si>
    <t>Disadvantages</t>
  </si>
  <si>
    <t>Prospective improvements</t>
  </si>
  <si>
    <t>Uses</t>
  </si>
  <si>
    <t>life limit of 0.25 years!</t>
  </si>
  <si>
    <t xml:space="preserve">61845
</t>
  </si>
  <si>
    <t xml:space="preserve">27156
</t>
  </si>
  <si>
    <t xml:space="preserve">296701
</t>
  </si>
  <si>
    <t xml:space="preserve">
no scheduled maintance
27.6 h/y
2.7 h/y
2.97 h/y
2.72 h/y</t>
  </si>
  <si>
    <t>0.9343
1.0</t>
  </si>
  <si>
    <t>0.002836
0.0031</t>
  </si>
  <si>
    <t>22.68
11.25</t>
  </si>
  <si>
    <t>urine processing</t>
  </si>
  <si>
    <t>Requires N2 purge periodically [45] assumes 35min/wk and additional time for N2 purge (assume 20min/month) [51] says 11.534 h/y</t>
  </si>
  <si>
    <t>remove of cartige all few hours 8 min for changeout estimated</t>
  </si>
  <si>
    <t>8 hr per cartridge and 14 recharge time in oven 4 min per cartridge changeout:
2*4min/14h*14oven = 3.2 h/day</t>
  </si>
  <si>
    <r>
      <t>Flushing my be required occasionally
mean for WRM</t>
    </r>
    <r>
      <rPr>
        <b/>
        <sz val="11"/>
        <color theme="1"/>
        <rFont val="Calibri"/>
        <family val="2"/>
        <scheme val="minor"/>
      </rPr>
      <t xml:space="preserve">
</t>
    </r>
    <r>
      <rPr>
        <sz val="11"/>
        <color theme="1"/>
        <rFont val="Calibri"/>
        <family val="2"/>
        <scheme val="minor"/>
      </rPr>
      <t>56h for 500 days</t>
    </r>
  </si>
  <si>
    <r>
      <t>peristaltic fluid pump is limiting factor
worst for WRM</t>
    </r>
    <r>
      <rPr>
        <b/>
        <sz val="11"/>
        <color theme="1"/>
        <rFont val="Calibri"/>
        <family val="2"/>
        <scheme val="minor"/>
      </rPr>
      <t xml:space="preserve">
</t>
    </r>
    <r>
      <rPr>
        <sz val="11"/>
        <color theme="1"/>
        <rFont val="Calibri"/>
        <family val="2"/>
        <scheme val="minor"/>
      </rPr>
      <t>13.1 for 500 days</t>
    </r>
  </si>
  <si>
    <t>Date:</t>
  </si>
  <si>
    <t>(not required)</t>
  </si>
  <si>
    <t>Packaging replacment every 20 days</t>
  </si>
  <si>
    <t>Storage at ambient temperature with optimum pressure-to-volume ratio at a pressure of a few million Pa. (20.7 MPa)</t>
  </si>
  <si>
    <t>Lower specific weight and volume compared to hight pressure. Provides a low-temperature heat sink available for thermal integration with other subsystems. Approaches like supercritical storage with thermal pressurization, compresed liquid storage, and two-phase storage with thermal pressurization available.</t>
  </si>
  <si>
    <t>Binding of CO2 on molecules when in reduced form and releasing CO2 in oxidized form. Compounds that have been investigated include quinone and other ring compounds having an oxygen or nitrogen atom as a binding site and a redox active site. The concept is promising but there are fundamental problems such as sensitivity to 02 present in the atmosphere. Can maybe used to develop membranes that selectively pump CO2.</t>
  </si>
  <si>
    <t>Low-temperature coolant for the ITCS is supplied form the USOS at 0.6 to 5.6 °C and returned to the USOS at 3.3 to 21 °C at a pressure of 124 to 689 kPa and at a flowrate of 0 to 0.063 kg/s. Maximum heat load exchanged between Node2 and APM is +- 200W for sensible heat with no latent heat transfer.</t>
  </si>
  <si>
    <t>First data for shuttle, consisting of Breathing Regulator (0.1 kg) and Oxygen system [11], second for ISS for all [9]</t>
  </si>
  <si>
    <t>MCA Rank</t>
  </si>
  <si>
    <t>ESM Rank</t>
  </si>
  <si>
    <t>Mean</t>
  </si>
  <si>
    <t>ECLSS System Function (required)</t>
  </si>
  <si>
    <t>469
530.52
468</t>
  </si>
  <si>
    <t>Heat removal and fire detection/-suppresion of avionics/equipment. 6 to 19 on ISS. Second data is for crew of 6 on mars transit vehicle [14], for WPA on ISS (should be for crew of 4) [56]</t>
  </si>
  <si>
    <t>Fire Detection Assembly</t>
  </si>
  <si>
    <t>Used on ISS (16)</t>
  </si>
  <si>
    <t>Fire Extinguisher</t>
  </si>
  <si>
    <t>Used on ISS (7)</t>
  </si>
  <si>
    <t>Amount of Modules:</t>
  </si>
  <si>
    <t>2.21*10^4 - 2.53*10^4 nominal
2.21*10^4</t>
  </si>
  <si>
    <t>Pressure is applied to the waste water, forcing water across a semipermeable membrane. Current membranes are incaple of removing small organics. Result is a large volume of relativly pure permeate and a small volume of very concentrated fluid, which must be processed by a VCD or stored. Current membranes require pretreatment of UF and posttreatment of MF. Ideally, the system operate above the waste pasteurization T of 347K to prevent microbial growth. Two types of membranes are aplicable. A hollow fiber membrane consist of a porous polysulfone base with a proprietary solute rejecting thin skin deposited in the fiber interiour. This configuration has a hight membrane surface area-to-volume ratio which increases module compactness. Waste water is fed to the interiour to minimize fouling or the collection of contaminants on the membrane surface. The other type is a dual layer membrane which is made from a mixture of zirconium oxide and polyacrylic acid deposited on the interior of a porous metal or ceramic tube. It has a hight water flux or throughput (1.9*10^-5 m/s vs. 1.1*10^-5 m/s for the hollow fiber membrane at 2.8*10^6 Pa) and is stable at pasteurization T. Specific Engery for both membranes is about 10 Wh/kg water recoverd. Technical data is for support of 4 people, second for 500 days 9 men [51]</t>
  </si>
  <si>
    <t>Non-graphical Data Output Sheet</t>
  </si>
  <si>
    <t>ECLSS Composition ESM</t>
  </si>
  <si>
    <t>CO2 Removal System:</t>
  </si>
  <si>
    <t>CO2 Reduction System:</t>
  </si>
  <si>
    <t>WW Filtration System:</t>
  </si>
  <si>
    <t>Urine Processing System:</t>
  </si>
  <si>
    <t>Electrolysis System:</t>
  </si>
  <si>
    <t>Metabolic Considerations</t>
  </si>
  <si>
    <t>Metabolic factors can be adjusted in the "Schedule and Metabolic" Worksheet</t>
  </si>
  <si>
    <t>Max. allowable ppCO2 [kPa]</t>
  </si>
  <si>
    <t>Atmospheric Requirements</t>
  </si>
  <si>
    <t>Value</t>
  </si>
  <si>
    <t>Food</t>
  </si>
  <si>
    <t>Average Power [W]:</t>
  </si>
  <si>
    <t>Min. allowable ppO2 [kPa]</t>
  </si>
  <si>
    <t>Controls gaseous contaminants. 4 installed on ISS</t>
  </si>
  <si>
    <t>4.36
0.2</t>
  </si>
  <si>
    <t>0.54
0.54</t>
  </si>
  <si>
    <t>2.13
5.4</t>
  </si>
  <si>
    <t>CO2 Reduction Assembly</t>
  </si>
  <si>
    <t>Assembly for either Bosch or Sabatier Reactor (without Bosch or Sabatier Reactor Mass)</t>
  </si>
  <si>
    <t>Assembly for either CAMRAS,  4BMS, SAWD or EDC</t>
  </si>
  <si>
    <t>CO2 Removal Assembly</t>
  </si>
  <si>
    <t>Electrochemical CO2 concentrators are essentially modified fuel cells that operate in the reverse direction electrochemically. H2 and O2 reacts with CO2 inside a electrochemical cell. On the anode-side high concentration CO2 with some H2 streams out, while on cathode-side air with low concentration CO2 flows out. Works similar to a H2O2 fuel cell, which means it generates power (DC). 25 % of the heat generated by reaction is removed by out-streams, remaining needs separate liquid cooling stream. Technical data is for 4 people [1], and per kg-day CO2 removal [27], unknown [13], crew of 6 for 400 days [34], for Crew of 4 for ISS [46], for crew of 9 [51], crew of 6 [51]</t>
  </si>
  <si>
    <t>peak power of 7.64 W</t>
  </si>
  <si>
    <t>87.9
195.3793
182
179.14
90
30
255
195+156
30
193
242.67
173.3</t>
  </si>
  <si>
    <t>Valve (selector)</t>
  </si>
  <si>
    <t>Pump Fan Controller</t>
  </si>
  <si>
    <t>Waste</t>
  </si>
  <si>
    <t>A. of ORUs</t>
  </si>
  <si>
    <t>Electrolysis</t>
  </si>
  <si>
    <t>Sum</t>
  </si>
  <si>
    <t>Mission 1</t>
  </si>
  <si>
    <t>Total amount_x000D_
[kg]</t>
  </si>
  <si>
    <t>Number of_x000D_
Missions:</t>
  </si>
  <si>
    <t>Add. Flight 2</t>
  </si>
  <si>
    <t>Add. Flight 3</t>
  </si>
  <si>
    <t>Add. Flight 4</t>
  </si>
  <si>
    <t>Add. Flight 5</t>
  </si>
  <si>
    <t>Add. Flight 6</t>
  </si>
  <si>
    <t>Add. Flight 7</t>
  </si>
  <si>
    <t>Add. Flight 8</t>
  </si>
  <si>
    <t>Add. Flight 9</t>
  </si>
  <si>
    <t>Add. Flight 10</t>
  </si>
  <si>
    <t>Mission 2</t>
  </si>
  <si>
    <t>No</t>
  </si>
  <si>
    <t>WW filt</t>
  </si>
  <si>
    <t>Urine Proc.</t>
  </si>
  <si>
    <t>Add. Flight 1</t>
  </si>
  <si>
    <t>[kg/d]</t>
  </si>
  <si>
    <t>Allow Cell Check</t>
  </si>
  <si>
    <t>Tasks left</t>
  </si>
  <si>
    <t>Work</t>
  </si>
  <si>
    <t>Generated data is stored here to be used further in the following sheets:</t>
  </si>
  <si>
    <t>Schedule and Metabolic, Graphical Output and Resupply Approach</t>
  </si>
  <si>
    <t>Work/Planning</t>
  </si>
  <si>
    <t>Work [h]</t>
  </si>
  <si>
    <t>Exercise [h]</t>
  </si>
  <si>
    <t>Planning/Prep. [h]</t>
  </si>
  <si>
    <t>Recreation [h]</t>
  </si>
  <si>
    <t>Homekeeping [h]</t>
  </si>
  <si>
    <t>Descriptions of all currently available functions can be found here</t>
  </si>
  <si>
    <t>Initial Consumables</t>
  </si>
  <si>
    <r>
      <t xml:space="preserve">Vapor Phase Catalytic Ammonia Removal </t>
    </r>
    <r>
      <rPr>
        <b/>
        <sz val="11"/>
        <color theme="1"/>
        <rFont val="Calibri"/>
        <family val="2"/>
        <scheme val="minor"/>
      </rPr>
      <t>VPCAR</t>
    </r>
  </si>
  <si>
    <t>Vapor phase catalytic ammonia removal VPCAR + Lyophilization</t>
  </si>
  <si>
    <t>[%]</t>
  </si>
  <si>
    <t>[kg/CM*h]</t>
  </si>
  <si>
    <t>Mass</t>
  </si>
  <si>
    <t>Volume</t>
  </si>
  <si>
    <t>Power</t>
  </si>
  <si>
    <t>Cooling</t>
  </si>
  <si>
    <t>Maintenance</t>
  </si>
  <si>
    <r>
      <t>N</t>
    </r>
    <r>
      <rPr>
        <b/>
        <vertAlign val="subscript"/>
        <sz val="11"/>
        <color theme="0"/>
        <rFont val="Calibri"/>
        <family val="2"/>
        <scheme val="minor"/>
      </rPr>
      <t>2</t>
    </r>
    <r>
      <rPr>
        <b/>
        <sz val="11"/>
        <color theme="0"/>
        <rFont val="Calibri"/>
        <family val="2"/>
        <scheme val="minor"/>
      </rPr>
      <t xml:space="preserve"> Supply</t>
    </r>
  </si>
  <si>
    <r>
      <t>H</t>
    </r>
    <r>
      <rPr>
        <b/>
        <vertAlign val="subscript"/>
        <sz val="11"/>
        <color theme="0"/>
        <rFont val="Calibri"/>
        <family val="2"/>
        <scheme val="minor"/>
      </rPr>
      <t>2</t>
    </r>
    <r>
      <rPr>
        <b/>
        <sz val="11"/>
        <color theme="0"/>
        <rFont val="Calibri"/>
        <family val="2"/>
        <scheme val="minor"/>
      </rPr>
      <t>O Supply</t>
    </r>
  </si>
  <si>
    <t>Location Factor:</t>
  </si>
  <si>
    <t>Mission Duration [d]</t>
  </si>
  <si>
    <t>Total ESM</t>
  </si>
  <si>
    <t>Algal Reactor that can be used for urine processing. Nitrate and phosphate provided by crew urine. Urine must be diluted for which wastewater is used in a ratio of 1:3. Data is for crew of six.</t>
  </si>
  <si>
    <t>Algal Reactor that can be used for CO2 removal and O2 generation. For CO2 removal authors advise to use nitrates and phosphates as consumables. Data is for crew of six.</t>
  </si>
  <si>
    <t>[1 to 5]</t>
  </si>
  <si>
    <t>82.6
3.1</t>
  </si>
  <si>
    <t>4.72
30</t>
  </si>
  <si>
    <t>Add Crew by default</t>
  </si>
  <si>
    <t>Flight 1</t>
  </si>
  <si>
    <t>Test</t>
  </si>
  <si>
    <t>Flight 2</t>
  </si>
  <si>
    <t>313
192.5
313
177kJ/mole_CO2</t>
  </si>
  <si>
    <t>System level:  assembly</t>
  </si>
  <si>
    <t>Water Tank</t>
  </si>
  <si>
    <t>CAMRAS</t>
  </si>
  <si>
    <t>LiOH</t>
  </si>
  <si>
    <t>HPS</t>
  </si>
  <si>
    <t>Habitable volume workshop resulst</t>
  </si>
  <si>
    <t>McDonnell Douglas</t>
  </si>
  <si>
    <t xml:space="preserve">Parametric study of manned life support systems. Volume 2 - </t>
  </si>
  <si>
    <t>NASA</t>
  </si>
  <si>
    <t>upgrades to ISS water system</t>
  </si>
  <si>
    <t>International Space Station Water Balance Operations</t>
  </si>
  <si>
    <t>Peter Plötner</t>
  </si>
  <si>
    <t>Modeling of the ISS in V-HAB and Correlation with Flight and Ground Tests Data</t>
  </si>
  <si>
    <t>International Space Station Crew Quarters Ventilation and Acoustic Design Implementation</t>
  </si>
  <si>
    <t>Integrated Test and Evaluation of a 4-Bed Molecular Sieve (4BMS) Carbon Dioxide Removal System (CDRA), Mechanical Compressor Engineering Development Unit (EDU), and Sabatier Engineering Development Unit (EDU)</t>
  </si>
  <si>
    <t>AIRBUS</t>
  </si>
  <si>
    <t>Development Status of the Advanced Closed Loop System ACLS</t>
  </si>
  <si>
    <t>Carbon Dioxide Reprocessing Subsystem for Loop Closure as part of the Regenerative Life Support System ACLS</t>
  </si>
  <si>
    <t>ESA</t>
  </si>
  <si>
    <t>data from email of Johannes Witt</t>
  </si>
  <si>
    <t>Jacobs, Honeywell</t>
  </si>
  <si>
    <t>Cascade Distillation Subsystem Development: Early Results From the Exploration Life Support Distillation Technology Comparison Test</t>
  </si>
  <si>
    <t>Cost analyis of CO2 concentrators</t>
  </si>
  <si>
    <t>Life Systems Inc</t>
  </si>
  <si>
    <t>STATIC FEED WATER ELECTROLYSIS MODULE</t>
  </si>
  <si>
    <t>Cost analyis of O2 recovery systems</t>
  </si>
  <si>
    <t>UAC/NASA</t>
  </si>
  <si>
    <t>Trade-off study and conceptual designs of regenerative advanced integrated life support systems (AILSS)</t>
  </si>
  <si>
    <t>JSC/NASA</t>
  </si>
  <si>
    <t>Amine Swingbed Payload Testing on ISS</t>
  </si>
  <si>
    <t>ISS, Uni Stuttgart</t>
  </si>
  <si>
    <t>Efficient Evaluation Method of System Concepts for Preliminary ECLSS Design Studies</t>
  </si>
  <si>
    <t>Developing the Water Supply System for Travel to Mars</t>
  </si>
  <si>
    <t>Space Shuttle News Reference Manual (website)</t>
  </si>
  <si>
    <t>LOW pCO2 AIR-POLARIZED CO2 CONCENTRATOR DEVELOPMENT</t>
  </si>
  <si>
    <t>TUM</t>
  </si>
  <si>
    <t>Implementation of short term life support</t>
  </si>
  <si>
    <t>Carbon Dioxide Removal Technologies for Space Vehicles - Past, Present, and Future</t>
  </si>
  <si>
    <t xml:space="preserve">Tokyo Jogakkan College
</t>
  </si>
  <si>
    <t>Parametric Analysis of Logistics and Life Support Systems for Deep Space Mission Design</t>
  </si>
  <si>
    <t>Humans to Mars Will Cost About “Half a Trillion Dollars” and Life Support Roughly Two Billion Dollars</t>
  </si>
  <si>
    <t>Northrop Grumman</t>
  </si>
  <si>
    <t>Testing the Celanto Curve</t>
  </si>
  <si>
    <t>Anthropometric survey of the astronaut applicants and astronauts from 1985 to 1991</t>
  </si>
  <si>
    <t>State university</t>
  </si>
  <si>
    <t>Top Level modeling of crew component of ALSSS</t>
  </si>
  <si>
    <t>Minimum Acceptable Net Habitable Volume for Long-Duration Exploration Mission</t>
  </si>
  <si>
    <t>A Design Basis for Spacecraft Cabin Trace Contaminant Control</t>
  </si>
  <si>
    <t>Guiding Requirements for Designing LSS Architectures for crewed expl missin BLWO</t>
  </si>
  <si>
    <t>Lockheed Martin</t>
  </si>
  <si>
    <t>ALS MODELING AND ANALYSIS PROJECT; MARS MISSIONS SOLID WASTE MODEL</t>
  </si>
  <si>
    <t>Advanced Life Support Technologies List</t>
  </si>
  <si>
    <t>Boeing</t>
  </si>
  <si>
    <t>D684-10508-04-02 ECLS Architecture Description Document Vol 4 Book 2</t>
  </si>
  <si>
    <t>ISS THC Verification of Node1</t>
  </si>
  <si>
    <t>MORD (ISS Medical Opereations Requirements Document,SSP 50260)</t>
  </si>
  <si>
    <t>SMAC</t>
  </si>
  <si>
    <t>CTD</t>
  </si>
  <si>
    <t>Type V tank</t>
  </si>
  <si>
    <t>&lt;2008</t>
  </si>
  <si>
    <t>CEA-Air Liquide</t>
  </si>
  <si>
    <t>700 bar HYDROGEN STORAGE 700 bar HYDROGEN STORAGE poster</t>
  </si>
  <si>
    <t>SSL</t>
  </si>
  <si>
    <t>Space Human Factors and Life Support Course - air revitalization</t>
  </si>
  <si>
    <t>Designing for human presence in space</t>
  </si>
  <si>
    <t>Advancments of O2 generation and humidity control by WVE</t>
  </si>
  <si>
    <t xml:space="preserve">NASA Environmental Control and Life Support Technology Development and Maturation for Exploration: 2015 to 2016 </t>
  </si>
  <si>
    <t>Living together in space: the design and operation of the life support systems on the iss</t>
  </si>
  <si>
    <t>An ISS bacterial filter element service life evaluation</t>
  </si>
  <si>
    <t>2008?</t>
  </si>
  <si>
    <t>An assessment of ISSs trace contaminant control subassembly for economics</t>
  </si>
  <si>
    <t>HAMILTON STANDARD</t>
  </si>
  <si>
    <t>LIGHTSIDE ATMOSPHERIC REVITALIZATION SYSTEM</t>
  </si>
  <si>
    <t>2010?</t>
  </si>
  <si>
    <t>INL, NASA</t>
  </si>
  <si>
    <t>The Concept and Analytical Investigation of CO2 and Steam Co-Electrolysis for Resource Utilization in Space Exploration</t>
  </si>
  <si>
    <t>NASA technology roadmaps - TA 7</t>
  </si>
  <si>
    <t>NASA-STD-3000, Man-Systems integration standarts (MSIS)</t>
  </si>
  <si>
    <t>2014?</t>
  </si>
  <si>
    <t>The challenges of developing a food system for a mars mission (presentation)</t>
  </si>
  <si>
    <t>NASA technology roadmaps - TA 6</t>
  </si>
  <si>
    <t>Hanford</t>
  </si>
  <si>
    <t>ALS RD Metric</t>
  </si>
  <si>
    <t>Gisela dentrell</t>
  </si>
  <si>
    <t>Analysis and simulation of a syneric environmental control and ...</t>
  </si>
  <si>
    <t>Bickel T.</t>
  </si>
  <si>
    <t>Development of a Dynamic physico chemical...</t>
  </si>
  <si>
    <t>Advanced life support baseline values and assumptions document</t>
  </si>
  <si>
    <t>Life support baseline values and assumptions document</t>
  </si>
  <si>
    <t>larson; pranke</t>
  </si>
  <si>
    <t>Human spaceflight</t>
  </si>
  <si>
    <t>this analysis includes water recovery, urine recovery, oxygen generation, carbon dioxide reduction through a Sabatier process, and laundry for washing clothes. Recovery of water from urine is assumed at 85% whereas all other water sources are recovered at 100%. Brine recovery, solid waste dewatering, and Bosch reaction are not included in these estimates.</t>
  </si>
  <si>
    <t>Mars design reference architecture 5.0 Addendum #2</t>
  </si>
  <si>
    <t>https://www.nasa.gov/mission_pages/station/research/experiments/1205.html</t>
  </si>
  <si>
    <t>https://www.nasa.gov/mission_pages/station/research/experiments/29.html</t>
  </si>
  <si>
    <t>https://www.nasa.gov/mission_pages/station/research/experiments/58.html</t>
  </si>
  <si>
    <t>https://www.nasa.gov/mission_pages/station/research/experiments/351.html</t>
  </si>
  <si>
    <t>peter eckart</t>
  </si>
  <si>
    <t>the lunar base handbook</t>
  </si>
  <si>
    <t>Nitta, Keiji</t>
  </si>
  <si>
    <t>Material flow estimation in CELSS</t>
  </si>
  <si>
    <t>spaceflight life support &amp; biospherics</t>
  </si>
  <si>
    <t>system</t>
  </si>
  <si>
    <t>year/version</t>
  </si>
  <si>
    <t>author</t>
  </si>
  <si>
    <t>title</t>
  </si>
  <si>
    <t>number</t>
  </si>
  <si>
    <t>International Space Station Environmental Control and Life Support System Mass and Crewtime Utilization In Comparison to a Long Duration Human Space Exploration Mission</t>
  </si>
  <si>
    <t>Robert Bagdigian et.al. (NASA)</t>
  </si>
  <si>
    <t>1385-455</t>
  </si>
  <si>
    <t>Status of the Regenerative ECLSS Water Recovery System</t>
  </si>
  <si>
    <t>Performance Qualification Test of the ISS Water Processor Assembly (WPA) Expendable</t>
  </si>
  <si>
    <t>Layne Carter (NASA)</t>
  </si>
  <si>
    <t xml:space="preserve">315(operating)
56 (standby)
211.4 (averaged)
</t>
  </si>
  <si>
    <t>428 (operating)
241 (standby)
275.1 (averaged)</t>
  </si>
  <si>
    <t>Status of ISS Water Management and Recovery</t>
  </si>
  <si>
    <t>Would Current International Space Station (ISS) Recycling Life Support Systems Save Mass on a Mars Transit?</t>
  </si>
  <si>
    <t>Harry Jones (NASA)</t>
  </si>
  <si>
    <r>
      <t xml:space="preserve">Urine processing assembly </t>
    </r>
    <r>
      <rPr>
        <b/>
        <sz val="11"/>
        <color theme="1"/>
        <rFont val="Calibri"/>
        <family val="2"/>
        <scheme val="minor"/>
      </rPr>
      <t>UPA</t>
    </r>
    <r>
      <rPr>
        <sz val="11"/>
        <color theme="1"/>
        <rFont val="Calibri"/>
        <family val="2"/>
        <scheme val="minor"/>
      </rPr>
      <t xml:space="preserve"> (uses Vapor Compression Distillation </t>
    </r>
    <r>
      <rPr>
        <b/>
        <sz val="11"/>
        <color theme="1"/>
        <rFont val="Calibri"/>
        <family val="2"/>
        <scheme val="minor"/>
      </rPr>
      <t>VCD</t>
    </r>
    <r>
      <rPr>
        <sz val="11"/>
        <color theme="1"/>
        <rFont val="Calibri"/>
        <family val="2"/>
        <scheme val="minor"/>
      </rPr>
      <t>)</t>
    </r>
  </si>
  <si>
    <t>Thermoelectric Integrated Membrane Evaporation TIMES</t>
  </si>
  <si>
    <t>Water processing assembly WPA</t>
  </si>
  <si>
    <t>Vapor Phase Catalytic Ammonia Removal VPCAR</t>
  </si>
  <si>
    <t>Reliability without Spares</t>
  </si>
  <si>
    <r>
      <t>[m</t>
    </r>
    <r>
      <rPr>
        <b/>
        <vertAlign val="superscript"/>
        <sz val="11"/>
        <color theme="0"/>
        <rFont val="Calibri"/>
        <family val="2"/>
        <scheme val="minor"/>
      </rPr>
      <t>3</t>
    </r>
    <r>
      <rPr>
        <b/>
        <sz val="11"/>
        <color theme="0"/>
        <rFont val="Calibri"/>
        <family val="2"/>
        <scheme val="minor"/>
      </rPr>
      <t>]</t>
    </r>
  </si>
  <si>
    <t>ESM Without Crew Time</t>
  </si>
  <si>
    <t>[-]</t>
  </si>
  <si>
    <t>Resupply Mass</t>
  </si>
  <si>
    <t>BVAD Values:</t>
  </si>
  <si>
    <t>Pre Exercise</t>
  </si>
  <si>
    <t>Unit</t>
  </si>
  <si>
    <t>O2 Consumption</t>
  </si>
  <si>
    <t>CO2 Production</t>
  </si>
  <si>
    <t>Feces Production</t>
  </si>
  <si>
    <t>Urine Water Production</t>
  </si>
  <si>
    <t>Potable Water Consumption</t>
  </si>
  <si>
    <t>Food Consumption</t>
  </si>
  <si>
    <t>Sweat/Water Vapor Production</t>
  </si>
  <si>
    <t>[kJ/CM*h]</t>
  </si>
  <si>
    <t>Metabolic Water</t>
  </si>
  <si>
    <t xml:space="preserve">Urine Solid Waste Production </t>
  </si>
  <si>
    <t>Feces Solid Waste Production</t>
  </si>
  <si>
    <t xml:space="preserve">Hygiene Solid Waste Production </t>
  </si>
  <si>
    <t>Sweat/Water Vapor Solid Wastes Production</t>
  </si>
  <si>
    <t>Water Content in Food</t>
  </si>
  <si>
    <t>Hygiene Water Consumption</t>
  </si>
  <si>
    <t>Heat Load</t>
  </si>
  <si>
    <t>Water Balance</t>
  </si>
  <si>
    <t># of Crew</t>
  </si>
  <si>
    <t>Schedule 1</t>
  </si>
  <si>
    <t>Schedule 2</t>
  </si>
  <si>
    <t>Hygiene</t>
  </si>
  <si>
    <t>Schedule 3</t>
  </si>
  <si>
    <t>Schedule 4</t>
  </si>
  <si>
    <t>Schedule 5</t>
  </si>
  <si>
    <t>Schedule 6</t>
  </si>
  <si>
    <t>Schedule 7</t>
  </si>
  <si>
    <t>Water Balance User Schedule</t>
  </si>
  <si>
    <t>Metabolic Values up to date</t>
  </si>
  <si>
    <t>Schedule was Checked</t>
  </si>
  <si>
    <t>Mass
Literature</t>
  </si>
  <si>
    <t>[kg/CM]</t>
  </si>
  <si>
    <t>Mass Confidence Factor</t>
  </si>
  <si>
    <t>Volume
Literature</t>
  </si>
  <si>
    <r>
      <t>[m</t>
    </r>
    <r>
      <rPr>
        <vertAlign val="superscript"/>
        <sz val="11"/>
        <color theme="0"/>
        <rFont val="Calibri"/>
        <family val="2"/>
        <scheme val="minor"/>
      </rPr>
      <t>3</t>
    </r>
    <r>
      <rPr>
        <sz val="11"/>
        <color theme="0"/>
        <rFont val="Calibri"/>
        <family val="2"/>
        <scheme val="minor"/>
      </rPr>
      <t>]</t>
    </r>
  </si>
  <si>
    <r>
      <t>[m</t>
    </r>
    <r>
      <rPr>
        <vertAlign val="superscript"/>
        <sz val="11"/>
        <color theme="0"/>
        <rFont val="Calibri"/>
        <family val="2"/>
        <scheme val="minor"/>
      </rPr>
      <t>3</t>
    </r>
    <r>
      <rPr>
        <sz val="11"/>
        <color theme="0"/>
        <rFont val="Calibri"/>
        <family val="2"/>
        <scheme val="minor"/>
      </rPr>
      <t>/CM]</t>
    </r>
  </si>
  <si>
    <t>Volume Confidence Factor</t>
  </si>
  <si>
    <t>Heat Generated
Literature</t>
  </si>
  <si>
    <t>{W/CM]</t>
  </si>
  <si>
    <t>Heat Confidence Factor</t>
  </si>
  <si>
    <t>Power required
Literature</t>
  </si>
  <si>
    <t>Power Confidence Factor</t>
  </si>
  <si>
    <t>Mass of 1 ORU</t>
  </si>
  <si>
    <t>Efficiency</t>
  </si>
  <si>
    <t>[kg/(d CM)]</t>
  </si>
  <si>
    <t>[W/CM]</t>
  </si>
  <si>
    <t>Heat</t>
  </si>
  <si>
    <t>MTBF</t>
  </si>
  <si>
    <t>MTBF Confidence Factor</t>
  </si>
  <si>
    <t>[h/year]</t>
  </si>
  <si>
    <t xml:space="preserve"> [h/(year CM)]</t>
  </si>
  <si>
    <t>fix Maintenance</t>
  </si>
  <si>
    <t>Maintenance per CM</t>
  </si>
  <si>
    <t>Spare Parts</t>
  </si>
  <si>
    <t>ESM Without Spares</t>
  </si>
  <si>
    <t>Volume for Spares/ORU</t>
  </si>
  <si>
    <t>Mass for Spares/ORU</t>
  </si>
  <si>
    <t>ESM w/o CT Rank</t>
  </si>
  <si>
    <t>TRL Confidence Factor</t>
  </si>
  <si>
    <t>Maintenance Confidence Factor</t>
  </si>
  <si>
    <t>Criticality</t>
  </si>
  <si>
    <t>MCA</t>
  </si>
  <si>
    <t>Process Wastewater d)</t>
  </si>
  <si>
    <t>It is permissible to process wastewater from concentrated brine to recover potable or hygiene water and produce a concentrated waste.</t>
  </si>
  <si>
    <t>Electrolyse Water</t>
  </si>
  <si>
    <t>It is permissible to electrolyze water to create oxygen and hydrogen</t>
  </si>
  <si>
    <t>Abbreviation</t>
  </si>
  <si>
    <t>ACRS</t>
  </si>
  <si>
    <t>AAA</t>
  </si>
  <si>
    <t>BFE</t>
  </si>
  <si>
    <t>COA</t>
  </si>
  <si>
    <t>EDI</t>
  </si>
  <si>
    <t>METOX</t>
  </si>
  <si>
    <t>2BMS</t>
  </si>
  <si>
    <t>4BMS/CDRA</t>
  </si>
  <si>
    <t>NIA</t>
  </si>
  <si>
    <t>RBP</t>
  </si>
  <si>
    <t>RO</t>
  </si>
  <si>
    <t>SR/SCRA</t>
  </si>
  <si>
    <t>SAC</t>
  </si>
  <si>
    <r>
      <t xml:space="preserve">Solid polymer water electrolysis </t>
    </r>
    <r>
      <rPr>
        <b/>
        <sz val="11"/>
        <color theme="1"/>
        <rFont val="Calibri"/>
        <family val="2"/>
        <scheme val="minor"/>
      </rPr>
      <t xml:space="preserve">SPWE </t>
    </r>
    <r>
      <rPr>
        <sz val="11"/>
        <color theme="1"/>
        <rFont val="Calibri"/>
        <family val="2"/>
        <scheme val="minor"/>
      </rPr>
      <t xml:space="preserve">or Oxygen generation assembly </t>
    </r>
    <r>
      <rPr>
        <b/>
        <sz val="11"/>
        <color theme="1"/>
        <rFont val="Calibri"/>
        <family val="2"/>
        <scheme val="minor"/>
      </rPr>
      <t>OGA</t>
    </r>
  </si>
  <si>
    <t>SPWE/OGA</t>
  </si>
  <si>
    <t>SCWO</t>
  </si>
  <si>
    <t>UF</t>
  </si>
  <si>
    <t>UPA/VCD</t>
  </si>
  <si>
    <t>WPA/MF</t>
  </si>
  <si>
    <t>VRV</t>
  </si>
  <si>
    <t>WVE</t>
  </si>
  <si>
    <t>SEOS</t>
  </si>
  <si>
    <t>HPE</t>
  </si>
  <si>
    <t>SAVD</t>
  </si>
  <si>
    <t>APC</t>
  </si>
  <si>
    <t>PATD</t>
  </si>
  <si>
    <t>CDS</t>
  </si>
  <si>
    <t>BRIC</t>
  </si>
  <si>
    <t>IWP</t>
  </si>
  <si>
    <t>HMC</t>
  </si>
  <si>
    <t>CCA</t>
  </si>
  <si>
    <t>CS</t>
  </si>
  <si>
    <t>BPA</t>
  </si>
  <si>
    <t>Selection of a Brine Processor Technology for NASA Manned Missions</t>
  </si>
  <si>
    <t>Donald L. Carter (NASA)</t>
  </si>
  <si>
    <t>Closing the Water Loop for Exploration: 2018 Status of the Brine Processor Assembly</t>
  </si>
  <si>
    <t>Laura K. Kelsey1, Patrick Pasadilla2, Thomas Cognata</t>
  </si>
  <si>
    <r>
      <t xml:space="preserve">Brine Processing Assembly </t>
    </r>
    <r>
      <rPr>
        <b/>
        <sz val="11"/>
        <color theme="1"/>
        <rFont val="Calibri"/>
        <family val="2"/>
        <scheme val="minor"/>
      </rPr>
      <t>BPA</t>
    </r>
    <r>
      <rPr>
        <sz val="11"/>
        <color theme="1"/>
        <rFont val="Calibri"/>
        <family val="2"/>
        <scheme val="minor"/>
      </rPr>
      <t xml:space="preserve"> or Ionomer Water Processor (IWP)</t>
    </r>
  </si>
  <si>
    <t>Brine is put into semipermeable membranes and the remaining water in the brine is evaporated into the cabin. Recovery Rate of 22.5l over 26 days [72] and recovers ~80% of the water remaining in the brine [72]. Hardware resupply is less than 25% of the recovered mass [72]. BPA is also called IWP and has a mass of 53 kg with 0.15 m^3 volumne and 142 W power consumption at 1.3 L/day production. Assumin UPA each human produces about 0.24 L/day of brine, so that is used for scaling</t>
  </si>
  <si>
    <t>VPCAR + Lyo</t>
  </si>
  <si>
    <t>Food Packaging</t>
  </si>
  <si>
    <t>Grey Water</t>
  </si>
  <si>
    <t>Air</t>
  </si>
  <si>
    <t>Legend:</t>
  </si>
  <si>
    <t>misc.</t>
  </si>
  <si>
    <t>[All numbers are kg/(day*Human)]</t>
  </si>
  <si>
    <t>Edible Plants</t>
  </si>
  <si>
    <t>Nutr.</t>
  </si>
  <si>
    <t>PBR</t>
  </si>
  <si>
    <t>Algal Reactor or Photo Bio Reactor (PBR)</t>
  </si>
  <si>
    <t>Plant Growth Chamber (PGC) of the size of one Veggie Unit</t>
  </si>
  <si>
    <t>Veggie</t>
  </si>
  <si>
    <t>plants</t>
  </si>
  <si>
    <t>Produce Food a)</t>
  </si>
  <si>
    <t>Produce edible biomass from plants</t>
  </si>
  <si>
    <t>Bio</t>
  </si>
  <si>
    <t>Plant Growth Chamber (PGC) of the size of one ISPR</t>
  </si>
  <si>
    <t>Influence of crop cultivation conditions on space greenhouse equivalent system mass</t>
  </si>
  <si>
    <t>Paul Zabel</t>
  </si>
  <si>
    <t>101.5 kg/m^2</t>
  </si>
  <si>
    <t>1.03/m^2</t>
  </si>
  <si>
    <t>2600 W/m²
943 W/m^2</t>
  </si>
  <si>
    <t>2600 W/m^2
943 W/m^2</t>
  </si>
  <si>
    <t>13.1 h/m^2 year</t>
  </si>
  <si>
    <t>Impacts of 'Pick-and-Eat' Plant Growth Systems on the ISS and Gateway</t>
  </si>
  <si>
    <t>Daniel Pütz, Constantin Traub, Mike Ewert, Molly Anderson</t>
  </si>
  <si>
    <t>ISPR PGC</t>
  </si>
  <si>
    <t>Plant Growth Chamber (PGC) using salad and carbohydrate crop diet from BVAD</t>
  </si>
  <si>
    <t>ELS PGC</t>
  </si>
  <si>
    <t>Part ELS PGC</t>
  </si>
  <si>
    <t>VEG-01: Veggie Hardware Validation Testing on the International Space Station</t>
  </si>
  <si>
    <t>Gioia D. Massa, Nicole F. Dufour, John A. Carver, Mary E. Hummerick, Raymond M. Wheeler, Robert C. Morrow, Trent M. Smith (NASA)</t>
  </si>
  <si>
    <t>The Veggie System used on the ISS values for Volume from [75], power 
Note Efficiency fields for plants are m^2 values for the calculation!</t>
  </si>
  <si>
    <t>not provided, uses BVAD value</t>
  </si>
  <si>
    <t>Urine</t>
  </si>
  <si>
    <t>Potable</t>
  </si>
  <si>
    <t>+</t>
  </si>
  <si>
    <t>Hygiene Water</t>
  </si>
  <si>
    <t>inedible
biomass</t>
  </si>
  <si>
    <t>kJ/(d*Human)</t>
  </si>
  <si>
    <t>Plants</t>
  </si>
  <si>
    <t>black water</t>
  </si>
  <si>
    <t>Results 1</t>
  </si>
  <si>
    <t>Results 2</t>
  </si>
  <si>
    <t>Results 3</t>
  </si>
  <si>
    <t>Results 4</t>
  </si>
  <si>
    <t>Results 5</t>
  </si>
  <si>
    <t>Results 6</t>
  </si>
  <si>
    <t>Results 7</t>
  </si>
  <si>
    <t>Results 8</t>
  </si>
  <si>
    <t>Results 9</t>
  </si>
  <si>
    <t>Results 10</t>
  </si>
  <si>
    <t>PGC</t>
  </si>
  <si>
    <t>LiCO3</t>
  </si>
  <si>
    <t>Leakage:</t>
  </si>
  <si>
    <t>High Pressure Storage for Crew</t>
  </si>
  <si>
    <t>High Pressure Storage for Decompression</t>
  </si>
  <si>
    <t>Cryogenic Storage for Crew</t>
  </si>
  <si>
    <t>Cryogenic Storage for Decompression</t>
  </si>
  <si>
    <t>Potable Water Storage</t>
  </si>
  <si>
    <t>Waste Water Storage</t>
  </si>
  <si>
    <t>Advanced Carbon-Formation Reactor System ACRS</t>
  </si>
  <si>
    <t>Air Evaporation System AES</t>
  </si>
  <si>
    <t>Avionics Air Assembly AAA</t>
  </si>
  <si>
    <t>Bacteria Filter Assembly BFE</t>
  </si>
  <si>
    <t>Bosch Reactor BR</t>
  </si>
  <si>
    <t>CO2 and Moisture Removal Amine Swing-Bed System CAMRAS</t>
  </si>
  <si>
    <t>Catalytic Oxidizer Assembly COA</t>
  </si>
  <si>
    <t>CO2 electrolysis COE</t>
  </si>
  <si>
    <t>Common Cabin Air Assembly CCAA</t>
  </si>
  <si>
    <t>Electrochemical depolarization concentration EDC</t>
  </si>
  <si>
    <t>Electrodialysis EDI</t>
  </si>
  <si>
    <t>Lithium hydroxide LiOH</t>
  </si>
  <si>
    <t>Major constituent analyser MCA</t>
  </si>
  <si>
    <t>Metal oxides METOX</t>
  </si>
  <si>
    <t>Molecular Sieves 2BMS</t>
  </si>
  <si>
    <t>Molecular sieves 4BMS or Carbon Dioxide Removal Assembly CDRA</t>
  </si>
  <si>
    <t>Multi Bed Trace Contaminant Control TCCS</t>
  </si>
  <si>
    <t>Nitrogen Interface Assembly NIA</t>
  </si>
  <si>
    <t>Pressure Control Assembly PCA</t>
  </si>
  <si>
    <t>Reactive Bed Plasma RBP</t>
  </si>
  <si>
    <t>Reverse osmosis RO</t>
  </si>
  <si>
    <t>Sabatier Reactor SR</t>
  </si>
  <si>
    <t>Solid amine water desorption SAWD</t>
  </si>
  <si>
    <t>Solid polymer water electrolysis SPWE or Oxygen generation assembly OGA</t>
  </si>
  <si>
    <t>Starved-air combustion SAC</t>
  </si>
  <si>
    <t>Static feed water electrolysis SFWE</t>
  </si>
  <si>
    <t>Super critical waste oxidation SCWO</t>
  </si>
  <si>
    <t>Ultrafiltration UF</t>
  </si>
  <si>
    <t>Brine Processing Assembly BPA or Ionomer Water Processor (IWP)</t>
  </si>
  <si>
    <t>Urine processing assembly UPA (uses Vapor Compression Distillation VCD)</t>
  </si>
  <si>
    <t>Vent and Relief Valve VRV</t>
  </si>
  <si>
    <t>Water Vapor Electrolysis WVE</t>
  </si>
  <si>
    <t>Solid Electrolyte Oxygen System SEOS</t>
  </si>
  <si>
    <t>High Pressure Electrolysis HPE</t>
  </si>
  <si>
    <t>Intermodule Ventilation IMV</t>
  </si>
  <si>
    <t>Solid Amine Vacuum Desorption SAVD</t>
  </si>
  <si>
    <t>Air Polarized Concentrator APC</t>
  </si>
  <si>
    <t>Cascade Distillation Subsystem CDS</t>
  </si>
  <si>
    <t>Capillary Brine Residual in Containment Water Recovery System BRIC</t>
  </si>
  <si>
    <t>Ionomer-membrane Water Processor IWP</t>
  </si>
  <si>
    <t>Heat Melt Compactor HMC</t>
  </si>
  <si>
    <t>Carbon Dioxide Concentration Assembly CCA</t>
  </si>
  <si>
    <t>Other Systems:</t>
  </si>
  <si>
    <t>Atmosphere Monitoring:</t>
  </si>
  <si>
    <t>Trace Contaminant Control:</t>
  </si>
  <si>
    <t>ECLSS Composition:</t>
  </si>
  <si>
    <t>Brine Processing System:</t>
  </si>
  <si>
    <t>Humidity Control System:</t>
  </si>
  <si>
    <t>Plant Growth System:</t>
  </si>
  <si>
    <t>O2 Storage:</t>
  </si>
  <si>
    <t>H2O Storage:</t>
  </si>
  <si>
    <t>GC/MS</t>
  </si>
  <si>
    <t>MS/MS</t>
  </si>
  <si>
    <t>CEA</t>
  </si>
  <si>
    <t>H2 Storage:</t>
  </si>
  <si>
    <t>Clothes</t>
  </si>
  <si>
    <t>CO2 reduct.</t>
  </si>
  <si>
    <t>Total Res.</t>
  </si>
  <si>
    <t>Resupply</t>
  </si>
  <si>
    <t>MCA and ESM Criticalities</t>
  </si>
  <si>
    <t>Brine Proc.</t>
  </si>
  <si>
    <t>Clothes/misc.</t>
  </si>
  <si>
    <t>CO2_Prod</t>
  </si>
  <si>
    <t>[kg/h]</t>
  </si>
  <si>
    <t>CO2_pp</t>
  </si>
  <si>
    <t>[kPa]</t>
  </si>
  <si>
    <t>O2_pp</t>
  </si>
  <si>
    <t>O2_Con</t>
  </si>
  <si>
    <t>Water</t>
  </si>
  <si>
    <t>humidity</t>
  </si>
  <si>
    <t>WW</t>
  </si>
  <si>
    <t>O2 res.</t>
  </si>
  <si>
    <t>H2 res.</t>
  </si>
  <si>
    <t>N2 res.</t>
  </si>
  <si>
    <t>H2O res.</t>
  </si>
  <si>
    <t>Food res.</t>
  </si>
  <si>
    <t>Processed CO2 [kg/d]:</t>
  </si>
  <si>
    <t>Processed H2O [kg/d]:</t>
  </si>
  <si>
    <t>Regenerated H2O [kg/d]:</t>
  </si>
  <si>
    <t>Produced O2 [kg/d]:</t>
  </si>
  <si>
    <t>Regenerated O2 [kg/d]:</t>
  </si>
  <si>
    <t>Produced Edible [kg/d]:</t>
  </si>
  <si>
    <t>Temp.</t>
  </si>
  <si>
    <t>[K]</t>
  </si>
  <si>
    <t>[kJ/h]</t>
  </si>
  <si>
    <t>Rel. Hum.</t>
  </si>
  <si>
    <t>H2O in plants</t>
  </si>
  <si>
    <t>contains</t>
  </si>
  <si>
    <t>Configuration that dominate others contain a 1 in the row of the dominated configuration</t>
  </si>
  <si>
    <t>Configrations that are dominanted contain a -1 in the row of the dominating configuration</t>
  </si>
  <si>
    <t>PGC Supply</t>
  </si>
  <si>
    <r>
      <t>H</t>
    </r>
    <r>
      <rPr>
        <b/>
        <vertAlign val="subscript"/>
        <sz val="11"/>
        <color theme="0"/>
        <rFont val="Calibri"/>
        <family val="2"/>
        <scheme val="minor"/>
      </rPr>
      <t>2</t>
    </r>
    <r>
      <rPr>
        <b/>
        <sz val="11"/>
        <color theme="0"/>
        <rFont val="Calibri"/>
        <family val="2"/>
        <scheme val="minor"/>
      </rPr>
      <t xml:space="preserve"> Supply</t>
    </r>
  </si>
  <si>
    <t>WW Filtration</t>
  </si>
  <si>
    <t>Urine Processing</t>
  </si>
  <si>
    <r>
      <t>O</t>
    </r>
    <r>
      <rPr>
        <b/>
        <vertAlign val="subscript"/>
        <sz val="11"/>
        <color theme="0"/>
        <rFont val="Calibri"/>
        <family val="2"/>
        <scheme val="minor"/>
      </rPr>
      <t>2</t>
    </r>
    <r>
      <rPr>
        <b/>
        <sz val="11"/>
        <color theme="0"/>
        <rFont val="Calibri"/>
        <family val="2"/>
        <scheme val="minor"/>
      </rPr>
      <t xml:space="preserve"> Supply</t>
    </r>
  </si>
  <si>
    <t>Break Even Points [d]</t>
  </si>
  <si>
    <t>The Configuration with no breakeven points is the configuration which is initially optimal, but requires the most ESM/time</t>
  </si>
  <si>
    <t>ESM/time</t>
  </si>
  <si>
    <t>Brine Processing</t>
  </si>
  <si>
    <t>Selected ECLSS:</t>
  </si>
  <si>
    <t>Other Payload</t>
  </si>
  <si>
    <t>Crew Size</t>
  </si>
  <si>
    <t>Cargo Capacity [kg]</t>
  </si>
  <si>
    <t>ECLSS Mass:</t>
  </si>
  <si>
    <t>ECLSS Mass and Volume without Resupply, can be used to estimate the required launches to deploy the ECLSS</t>
  </si>
  <si>
    <t>ECLSS Vol.:</t>
  </si>
  <si>
    <t>Spare Vol.:</t>
  </si>
  <si>
    <t>Clothes/ Spares</t>
  </si>
  <si>
    <t>Spare Mass:</t>
  </si>
  <si>
    <t>Cargo mass Left [kg]</t>
  </si>
  <si>
    <t>Sum of Flight Criticalities</t>
  </si>
  <si>
    <t>Number of Missions</t>
  </si>
  <si>
    <t>FCI [-]</t>
  </si>
  <si>
    <t>Assumed PGC based on BVAD [10} values, adjusted for LED power consumption and cooling using values from [73] using the assumed area of 1.848m^2 for an ISPR PGC from [74] and the volume of an ISPR. Note Efficiency fields for plants are m^2 values for the calculation! Note this PGC is not assumed but as a fix unit! The mass was adjusted to use LED lamp masses and resupply factors based on the GC16 LED from Greenception (https://greenception.com/de/produkt/gc-16-plus/) with a power consumption of 700 W and a Mass of 17.5 kg (BVAD Sodium Lamps weigh a total of 31.3 kg) and a lifetime of 40000 h</t>
  </si>
  <si>
    <t>Since the BVAD assumes a logistics mass per year, LiSTOT adjusted the value to LED lights and included the LED spare parts as resupply mass of the PGC (which makes the value independent of the selected reliability calculation)</t>
  </si>
  <si>
    <t>Assumed PGC based on BVAD [10] values, adjusted for LED power consumption and cooling using values from [73] assuming the 
Note Efficiency fields for plants are m^2 values for the calculation!he mass was adjusted to use LED lamp masses and resupply factors based on the GC16 LED from Greenception (https://greenception.com/de/produkt/gc-16-plus/) with a power consumption of 700 W and a Mass of 17.5 kg (BVAD Sodium Lamps weigh a total of 31.3 kg) and a lifetime of 40000 h</t>
  </si>
  <si>
    <t>Mass for WPA + UPA from [66] and [70], for WPA subtracted mass from[ 42] see also [70]. Spares from [70]. Power demand from [67], averaged based on the nominal processing capacity of WPA from [68] and the required water flow for a crew of 6. Volume based on 69 is one and a half ISPR with 1.571 m³ each. MTBF also based on [66]. Resupply per kg of water is ~3.2 %</t>
  </si>
  <si>
    <t>Urine pretreat with phosphoric acid was approved for use on ISS and has been delivered to the ISS. With the new urine pretreat formulation the urine recovery is currently at 85 % [69], with the goal of eventually achieving 90% recovery on ISS. System+ORU mass [42], [66] and [70], Power values from [67] assuming cycling based on [62] for average power, for ISS (designed to process 9kg/day (which is 5.63 CM)+20% performance increase is 7 CM!). Volume based on pictures from 69 is half an ISPR which has 1.571 m³. MTBF also based on [66] (inverse sum of the individual ORU MTBFS). Resupply per kg of water is ~12.6 %</t>
  </si>
  <si>
    <t>Lunar Palace PGC</t>
  </si>
  <si>
    <t>An optimized 4‐day diet meal plan for ‘Lunar Palace 1’</t>
  </si>
  <si>
    <t>Yuming Fu, Rong Guo, Hong Liu</t>
  </si>
  <si>
    <t>Plant Growth Chamber (PGC) based on the Lunar Palace see [76]</t>
  </si>
  <si>
    <t>values also based on BVAD see ELS PGC</t>
  </si>
  <si>
    <t>O2 for in-
cineration</t>
  </si>
  <si>
    <t>Plant Growth Chamber (PGC) using salad and carbohydrate crop diet from BVAD scaled up to provide a full diet</t>
  </si>
  <si>
    <t>Plant Growth Chamber (PGC) using All ELS (Exploration Life Support) crop diet from BVAD, scaled up to provide 12.7 MJ/d</t>
  </si>
  <si>
    <t>Scaled Part ELS PGC</t>
  </si>
  <si>
    <t>10 h für 360day mission
37.2 h per 1000 kg of O2</t>
  </si>
  <si>
    <t>from [66] subtracting the WPA maintenance from the 320 hrs total over 6.5 years. Calculated per kg of water</t>
  </si>
  <si>
    <t>from [66] maintenance for WPA over 6.5 years was a total of 101.8 hrs which is then calculated per kg of water</t>
  </si>
  <si>
    <t>Maintenance and resupply based on [12]
0</t>
  </si>
  <si>
    <t>Temperature and humidity control. Peak power of 705 W. CHX need dryout of 8 hrs per week to prevent microbial growth. Second data is for crew of 6 on  mars transit vehicle [14], ISS data is from [23] and corresponds to 470 W power consumption, 112 kg mass. In [23] it is also stated that the CCAA can remove 3.5 kW heat including 1 kW latent heat. Note Efficiency must be latent heat removal capability for THC to be scaled correctly if plants are also used! Also note that the cooling CCAA requires is not covered here, as that is represented by the crew schedule and heat generated of other systems. Here only the additional heat that the CCAA produces is covered</t>
  </si>
  <si>
    <t>Balanced Nutrition PGC</t>
  </si>
  <si>
    <t>Plant Growth Chamber (PGC) which provides a balanced nutrition (&gt;50% cabohydrates, &gt;30% proteins and &gt;12% fats)</t>
  </si>
  <si>
    <t>Exploration PGC</t>
  </si>
  <si>
    <t>Plant Growth Chamber (PGC) based on optimization algorithm with some manual adjustments, require 57 m^2 for a full diet (plus some nutrient supplements). This PGC can be considered the smallest viable option to supply a full diet for a crew member</t>
  </si>
  <si>
    <t>PBR:</t>
  </si>
  <si>
    <t>Nutrients res.</t>
  </si>
  <si>
    <t>Mission 25</t>
  </si>
  <si>
    <t>Mission 26</t>
  </si>
  <si>
    <t>Mission 27</t>
  </si>
  <si>
    <t>Mission 28</t>
  </si>
  <si>
    <t>Mission 29</t>
  </si>
  <si>
    <t>Mission 30</t>
  </si>
  <si>
    <t>Nutrients Supply</t>
  </si>
  <si>
    <t>PGC res.</t>
  </si>
  <si>
    <t>PBR res.</t>
  </si>
  <si>
    <t>PBR Supply</t>
  </si>
  <si>
    <t>PBR urine</t>
  </si>
  <si>
    <t>Carbon Dioxide Removal by Ionic Liquid Sorbend</t>
  </si>
  <si>
    <t>CDRILS</t>
  </si>
  <si>
    <t>PPU</t>
  </si>
  <si>
    <t>LPU</t>
  </si>
  <si>
    <t>Plasma Pyrolysis Unit</t>
  </si>
  <si>
    <t>Laser Pyrolysis Unit</t>
  </si>
  <si>
    <t>MPA</t>
  </si>
  <si>
    <t>Methane Processing</t>
  </si>
  <si>
    <t>CH4 Processing System:</t>
  </si>
  <si>
    <t>Produced H2 [kg/d]:</t>
  </si>
  <si>
    <t>CH4 Proc.</t>
  </si>
  <si>
    <t>CH4 proc. res.</t>
  </si>
  <si>
    <t>CH4 proc. Supply</t>
  </si>
  <si>
    <t>Mission 31</t>
  </si>
  <si>
    <t>Mission 32</t>
  </si>
  <si>
    <t>Mission 33</t>
  </si>
  <si>
    <t>Mission 34</t>
  </si>
  <si>
    <t>Mission 35</t>
  </si>
  <si>
    <t>Mission 36</t>
  </si>
  <si>
    <t>Mission 37</t>
  </si>
  <si>
    <t>Mission 38</t>
  </si>
  <si>
    <t>Mission 39</t>
  </si>
  <si>
    <t>Mission 40</t>
  </si>
  <si>
    <t>Mission 41</t>
  </si>
  <si>
    <t>Mission 42</t>
  </si>
  <si>
    <t>Mission 43</t>
  </si>
  <si>
    <t>Mission 44</t>
  </si>
  <si>
    <t>Mission 45</t>
  </si>
  <si>
    <t>Mission 46</t>
  </si>
  <si>
    <t>Mission 47</t>
  </si>
  <si>
    <t>Mission 48</t>
  </si>
  <si>
    <t>Mission 49</t>
  </si>
  <si>
    <t>Mission 50</t>
  </si>
  <si>
    <t>Mission 51</t>
  </si>
  <si>
    <t>Mission 52</t>
  </si>
  <si>
    <t>Mission 53</t>
  </si>
  <si>
    <t>Mission 54</t>
  </si>
  <si>
    <t>Mission 55</t>
  </si>
  <si>
    <t>Mission 56</t>
  </si>
  <si>
    <t>Mission 57</t>
  </si>
  <si>
    <t>Mission 58</t>
  </si>
  <si>
    <t>Mission 59</t>
  </si>
  <si>
    <t>Mission 60</t>
  </si>
  <si>
    <t>Mission 61</t>
  </si>
  <si>
    <t>Mission 62</t>
  </si>
  <si>
    <t>Mission 63</t>
  </si>
  <si>
    <t>Mission 64</t>
  </si>
  <si>
    <t>Mission 65</t>
  </si>
  <si>
    <t>Mission 66</t>
  </si>
  <si>
    <t>Mission 67</t>
  </si>
  <si>
    <t>Mission 68</t>
  </si>
  <si>
    <t>Mission 69</t>
  </si>
  <si>
    <t>Mission 70</t>
  </si>
  <si>
    <t>Mission 71</t>
  </si>
  <si>
    <t>Mission 72</t>
  </si>
  <si>
    <t>Mission 73</t>
  </si>
  <si>
    <t>Mission 74</t>
  </si>
  <si>
    <t>Mission 75</t>
  </si>
  <si>
    <t>Mission 76</t>
  </si>
  <si>
    <t>Mission 77</t>
  </si>
  <si>
    <t>Mission 78</t>
  </si>
  <si>
    <t>Mission 79</t>
  </si>
  <si>
    <t>Mission 80</t>
  </si>
  <si>
    <t>Mission 81</t>
  </si>
  <si>
    <t>Mission 82</t>
  </si>
  <si>
    <t>Mission 83</t>
  </si>
  <si>
    <t>Mission 84</t>
  </si>
  <si>
    <t>Mission 85</t>
  </si>
  <si>
    <t>Mission 86</t>
  </si>
  <si>
    <t>Mission 87</t>
  </si>
  <si>
    <t>Mission 88</t>
  </si>
  <si>
    <t>Mission 89</t>
  </si>
  <si>
    <t>Mission 90</t>
  </si>
  <si>
    <t>Mission 91</t>
  </si>
  <si>
    <t>Mission 92</t>
  </si>
  <si>
    <t>Mission 93</t>
  </si>
  <si>
    <t>Mission 94</t>
  </si>
  <si>
    <t>Mission 95</t>
  </si>
  <si>
    <t>Mission 96</t>
  </si>
  <si>
    <t>Mission 97</t>
  </si>
  <si>
    <t>Mission 98</t>
  </si>
  <si>
    <t>Mission 99</t>
  </si>
  <si>
    <t>Mission 100</t>
  </si>
  <si>
    <t>Mission 101</t>
  </si>
  <si>
    <t>Mission 102</t>
  </si>
  <si>
    <t>Mission 103</t>
  </si>
  <si>
    <t>Mission 104</t>
  </si>
  <si>
    <t>Mission 105</t>
  </si>
  <si>
    <t>Mission 106</t>
  </si>
  <si>
    <t>Mission 107</t>
  </si>
  <si>
    <t>Mission 108</t>
  </si>
  <si>
    <t>Mission 109</t>
  </si>
  <si>
    <t>Mission 110</t>
  </si>
  <si>
    <t>Mission 111</t>
  </si>
  <si>
    <t>Mission 112</t>
  </si>
  <si>
    <t>Mission 113</t>
  </si>
  <si>
    <t>Mission 114</t>
  </si>
  <si>
    <t>Mission 115</t>
  </si>
  <si>
    <t>Mission 116</t>
  </si>
  <si>
    <t>Mission 117</t>
  </si>
  <si>
    <t>Mission 118</t>
  </si>
  <si>
    <t>Mission 119</t>
  </si>
  <si>
    <t>Mission 120</t>
  </si>
  <si>
    <t>Mission 121</t>
  </si>
  <si>
    <t>Mission 122</t>
  </si>
  <si>
    <t>Mission 123</t>
  </si>
  <si>
    <t>Mission 124</t>
  </si>
  <si>
    <t>Mission 125</t>
  </si>
  <si>
    <t>Mission 126</t>
  </si>
  <si>
    <t>Mission 127</t>
  </si>
  <si>
    <t>Mission 128</t>
  </si>
  <si>
    <t>Mission 129</t>
  </si>
  <si>
    <t>Mission 130</t>
  </si>
  <si>
    <t>Mission 131</t>
  </si>
  <si>
    <t>Mission 132</t>
  </si>
  <si>
    <t>Mission 133</t>
  </si>
  <si>
    <t>Mission 134</t>
  </si>
  <si>
    <t>Mission 135</t>
  </si>
  <si>
    <t>Mission 136</t>
  </si>
  <si>
    <t>Mission 137</t>
  </si>
  <si>
    <t>Mission 138</t>
  </si>
  <si>
    <t>Mission 139</t>
  </si>
  <si>
    <t>Mission 140</t>
  </si>
  <si>
    <t>Mission 141</t>
  </si>
  <si>
    <t>Mission 142</t>
  </si>
  <si>
    <t>Mission 143</t>
  </si>
  <si>
    <t>Mission 144</t>
  </si>
  <si>
    <t>Mission 145</t>
  </si>
  <si>
    <t>Mission 146</t>
  </si>
  <si>
    <t>Mission 147</t>
  </si>
  <si>
    <t>Mission 148</t>
  </si>
  <si>
    <t>Mission 149</t>
  </si>
  <si>
    <t>Mission 150</t>
  </si>
  <si>
    <t>Mission 151</t>
  </si>
  <si>
    <t>Mission 152</t>
  </si>
  <si>
    <t>Mission 153</t>
  </si>
  <si>
    <t>Mission 154</t>
  </si>
  <si>
    <t>Mission 155</t>
  </si>
  <si>
    <t>Mission 156</t>
  </si>
  <si>
    <t>Mission 157</t>
  </si>
  <si>
    <t>Mission 158</t>
  </si>
  <si>
    <t>Mission 159</t>
  </si>
  <si>
    <t>Mission 160</t>
  </si>
  <si>
    <t>Mission 161</t>
  </si>
  <si>
    <t>Mission 162</t>
  </si>
  <si>
    <t>Mission 163</t>
  </si>
  <si>
    <t>Mission 164</t>
  </si>
  <si>
    <t>Mission 165</t>
  </si>
  <si>
    <t>Mission 166</t>
  </si>
  <si>
    <t>Mission 167</t>
  </si>
  <si>
    <t>Mission 168</t>
  </si>
  <si>
    <t>Mission 169</t>
  </si>
  <si>
    <t>Mission 170</t>
  </si>
  <si>
    <t>Mission 171</t>
  </si>
  <si>
    <t>Mission 172</t>
  </si>
  <si>
    <t>Mission 173</t>
  </si>
  <si>
    <t>Mission 174</t>
  </si>
  <si>
    <t>Mission 175</t>
  </si>
  <si>
    <t>Mission 176</t>
  </si>
  <si>
    <t>Mission 177</t>
  </si>
  <si>
    <t>Mission 178</t>
  </si>
  <si>
    <t>Mission 179</t>
  </si>
  <si>
    <t>Mission 180</t>
  </si>
  <si>
    <t>Mission 181</t>
  </si>
  <si>
    <t>Mission 182</t>
  </si>
  <si>
    <t>Mission 183</t>
  </si>
  <si>
    <t>Mission 184</t>
  </si>
  <si>
    <t>Mission 185</t>
  </si>
  <si>
    <t>Mission 186</t>
  </si>
  <si>
    <t>Mission 187</t>
  </si>
  <si>
    <t>Mission 188</t>
  </si>
  <si>
    <t>Mission 189</t>
  </si>
  <si>
    <t>Mission 190</t>
  </si>
  <si>
    <t>Mission 191</t>
  </si>
  <si>
    <t>Mission 192</t>
  </si>
  <si>
    <t>Mission 193</t>
  </si>
  <si>
    <t>Mission 194</t>
  </si>
  <si>
    <t>Mission 195</t>
  </si>
  <si>
    <t>Mission 196</t>
  </si>
  <si>
    <t>Mission 197</t>
  </si>
  <si>
    <t>Mission 198</t>
  </si>
  <si>
    <t>Mission 199</t>
  </si>
  <si>
    <t>Mission 200</t>
  </si>
  <si>
    <t>Mission 201</t>
  </si>
  <si>
    <t>Mission 202</t>
  </si>
  <si>
    <t>Mission 203</t>
  </si>
  <si>
    <t>Mission 204</t>
  </si>
  <si>
    <t>Mission 205</t>
  </si>
  <si>
    <t>Mission 206</t>
  </si>
  <si>
    <t>Mission 207</t>
  </si>
  <si>
    <t>Mission 208</t>
  </si>
  <si>
    <t>Mission 209</t>
  </si>
  <si>
    <t>Mission 210</t>
  </si>
  <si>
    <t>Mission 211</t>
  </si>
  <si>
    <t>Mission 212</t>
  </si>
  <si>
    <t>Mission 213</t>
  </si>
  <si>
    <t>Mission 214</t>
  </si>
  <si>
    <t>Mission 215</t>
  </si>
  <si>
    <t>Mission 216</t>
  </si>
  <si>
    <t>Mission 217</t>
  </si>
  <si>
    <t>Mission 218</t>
  </si>
  <si>
    <t>Mission 219</t>
  </si>
  <si>
    <t>Mission 220</t>
  </si>
  <si>
    <t>Mission 221</t>
  </si>
  <si>
    <t>Mission 222</t>
  </si>
  <si>
    <t>Mission 223</t>
  </si>
  <si>
    <t>Mission 224</t>
  </si>
  <si>
    <t>Mission 225</t>
  </si>
  <si>
    <t>Mission 226</t>
  </si>
  <si>
    <t>Mission 227</t>
  </si>
  <si>
    <t>Mission 228</t>
  </si>
  <si>
    <t>Mission 229</t>
  </si>
  <si>
    <t>Mission 230</t>
  </si>
  <si>
    <t>Mission 231</t>
  </si>
  <si>
    <t>Mission 232</t>
  </si>
  <si>
    <t>Mission 233</t>
  </si>
  <si>
    <t>Mission 234</t>
  </si>
  <si>
    <t>Mission 235</t>
  </si>
  <si>
    <t>Mission 236</t>
  </si>
  <si>
    <t>Mission 237</t>
  </si>
  <si>
    <t>Mission 238</t>
  </si>
  <si>
    <t>Mission 239</t>
  </si>
  <si>
    <t>Mission 240</t>
  </si>
  <si>
    <t>Mission 241</t>
  </si>
  <si>
    <t>Mission 242</t>
  </si>
  <si>
    <t>Mission 243</t>
  </si>
  <si>
    <t>Mission 244</t>
  </si>
  <si>
    <t>Mission 245</t>
  </si>
  <si>
    <t>Mission 246</t>
  </si>
  <si>
    <t>Mission 247</t>
  </si>
  <si>
    <t>Mission 248</t>
  </si>
  <si>
    <t>Mission 249</t>
  </si>
  <si>
    <t>Mission 250</t>
  </si>
  <si>
    <t>Mission 251</t>
  </si>
  <si>
    <t>Mission 252</t>
  </si>
  <si>
    <t>Mission 253</t>
  </si>
  <si>
    <t>Mission 254</t>
  </si>
  <si>
    <t>Mission 255</t>
  </si>
  <si>
    <t>Mission 256</t>
  </si>
  <si>
    <t>Mission 257</t>
  </si>
  <si>
    <t>Mission 258</t>
  </si>
  <si>
    <t>Mission 259</t>
  </si>
  <si>
    <t>Mission 260</t>
  </si>
  <si>
    <t>Mission 261</t>
  </si>
  <si>
    <t>Mission 262</t>
  </si>
  <si>
    <t>Mission 263</t>
  </si>
  <si>
    <t>Mission 264</t>
  </si>
  <si>
    <t>Mission 265</t>
  </si>
  <si>
    <t>Mission 266</t>
  </si>
  <si>
    <t>Mission 267</t>
  </si>
  <si>
    <t>Mission 268</t>
  </si>
  <si>
    <t>Mission 269</t>
  </si>
  <si>
    <t>Mission 270</t>
  </si>
  <si>
    <t>Mission 271</t>
  </si>
  <si>
    <t>Mission 272</t>
  </si>
  <si>
    <t>Mission 273</t>
  </si>
  <si>
    <t>Mission 274</t>
  </si>
  <si>
    <t>Mission 275</t>
  </si>
  <si>
    <t>Mission 276</t>
  </si>
  <si>
    <t>Mission 277</t>
  </si>
  <si>
    <t>Mission 278</t>
  </si>
  <si>
    <t>Mission 279</t>
  </si>
  <si>
    <t>Mission 280</t>
  </si>
  <si>
    <t>Mission 281</t>
  </si>
  <si>
    <t>Mission 282</t>
  </si>
  <si>
    <t>Mission 283</t>
  </si>
  <si>
    <t>Mission 284</t>
  </si>
  <si>
    <t>Mission 285</t>
  </si>
  <si>
    <t>Mission 286</t>
  </si>
  <si>
    <t>Mission 287</t>
  </si>
  <si>
    <t>Mission 288</t>
  </si>
  <si>
    <t>Mission 289</t>
  </si>
  <si>
    <t>Mission 290</t>
  </si>
  <si>
    <t>Mission 291</t>
  </si>
  <si>
    <t>Mission 292</t>
  </si>
  <si>
    <t>Mission 293</t>
  </si>
  <si>
    <t>Mission 294</t>
  </si>
  <si>
    <t>Mission 295</t>
  </si>
  <si>
    <t>Mission 296</t>
  </si>
  <si>
    <t>Mission 297</t>
  </si>
  <si>
    <t>Mission 298</t>
  </si>
  <si>
    <t>Mission 299</t>
  </si>
  <si>
    <t>Mission 300</t>
  </si>
  <si>
    <t>C</t>
  </si>
  <si>
    <t>C2H2</t>
  </si>
  <si>
    <t>Methane Processing Assembly (Carbon Vapor Deposition)</t>
  </si>
  <si>
    <t>Literature Values for crew of 4</t>
  </si>
  <si>
    <t>Literature Values for 4 CM</t>
  </si>
  <si>
    <t>Schedule type:_x000D_
_x000D_
Default Schedule</t>
  </si>
  <si>
    <t>Moon Transfer NO CH4</t>
  </si>
  <si>
    <t>CH4</t>
  </si>
  <si>
    <r>
      <t>H</t>
    </r>
    <r>
      <rPr>
        <vertAlign val="subscript"/>
        <sz val="11"/>
        <color rgb="FF6C8EBF"/>
        <rFont val="Calibri"/>
        <family val="2"/>
        <scheme val="minor"/>
      </rPr>
      <t>2</t>
    </r>
    <r>
      <rPr>
        <sz val="11"/>
        <color rgb="FF6C8EBF"/>
        <rFont val="Calibri"/>
        <family val="2"/>
        <scheme val="minor"/>
      </rPr>
      <t>O</t>
    </r>
  </si>
  <si>
    <r>
      <t>CO</t>
    </r>
    <r>
      <rPr>
        <vertAlign val="subscript"/>
        <sz val="11"/>
        <color rgb="FF999999"/>
        <rFont val="Calibri"/>
        <family val="2"/>
        <scheme val="minor"/>
      </rPr>
      <t>2</t>
    </r>
  </si>
  <si>
    <r>
      <t>O</t>
    </r>
    <r>
      <rPr>
        <vertAlign val="subscript"/>
        <sz val="11"/>
        <color rgb="FF7030A0"/>
        <rFont val="Calibri"/>
        <family val="2"/>
        <scheme val="minor"/>
      </rPr>
      <t>2</t>
    </r>
  </si>
  <si>
    <r>
      <t>H</t>
    </r>
    <r>
      <rPr>
        <vertAlign val="subscript"/>
        <sz val="11"/>
        <color rgb="FFE41A1C"/>
        <rFont val="Calibri"/>
        <family val="2"/>
        <scheme val="minor"/>
      </rPr>
      <t>2</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</si>
</sst>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_(* \(#,##0.00\);_(* &quot;-&quot;??_);_(@_)"/>
    <numFmt numFmtId="165" formatCode="0.0000"/>
    <numFmt numFmtId="166" formatCode="0.000"/>
    <numFmt numFmtId="167" formatCode="0.000000000"/>
    <numFmt numFmtId="168" formatCode="0.0"/>
    <numFmt numFmtId="169" formatCode="0.00000000"/>
    <numFmt numFmtId="170" formatCode="0.00000000000"/>
    <numFmt numFmtId="171" formatCode="[$-F400]h:mm:ss\ AM/PM"/>
    <numFmt numFmtId="172" formatCode="0E+00"/>
  </numFmts>
  <fonts count="61" x14ac:knownFonts="1">
    <font>
      <sz val="11"/>
      <color theme="1"/>
      <name val="Calibri"/>
      <family val="2"/>
      <scheme val="minor"/>
    </font>
    <font>
      <sz val="11"/>
      <color theme="1"/>
      <name val="Calibri"/>
      <family val="2"/>
      <scheme val="minor"/>
    </font>
    <font>
      <sz val="11"/>
      <color rgb="FF9C0006"/>
      <name val="Calibri"/>
      <family val="2"/>
      <scheme val="minor"/>
    </font>
    <font>
      <b/>
      <sz val="11"/>
      <color theme="1"/>
      <name val="Calibri"/>
      <family val="2"/>
      <scheme val="minor"/>
    </font>
    <font>
      <sz val="11"/>
      <name val="Calibri"/>
      <family val="2"/>
      <scheme val="minor"/>
    </font>
    <font>
      <i/>
      <sz val="11"/>
      <color theme="1"/>
      <name val="Calibri"/>
      <family val="2"/>
      <scheme val="minor"/>
    </font>
    <font>
      <b/>
      <sz val="12"/>
      <color theme="1"/>
      <name val="Calibri"/>
      <family val="2"/>
      <scheme val="minor"/>
    </font>
    <font>
      <b/>
      <sz val="20"/>
      <color theme="1"/>
      <name val="Calibri"/>
      <family val="2"/>
      <scheme val="minor"/>
    </font>
    <font>
      <b/>
      <sz val="14"/>
      <color theme="1"/>
      <name val="Calibri"/>
      <family val="2"/>
      <scheme val="minor"/>
    </font>
    <font>
      <sz val="12"/>
      <color theme="1"/>
      <name val="Calibri"/>
      <family val="2"/>
      <scheme val="minor"/>
    </font>
    <font>
      <vertAlign val="superscript"/>
      <sz val="11"/>
      <color theme="1"/>
      <name val="Calibri"/>
      <family val="2"/>
      <scheme val="minor"/>
    </font>
    <font>
      <b/>
      <sz val="11"/>
      <color theme="0"/>
      <name val="Calibri"/>
      <family val="2"/>
      <scheme val="minor"/>
    </font>
    <font>
      <u/>
      <sz val="11"/>
      <color theme="10"/>
      <name val="Calibri"/>
      <family val="2"/>
      <scheme val="minor"/>
    </font>
    <font>
      <b/>
      <u/>
      <sz val="11"/>
      <color theme="1"/>
      <name val="Calibri"/>
      <family val="2"/>
      <scheme val="minor"/>
    </font>
    <font>
      <b/>
      <i/>
      <u/>
      <sz val="11"/>
      <color theme="1"/>
      <name val="Calibri"/>
      <family val="2"/>
      <scheme val="minor"/>
    </font>
    <font>
      <b/>
      <sz val="9"/>
      <color indexed="81"/>
      <name val="Segoe UI"/>
      <family val="2"/>
    </font>
    <font>
      <sz val="9"/>
      <color indexed="81"/>
      <name val="Segoe UI"/>
      <family val="2"/>
    </font>
    <font>
      <sz val="11"/>
      <color theme="0"/>
      <name val="Calibri"/>
      <family val="2"/>
      <scheme val="minor"/>
    </font>
    <font>
      <sz val="10"/>
      <color rgb="FF2F2F2F"/>
      <name val="Segoe UI"/>
      <family val="2"/>
    </font>
    <font>
      <vertAlign val="subscript"/>
      <sz val="11"/>
      <color theme="1"/>
      <name val="Calibri"/>
      <family val="2"/>
      <scheme val="minor"/>
    </font>
    <font>
      <u/>
      <sz val="11"/>
      <color theme="0"/>
      <name val="Calibri"/>
      <family val="2"/>
      <scheme val="minor"/>
    </font>
    <font>
      <b/>
      <vertAlign val="superscript"/>
      <sz val="11"/>
      <color theme="0"/>
      <name val="Calibri"/>
      <family val="2"/>
      <scheme val="minor"/>
    </font>
    <font>
      <sz val="11"/>
      <color theme="9"/>
      <name val="Calibri"/>
      <family val="2"/>
      <scheme val="minor"/>
    </font>
    <font>
      <sz val="11"/>
      <color theme="1" tint="0.34998626667073579"/>
      <name val="Calibri"/>
      <family val="2"/>
      <scheme val="minor"/>
    </font>
    <font>
      <sz val="11"/>
      <color theme="5"/>
      <name val="Calibri"/>
      <family val="2"/>
      <scheme val="minor"/>
    </font>
    <font>
      <sz val="11"/>
      <color theme="0" tint="-0.34998626667073579"/>
      <name val="Calibri"/>
      <family val="2"/>
      <scheme val="minor"/>
    </font>
    <font>
      <sz val="11"/>
      <color rgb="FFC00000"/>
      <name val="Calibri"/>
      <family val="2"/>
      <scheme val="minor"/>
    </font>
    <font>
      <sz val="11"/>
      <color rgb="FFFFFF00"/>
      <name val="Calibri"/>
      <family val="2"/>
      <scheme val="minor"/>
    </font>
    <font>
      <sz val="11"/>
      <color theme="4"/>
      <name val="Calibri"/>
      <family val="2"/>
      <scheme val="minor"/>
    </font>
    <font>
      <sz val="11"/>
      <color theme="5" tint="-0.249977111117893"/>
      <name val="Calibri"/>
      <family val="2"/>
      <scheme val="minor"/>
    </font>
    <font>
      <b/>
      <sz val="11"/>
      <color indexed="9"/>
      <name val="Calibri"/>
      <family val="2"/>
      <scheme val="minor"/>
    </font>
    <font>
      <b/>
      <sz val="11"/>
      <color indexed="8"/>
      <name val="Calibri"/>
      <family val="2"/>
      <scheme val="minor"/>
    </font>
    <font>
      <sz val="11"/>
      <color theme="0" tint="-0.14999847407452621"/>
      <name val="Calibri"/>
      <family val="2"/>
      <scheme val="minor"/>
    </font>
    <font>
      <sz val="11"/>
      <color rgb="FF000000"/>
      <name val="Calibri"/>
      <family val="2"/>
    </font>
    <font>
      <b/>
      <sz val="12"/>
      <color theme="0"/>
      <name val="Calibri"/>
      <family val="2"/>
      <scheme val="minor"/>
    </font>
    <font>
      <b/>
      <vertAlign val="subscript"/>
      <sz val="11"/>
      <color theme="0"/>
      <name val="Calibri"/>
      <family val="2"/>
      <scheme val="minor"/>
    </font>
    <font>
      <sz val="11"/>
      <color theme="0" tint="-0.499984740745262"/>
      <name val="Calibri"/>
      <family val="2"/>
      <scheme val="minor"/>
    </font>
    <font>
      <sz val="11"/>
      <color theme="8"/>
      <name val="Calibri"/>
      <family val="2"/>
      <scheme val="minor"/>
    </font>
    <font>
      <sz val="11"/>
      <color theme="7"/>
      <name val="Calibri"/>
      <family val="2"/>
      <scheme val="minor"/>
    </font>
    <font>
      <sz val="11"/>
      <color rgb="FF002060"/>
      <name val="Calibri"/>
      <family val="2"/>
      <scheme val="minor"/>
    </font>
    <font>
      <sz val="11"/>
      <color theme="9" tint="-0.249977111117893"/>
      <name val="Calibri"/>
      <family val="2"/>
      <scheme val="minor"/>
    </font>
    <font>
      <sz val="11"/>
      <color indexed="9"/>
      <name val="Calibri"/>
      <family val="2"/>
      <scheme val="minor"/>
    </font>
    <font>
      <sz val="11"/>
      <color rgb="FF984EA3"/>
      <name val="Calibri"/>
      <family val="2"/>
      <scheme val="minor"/>
    </font>
    <font>
      <sz val="12"/>
      <color rgb="FF333333"/>
      <name val="Helvetica"/>
      <family val="2"/>
    </font>
    <font>
      <b/>
      <sz val="11"/>
      <color rgb="FFFFFFFF"/>
      <name val="Calibri"/>
      <family val="2"/>
      <scheme val="minor"/>
    </font>
    <font>
      <vertAlign val="superscript"/>
      <sz val="11"/>
      <color theme="0"/>
      <name val="Calibri"/>
      <family val="2"/>
      <scheme val="minor"/>
    </font>
    <font>
      <sz val="11"/>
      <color rgb="FF020000"/>
      <name val="Calibri"/>
      <family val="2"/>
      <scheme val="minor"/>
    </font>
    <font>
      <sz val="11"/>
      <color rgb="FFFF7F00"/>
      <name val="Calibri"/>
      <family val="2"/>
      <scheme val="minor"/>
    </font>
    <font>
      <sz val="11"/>
      <color rgb="FF999999"/>
      <name val="Calibri"/>
      <family val="2"/>
      <scheme val="minor"/>
    </font>
    <font>
      <sz val="11"/>
      <color rgb="FF6C8EBF"/>
      <name val="Calibri"/>
      <family val="2"/>
      <scheme val="minor"/>
    </font>
    <font>
      <sz val="11"/>
      <color rgb="FFE41A1C"/>
      <name val="Calibri"/>
      <family val="2"/>
      <scheme val="minor"/>
    </font>
    <font>
      <sz val="11"/>
      <color rgb="FF7030A0"/>
      <name val="Calibri"/>
      <family val="2"/>
      <scheme val="minor"/>
    </font>
    <font>
      <sz val="11"/>
      <color rgb="FF4DAF4A"/>
      <name val="Calibri"/>
      <family val="2"/>
      <scheme val="minor"/>
    </font>
    <font>
      <sz val="11"/>
      <color rgb="FF000000"/>
      <name val="Calibri"/>
      <family val="2"/>
      <scheme val="minor"/>
    </font>
    <font>
      <sz val="11"/>
      <color rgb="FFFF0000"/>
      <name val="Calibri"/>
      <family val="2"/>
      <scheme val="minor"/>
    </font>
    <font>
      <sz val="11"/>
      <color rgb="FFFFFFFF"/>
      <name val="Calibri"/>
      <family val="2"/>
      <scheme val="minor"/>
    </font>
    <font>
      <sz val="8"/>
      <name val="Calibri"/>
      <family val="2"/>
      <scheme val="minor"/>
    </font>
    <font>
      <vertAlign val="subscript"/>
      <sz val="11"/>
      <color rgb="FF6C8EBF"/>
      <name val="Calibri"/>
      <family val="2"/>
      <scheme val="minor"/>
    </font>
    <font>
      <vertAlign val="subscript"/>
      <sz val="11"/>
      <color rgb="FF999999"/>
      <name val="Calibri"/>
      <family val="2"/>
      <scheme val="minor"/>
    </font>
    <font>
      <vertAlign val="subscript"/>
      <sz val="11"/>
      <color rgb="FF7030A0"/>
      <name val="Calibri"/>
      <family val="2"/>
      <scheme val="minor"/>
    </font>
    <font>
      <vertAlign val="subscript"/>
      <sz val="11"/>
      <color rgb="FFE41A1C"/>
      <name val="Calibri"/>
      <family val="2"/>
      <scheme val="minor"/>
    </font>
  </fonts>
  <fills count="58">
    <fill>
      <patternFill patternType="none"/>
    </fill>
    <fill>
      <patternFill patternType="gray125"/>
    </fill>
    <fill>
      <patternFill patternType="solid">
        <fgColor rgb="FFFFC7CE"/>
      </patternFill>
    </fill>
    <fill>
      <patternFill patternType="solid">
        <fgColor theme="5" tint="0.79998168889431442"/>
        <bgColor indexed="64"/>
      </patternFill>
    </fill>
    <fill>
      <patternFill patternType="solid">
        <fgColor theme="0" tint="-0.14999847407452621"/>
        <bgColor theme="0" tint="-0.14999847407452621"/>
      </patternFill>
    </fill>
    <fill>
      <patternFill patternType="solid">
        <fgColor theme="0"/>
        <bgColor theme="0" tint="-0.14996795556505021"/>
      </patternFill>
    </fill>
    <fill>
      <patternFill patternType="solid">
        <fgColor theme="0"/>
        <bgColor theme="0"/>
      </patternFill>
    </fill>
    <fill>
      <patternFill patternType="solid">
        <fgColor theme="7"/>
        <bgColor indexed="64"/>
      </patternFill>
    </fill>
    <fill>
      <patternFill patternType="solid">
        <fgColor theme="5" tint="-0.249977111117893"/>
        <bgColor indexed="64"/>
      </patternFill>
    </fill>
    <fill>
      <patternFill patternType="solid">
        <fgColor theme="0" tint="-4.9989318521683403E-2"/>
        <bgColor indexed="64"/>
      </patternFill>
    </fill>
    <fill>
      <patternFill patternType="solid">
        <fgColor theme="0"/>
        <bgColor indexed="64"/>
      </patternFill>
    </fill>
    <fill>
      <patternFill patternType="solid">
        <fgColor theme="4" tint="-0.249977111117893"/>
        <bgColor indexed="64"/>
      </patternFill>
    </fill>
    <fill>
      <patternFill patternType="solid">
        <fgColor theme="1"/>
        <bgColor theme="1"/>
      </patternFill>
    </fill>
    <fill>
      <patternFill patternType="solid">
        <fgColor theme="7" tint="0.79998168889431442"/>
        <bgColor indexed="64"/>
      </patternFill>
    </fill>
    <fill>
      <patternFill patternType="solid">
        <fgColor theme="7" tint="-0.249977111117893"/>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9" tint="0.39994506668294322"/>
        <bgColor indexed="64"/>
      </patternFill>
    </fill>
    <fill>
      <patternFill patternType="solid">
        <fgColor theme="5" tint="0.39997558519241921"/>
        <bgColor indexed="64"/>
      </patternFill>
    </fill>
    <fill>
      <patternFill patternType="solid">
        <fgColor rgb="FFAA72D4"/>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theme="0" tint="-0.14999847407452621"/>
      </patternFill>
    </fill>
    <fill>
      <patternFill patternType="solid">
        <fgColor theme="7" tint="0.39997558519241921"/>
        <bgColor indexed="64"/>
      </patternFill>
    </fill>
    <fill>
      <patternFill patternType="solid">
        <fgColor theme="9"/>
        <bgColor indexed="64"/>
      </patternFill>
    </fill>
    <fill>
      <patternFill patternType="solid">
        <fgColor theme="1"/>
        <bgColor indexed="64"/>
      </patternFill>
    </fill>
    <fill>
      <patternFill patternType="solid">
        <fgColor rgb="FF0070C0"/>
        <bgColor indexed="64"/>
      </patternFill>
    </fill>
    <fill>
      <patternFill patternType="solid">
        <fgColor indexed="9"/>
        <bgColor indexed="64"/>
      </patternFill>
    </fill>
    <fill>
      <patternFill patternType="solid">
        <fgColor rgb="FF002060"/>
        <bgColor indexed="64"/>
      </patternFill>
    </fill>
    <fill>
      <patternFill patternType="solid">
        <fgColor indexed="57"/>
        <bgColor indexed="64"/>
      </patternFill>
    </fill>
    <fill>
      <patternFill patternType="solid">
        <fgColor indexed="28"/>
        <bgColor indexed="64"/>
      </patternFill>
    </fill>
    <fill>
      <patternFill patternType="solid">
        <fgColor indexed="15"/>
        <bgColor indexed="64"/>
      </patternFill>
    </fill>
    <fill>
      <patternFill patternType="solid">
        <fgColor theme="8"/>
        <bgColor indexed="64"/>
      </patternFill>
    </fill>
    <fill>
      <patternFill patternType="solid">
        <fgColor rgb="FFFFF2CC"/>
        <bgColor indexed="64"/>
      </patternFill>
    </fill>
    <fill>
      <patternFill patternType="solid">
        <fgColor rgb="FFBF8F00"/>
        <bgColor indexed="64"/>
      </patternFill>
    </fill>
    <fill>
      <patternFill patternType="solid">
        <fgColor rgb="FF8EA9DB"/>
        <bgColor indexed="64"/>
      </patternFill>
    </fill>
    <fill>
      <patternFill patternType="solid">
        <fgColor indexed="11"/>
        <bgColor indexed="64"/>
      </patternFill>
    </fill>
    <fill>
      <patternFill patternType="solid">
        <fgColor rgb="FFF4B084"/>
        <bgColor indexed="64"/>
      </patternFill>
    </fill>
    <fill>
      <patternFill patternType="solid">
        <fgColor theme="4" tint="0.79998168889431442"/>
        <bgColor theme="4" tint="0.79998168889431442"/>
      </patternFill>
    </fill>
    <fill>
      <patternFill patternType="solid">
        <fgColor theme="4"/>
        <bgColor indexed="64"/>
      </patternFill>
    </fill>
    <fill>
      <patternFill patternType="solid">
        <fgColor theme="0"/>
        <bgColor theme="4" tint="0.79998168889431442"/>
      </patternFill>
    </fill>
    <fill>
      <patternFill patternType="solid">
        <fgColor rgb="FF000000"/>
        <bgColor indexed="64"/>
      </patternFill>
    </fill>
    <fill>
      <patternFill patternType="solid">
        <fgColor rgb="FFFFFFFF"/>
        <bgColor indexed="64"/>
      </patternFill>
    </fill>
    <fill>
      <patternFill patternType="solid">
        <fgColor rgb="FFC9C9C9"/>
        <bgColor indexed="64"/>
      </patternFill>
    </fill>
    <fill>
      <patternFill patternType="solid">
        <fgColor rgb="FFC65911"/>
        <bgColor indexed="64"/>
      </patternFill>
    </fill>
    <fill>
      <patternFill patternType="solid">
        <fgColor rgb="FFA9D08E"/>
        <bgColor indexed="64"/>
      </patternFill>
    </fill>
    <fill>
      <patternFill patternType="solid">
        <fgColor rgb="FF305496"/>
        <bgColor indexed="64"/>
      </patternFill>
    </fill>
    <fill>
      <patternFill patternType="solid">
        <fgColor theme="9" tint="0.39997558519241921"/>
        <bgColor indexed="64"/>
      </patternFill>
    </fill>
    <fill>
      <patternFill patternType="solid">
        <fgColor rgb="FFDA97FF"/>
        <bgColor indexed="64"/>
      </patternFill>
    </fill>
    <fill>
      <patternFill patternType="solid">
        <fgColor rgb="FF5B9BD5"/>
        <bgColor indexed="64"/>
      </patternFill>
    </fill>
    <fill>
      <patternFill patternType="solid">
        <fgColor rgb="FF5B9BD5"/>
        <bgColor theme="1"/>
      </patternFill>
    </fill>
    <fill>
      <patternFill patternType="solid">
        <fgColor theme="9" tint="0.79998168889431442"/>
        <bgColor indexed="64"/>
      </patternFill>
    </fill>
    <fill>
      <patternFill patternType="solid">
        <fgColor indexed="10"/>
        <bgColor indexed="64"/>
      </patternFill>
    </fill>
  </fills>
  <borders count="97">
    <border>
      <left/>
      <right/>
      <top/>
      <bottom/>
      <diagonal/>
    </border>
    <border>
      <left style="thin">
        <color theme="1"/>
      </left>
      <right/>
      <top style="thin">
        <color theme="1"/>
      </top>
      <bottom style="thin">
        <color theme="1"/>
      </bottom>
      <diagonal/>
    </border>
    <border>
      <left style="thin">
        <color theme="1"/>
      </left>
      <right/>
      <top style="thin">
        <color theme="1"/>
      </top>
      <bottom/>
      <diagonal/>
    </border>
    <border>
      <left/>
      <right/>
      <top style="thin">
        <color theme="1"/>
      </top>
      <bottom/>
      <diagonal/>
    </border>
    <border>
      <left/>
      <right/>
      <top style="thin">
        <color theme="1"/>
      </top>
      <bottom style="thin">
        <color theme="1"/>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style="thin">
        <color theme="1"/>
      </left>
      <right style="thin">
        <color indexed="64"/>
      </right>
      <top style="thin">
        <color theme="1"/>
      </top>
      <bottom style="thin">
        <color theme="1"/>
      </bottom>
      <diagonal/>
    </border>
    <border>
      <left/>
      <right style="thin">
        <color indexed="64"/>
      </right>
      <top/>
      <bottom style="thin">
        <color indexed="64"/>
      </bottom>
      <diagonal/>
    </border>
    <border>
      <left/>
      <right/>
      <top/>
      <bottom style="thin">
        <color indexed="64"/>
      </bottom>
      <diagonal/>
    </border>
    <border>
      <left style="thick">
        <color indexed="8"/>
      </left>
      <right style="thick">
        <color indexed="8"/>
      </right>
      <top style="thick">
        <color indexed="8"/>
      </top>
      <bottom style="thin">
        <color indexed="64"/>
      </bottom>
      <diagonal/>
    </border>
    <border>
      <left style="thick">
        <color indexed="8"/>
      </left>
      <right style="thick">
        <color indexed="8"/>
      </right>
      <top style="thick">
        <color indexed="8"/>
      </top>
      <bottom style="thick">
        <color indexed="8"/>
      </bottom>
      <diagonal/>
    </border>
    <border>
      <left style="thick">
        <color indexed="8"/>
      </left>
      <right style="thick">
        <color indexed="8"/>
      </right>
      <top style="thin">
        <color indexed="8"/>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style="thin">
        <color theme="1"/>
      </right>
      <top style="thin">
        <color theme="1"/>
      </top>
      <bottom style="medium">
        <color indexed="64"/>
      </bottom>
      <diagonal/>
    </border>
    <border>
      <left/>
      <right style="thin">
        <color indexed="64"/>
      </right>
      <top style="medium">
        <color indexed="64"/>
      </top>
      <bottom style="thin">
        <color indexed="64"/>
      </bottom>
      <diagonal/>
    </border>
    <border>
      <left style="thin">
        <color theme="1"/>
      </left>
      <right style="thin">
        <color indexed="64"/>
      </right>
      <top style="thin">
        <color theme="1"/>
      </top>
      <bottom style="medium">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style="medium">
        <color indexed="64"/>
      </left>
      <right style="thin">
        <color indexed="64"/>
      </right>
      <top style="thin">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theme="1"/>
      </bottom>
      <diagonal/>
    </border>
    <border>
      <left style="thin">
        <color theme="1"/>
      </left>
      <right style="thin">
        <color indexed="64"/>
      </right>
      <top style="medium">
        <color indexed="64"/>
      </top>
      <bottom style="thin">
        <color theme="1"/>
      </bottom>
      <diagonal/>
    </border>
    <border>
      <left style="medium">
        <color indexed="64"/>
      </left>
      <right style="thin">
        <color indexed="64"/>
      </right>
      <top style="thin">
        <color theme="1"/>
      </top>
      <bottom style="thin">
        <color theme="1"/>
      </bottom>
      <diagonal/>
    </border>
    <border>
      <left style="medium">
        <color indexed="64"/>
      </left>
      <right style="thin">
        <color indexed="64"/>
      </right>
      <top style="thin">
        <color theme="1"/>
      </top>
      <bottom style="medium">
        <color indexed="64"/>
      </bottom>
      <diagonal/>
    </border>
    <border>
      <left style="medium">
        <color indexed="64"/>
      </left>
      <right/>
      <top style="medium">
        <color indexed="64"/>
      </top>
      <bottom style="thin">
        <color theme="1"/>
      </bottom>
      <diagonal/>
    </border>
    <border>
      <left style="medium">
        <color indexed="64"/>
      </left>
      <right/>
      <top style="thin">
        <color theme="1"/>
      </top>
      <bottom style="thin">
        <color theme="1"/>
      </bottom>
      <diagonal/>
    </border>
    <border>
      <left style="medium">
        <color indexed="64"/>
      </left>
      <right/>
      <top style="thin">
        <color theme="1"/>
      </top>
      <bottom style="medium">
        <color indexed="64"/>
      </bottom>
      <diagonal/>
    </border>
    <border>
      <left/>
      <right style="medium">
        <color indexed="64"/>
      </right>
      <top style="thin">
        <color theme="1"/>
      </top>
      <bottom style="thin">
        <color theme="1"/>
      </bottom>
      <diagonal/>
    </border>
    <border>
      <left/>
      <right style="medium">
        <color indexed="64"/>
      </right>
      <top style="thin">
        <color theme="1"/>
      </top>
      <bottom style="medium">
        <color indexed="64"/>
      </bottom>
      <diagonal/>
    </border>
    <border>
      <left style="thin">
        <color theme="1"/>
      </left>
      <right/>
      <top style="medium">
        <color indexed="64"/>
      </top>
      <bottom style="thin">
        <color theme="1"/>
      </bottom>
      <diagonal/>
    </border>
    <border>
      <left style="thin">
        <color theme="1"/>
      </left>
      <right/>
      <top style="thin">
        <color theme="1"/>
      </top>
      <bottom style="medium">
        <color indexed="64"/>
      </bottom>
      <diagonal/>
    </border>
    <border>
      <left/>
      <right style="medium">
        <color indexed="64"/>
      </right>
      <top/>
      <bottom style="thin">
        <color theme="1"/>
      </bottom>
      <diagonal/>
    </border>
    <border>
      <left style="thin">
        <color indexed="64"/>
      </left>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8"/>
      </right>
      <top/>
      <bottom style="medium">
        <color indexed="64"/>
      </bottom>
      <diagonal/>
    </border>
    <border>
      <left style="thin">
        <color indexed="8"/>
      </left>
      <right style="medium">
        <color indexed="64"/>
      </right>
      <top/>
      <bottom style="medium">
        <color indexed="64"/>
      </bottom>
      <diagonal/>
    </border>
    <border>
      <left style="thin">
        <color indexed="64"/>
      </left>
      <right style="thin">
        <color indexed="64"/>
      </right>
      <top style="thin">
        <color indexed="64"/>
      </top>
      <bottom style="thin">
        <color theme="1"/>
      </bottom>
      <diagonal/>
    </border>
    <border>
      <left style="thin">
        <color indexed="64"/>
      </left>
      <right style="thin">
        <color indexed="64"/>
      </right>
      <top style="thin">
        <color theme="1"/>
      </top>
      <bottom style="thin">
        <color theme="1"/>
      </bottom>
      <diagonal/>
    </border>
    <border>
      <left style="thin">
        <color indexed="64"/>
      </left>
      <right style="thin">
        <color indexed="64"/>
      </right>
      <top style="thin">
        <color theme="1"/>
      </top>
      <bottom style="thin">
        <color indexed="64"/>
      </bottom>
      <diagonal/>
    </border>
  </borders>
  <cellStyleXfs count="4">
    <xf numFmtId="0" fontId="0" fillId="0" borderId="0"/>
    <xf numFmtId="164" fontId="1" fillId="0" borderId="0" applyFont="0" applyFill="0" applyBorder="0" applyAlignment="0" applyProtection="0"/>
    <xf numFmtId="0" fontId="2" fillId="2" borderId="0" applyNumberFormat="0" applyBorder="0" applyAlignment="0" applyProtection="0"/>
    <xf numFmtId="0" fontId="12" fillId="0" borderId="0" applyNumberFormat="0" applyFill="0" applyBorder="0" applyAlignment="0" applyProtection="0"/>
  </cellStyleXfs>
  <cellXfs count="837">
    <xf numFmtId="0" fontId="0" fillId="0" borderId="0" xfId="0"/>
    <xf numFmtId="0" fontId="0" fillId="0" borderId="0" xfId="0" applyAlignment="1">
      <alignment horizontal="left" vertical="top" wrapText="1"/>
    </xf>
    <xf numFmtId="49" fontId="0" fillId="0" borderId="0" xfId="0" applyNumberFormat="1" applyAlignment="1">
      <alignment horizontal="left" vertical="top" wrapText="1"/>
    </xf>
    <xf numFmtId="0" fontId="4" fillId="3" borderId="0" xfId="0" applyFont="1" applyFill="1" applyAlignment="1">
      <alignment horizontal="left" vertical="top" wrapText="1"/>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wrapText="1"/>
    </xf>
    <xf numFmtId="0" fontId="0" fillId="0" borderId="0" xfId="0" applyAlignment="1">
      <alignment horizontal="right" vertical="top" wrapText="1"/>
    </xf>
    <xf numFmtId="1" fontId="0" fillId="0" borderId="0" xfId="0" applyNumberFormat="1" applyAlignment="1">
      <alignment horizontal="right" vertical="top" wrapText="1"/>
    </xf>
    <xf numFmtId="49" fontId="0" fillId="0" borderId="0" xfId="0" applyNumberFormat="1" applyAlignment="1">
      <alignment vertical="top" wrapText="1"/>
    </xf>
    <xf numFmtId="0" fontId="0" fillId="0" borderId="0" xfId="0" applyAlignment="1">
      <alignment horizontal="center" vertical="center" wrapText="1"/>
    </xf>
    <xf numFmtId="0" fontId="0" fillId="3" borderId="0" xfId="0" applyFill="1" applyAlignment="1">
      <alignment horizontal="center" vertical="top" wrapText="1"/>
    </xf>
    <xf numFmtId="2" fontId="0" fillId="0" borderId="0" xfId="0" applyNumberFormat="1" applyAlignment="1">
      <alignment horizontal="right" vertical="top" wrapText="1"/>
    </xf>
    <xf numFmtId="2" fontId="0" fillId="0" borderId="0" xfId="0" applyNumberFormat="1" applyAlignment="1">
      <alignment vertical="top" wrapText="1"/>
    </xf>
    <xf numFmtId="4" fontId="0" fillId="0" borderId="0" xfId="0" applyNumberFormat="1" applyAlignment="1">
      <alignment horizontal="right" vertical="top" wrapText="1"/>
    </xf>
    <xf numFmtId="0" fontId="3" fillId="0" borderId="0" xfId="0" applyFont="1" applyAlignment="1">
      <alignment horizontal="right" vertical="top" wrapText="1"/>
    </xf>
    <xf numFmtId="0" fontId="3" fillId="0" borderId="0" xfId="0" applyFont="1" applyAlignment="1">
      <alignment vertical="top" wrapText="1"/>
    </xf>
    <xf numFmtId="0" fontId="2" fillId="2" borderId="0" xfId="2" applyAlignment="1">
      <alignment vertical="top" wrapText="1"/>
    </xf>
    <xf numFmtId="167" fontId="0" fillId="0" borderId="0" xfId="0" applyNumberFormat="1" applyAlignment="1">
      <alignment horizontal="right" vertical="top" wrapText="1"/>
    </xf>
    <xf numFmtId="0" fontId="0" fillId="0" borderId="1" xfId="0" applyBorder="1" applyAlignment="1">
      <alignment vertical="top" wrapText="1"/>
    </xf>
    <xf numFmtId="0" fontId="0" fillId="4" borderId="1" xfId="0" applyFill="1" applyBorder="1" applyAlignment="1">
      <alignment vertical="top" wrapText="1"/>
    </xf>
    <xf numFmtId="0" fontId="0" fillId="4" borderId="2" xfId="0" applyFill="1" applyBorder="1" applyAlignment="1">
      <alignment vertical="top" wrapText="1"/>
    </xf>
    <xf numFmtId="0" fontId="0" fillId="4" borderId="3" xfId="0" applyFill="1" applyBorder="1" applyAlignment="1">
      <alignment horizontal="center" vertical="center" wrapText="1"/>
    </xf>
    <xf numFmtId="0" fontId="0" fillId="4" borderId="0" xfId="0" applyFill="1" applyAlignment="1">
      <alignment vertical="top" wrapText="1"/>
    </xf>
    <xf numFmtId="0" fontId="0" fillId="4" borderId="0" xfId="0" applyFill="1" applyAlignment="1">
      <alignment horizontal="center" vertical="top" wrapText="1"/>
    </xf>
    <xf numFmtId="164" fontId="0" fillId="0" borderId="0" xfId="1" applyFont="1" applyAlignment="1">
      <alignment vertical="top" wrapText="1"/>
    </xf>
    <xf numFmtId="49" fontId="0" fillId="0" borderId="0" xfId="0" applyNumberFormat="1" applyAlignment="1">
      <alignment horizontal="right" vertical="top" wrapText="1"/>
    </xf>
    <xf numFmtId="0" fontId="0" fillId="0" borderId="3" xfId="0" applyBorder="1" applyAlignment="1">
      <alignment vertical="top" wrapText="1"/>
    </xf>
    <xf numFmtId="164" fontId="0" fillId="0" borderId="0" xfId="1" applyFont="1" applyBorder="1" applyAlignment="1">
      <alignment vertical="top" wrapText="1"/>
    </xf>
    <xf numFmtId="0" fontId="0" fillId="6" borderId="3" xfId="0" applyFill="1" applyBorder="1" applyAlignment="1">
      <alignment vertical="top" wrapText="1"/>
    </xf>
    <xf numFmtId="0" fontId="0" fillId="5" borderId="3" xfId="0" applyFill="1" applyBorder="1" applyAlignment="1">
      <alignment vertical="top" wrapText="1"/>
    </xf>
    <xf numFmtId="0" fontId="0" fillId="5" borderId="3" xfId="0" applyFill="1" applyBorder="1" applyAlignment="1">
      <alignment horizontal="center" vertical="top" wrapText="1"/>
    </xf>
    <xf numFmtId="0" fontId="0" fillId="8" borderId="0" xfId="0" applyFill="1"/>
    <xf numFmtId="0" fontId="6" fillId="8" borderId="0" xfId="0" applyFont="1" applyFill="1"/>
    <xf numFmtId="0" fontId="0" fillId="11" borderId="0" xfId="0" applyFill="1"/>
    <xf numFmtId="0" fontId="6" fillId="11" borderId="0" xfId="0" applyFont="1" applyFill="1"/>
    <xf numFmtId="0" fontId="0" fillId="7" borderId="0" xfId="0" applyFill="1"/>
    <xf numFmtId="0" fontId="6" fillId="7" borderId="0" xfId="0" applyFont="1" applyFill="1"/>
    <xf numFmtId="0" fontId="7" fillId="10" borderId="0" xfId="0" applyFont="1" applyFill="1"/>
    <xf numFmtId="0" fontId="0" fillId="10" borderId="0" xfId="0" applyFill="1"/>
    <xf numFmtId="0" fontId="9" fillId="10" borderId="0" xfId="0" applyFont="1" applyFill="1"/>
    <xf numFmtId="0" fontId="0" fillId="0" borderId="0" xfId="0" applyAlignment="1">
      <alignment vertical="top"/>
    </xf>
    <xf numFmtId="0" fontId="11" fillId="12" borderId="4" xfId="0" applyFont="1" applyFill="1" applyBorder="1"/>
    <xf numFmtId="0" fontId="11" fillId="12" borderId="0" xfId="0" applyFont="1" applyFill="1"/>
    <xf numFmtId="0" fontId="0" fillId="13" borderId="0" xfId="0" applyFill="1"/>
    <xf numFmtId="166" fontId="0" fillId="0" borderId="0" xfId="0" applyNumberFormat="1"/>
    <xf numFmtId="20" fontId="0" fillId="0" borderId="0" xfId="0" applyNumberFormat="1"/>
    <xf numFmtId="2" fontId="0" fillId="0" borderId="0" xfId="0" applyNumberFormat="1" applyAlignment="1">
      <alignment horizontal="right" vertical="top"/>
    </xf>
    <xf numFmtId="0" fontId="17" fillId="11" borderId="7" xfId="0" applyFont="1" applyFill="1" applyBorder="1" applyAlignment="1">
      <alignment vertical="center"/>
    </xf>
    <xf numFmtId="0" fontId="17" fillId="11" borderId="6" xfId="0" applyFont="1" applyFill="1" applyBorder="1" applyAlignment="1">
      <alignment vertical="center"/>
    </xf>
    <xf numFmtId="0" fontId="17" fillId="11" borderId="5" xfId="0" applyFont="1" applyFill="1" applyBorder="1" applyAlignment="1">
      <alignment vertical="center"/>
    </xf>
    <xf numFmtId="2" fontId="0" fillId="11" borderId="0" xfId="0" applyNumberFormat="1" applyFill="1"/>
    <xf numFmtId="0" fontId="12" fillId="11" borderId="0" xfId="3" applyFill="1"/>
    <xf numFmtId="0" fontId="0" fillId="8" borderId="0" xfId="0" applyFill="1" applyAlignment="1">
      <alignment horizontal="left"/>
    </xf>
    <xf numFmtId="0" fontId="0" fillId="22" borderId="12" xfId="0" applyFill="1" applyBorder="1" applyAlignment="1">
      <alignment horizontal="justify" vertical="top"/>
    </xf>
    <xf numFmtId="0" fontId="0" fillId="22" borderId="8" xfId="0" applyFill="1" applyBorder="1" applyAlignment="1">
      <alignment horizontal="justify" vertical="top"/>
    </xf>
    <xf numFmtId="0" fontId="0" fillId="24" borderId="12" xfId="0" applyFill="1" applyBorder="1" applyAlignment="1">
      <alignment horizontal="justify" vertical="top"/>
    </xf>
    <xf numFmtId="0" fontId="0" fillId="24" borderId="8" xfId="0" applyFill="1" applyBorder="1" applyAlignment="1">
      <alignment horizontal="justify" vertical="top"/>
    </xf>
    <xf numFmtId="2" fontId="0" fillId="0" borderId="0" xfId="0" applyNumberFormat="1" applyAlignment="1">
      <alignment horizontal="left" vertical="top" wrapText="1"/>
    </xf>
    <xf numFmtId="2" fontId="0" fillId="0" borderId="0" xfId="0" applyNumberFormat="1"/>
    <xf numFmtId="0" fontId="0" fillId="25" borderId="0" xfId="0" applyFill="1"/>
    <xf numFmtId="0" fontId="17" fillId="11" borderId="14" xfId="0" applyFont="1" applyFill="1" applyBorder="1" applyAlignment="1">
      <alignment vertical="center"/>
    </xf>
    <xf numFmtId="0" fontId="17" fillId="10" borderId="0" xfId="0" applyFont="1" applyFill="1"/>
    <xf numFmtId="0" fontId="0" fillId="11" borderId="0" xfId="0" applyFill="1" applyAlignment="1">
      <alignment horizontal="center"/>
    </xf>
    <xf numFmtId="0" fontId="0" fillId="26" borderId="0" xfId="0" applyFill="1"/>
    <xf numFmtId="0" fontId="0" fillId="0" borderId="0" xfId="0" applyAlignment="1">
      <alignment horizontal="justify" vertical="top" wrapText="1"/>
    </xf>
    <xf numFmtId="166" fontId="0" fillId="13" borderId="0" xfId="0" applyNumberFormat="1" applyFill="1"/>
    <xf numFmtId="166" fontId="0" fillId="0" borderId="0" xfId="0" applyNumberFormat="1" applyAlignment="1">
      <alignment horizontal="right" vertical="top" wrapText="1"/>
    </xf>
    <xf numFmtId="2" fontId="0" fillId="0" borderId="0" xfId="0" applyNumberFormat="1" applyAlignment="1">
      <alignment horizontal="justify" vertical="top" wrapText="1"/>
    </xf>
    <xf numFmtId="0" fontId="0" fillId="21" borderId="12" xfId="0" applyFill="1" applyBorder="1" applyAlignment="1">
      <alignment horizontal="justify" vertical="top"/>
    </xf>
    <xf numFmtId="0" fontId="0" fillId="27" borderId="3" xfId="0" applyFill="1" applyBorder="1" applyAlignment="1">
      <alignment horizontal="center" vertical="center" wrapText="1"/>
    </xf>
    <xf numFmtId="0" fontId="17" fillId="0" borderId="0" xfId="0" applyFont="1" applyAlignment="1">
      <alignment vertical="center"/>
    </xf>
    <xf numFmtId="0" fontId="20" fillId="11" borderId="0" xfId="3" applyFont="1" applyFill="1"/>
    <xf numFmtId="0" fontId="0" fillId="0" borderId="0" xfId="0" applyAlignment="1" applyProtection="1">
      <alignment horizontal="left" vertical="top" wrapText="1"/>
      <protection locked="0"/>
    </xf>
    <xf numFmtId="0" fontId="6" fillId="28" borderId="0" xfId="0" applyFont="1" applyFill="1"/>
    <xf numFmtId="0" fontId="0" fillId="28" borderId="0" xfId="0" applyFill="1"/>
    <xf numFmtId="0" fontId="0" fillId="28" borderId="0" xfId="0" applyFill="1" applyAlignment="1">
      <alignment vertical="top"/>
    </xf>
    <xf numFmtId="166" fontId="0" fillId="0" borderId="0" xfId="0" applyNumberFormat="1" applyAlignment="1">
      <alignment horizontal="right" vertical="top"/>
    </xf>
    <xf numFmtId="0" fontId="8" fillId="8" borderId="0" xfId="0" applyFont="1" applyFill="1" applyAlignment="1">
      <alignment vertical="top"/>
    </xf>
    <xf numFmtId="0" fontId="8" fillId="11" borderId="0" xfId="0" applyFont="1" applyFill="1" applyAlignment="1">
      <alignment vertical="top"/>
    </xf>
    <xf numFmtId="0" fontId="8" fillId="7" borderId="0" xfId="0" applyFont="1" applyFill="1" applyAlignment="1">
      <alignment vertical="top"/>
    </xf>
    <xf numFmtId="0" fontId="8" fillId="25" borderId="0" xfId="0" applyFont="1" applyFill="1" applyAlignment="1">
      <alignment vertical="top"/>
    </xf>
    <xf numFmtId="0" fontId="8" fillId="26" borderId="0" xfId="0" applyFont="1" applyFill="1" applyAlignment="1">
      <alignment vertical="top"/>
    </xf>
    <xf numFmtId="0" fontId="18" fillId="10" borderId="0" xfId="0" applyFont="1" applyFill="1"/>
    <xf numFmtId="0" fontId="8" fillId="10" borderId="0" xfId="0" applyFont="1" applyFill="1"/>
    <xf numFmtId="0" fontId="3" fillId="10" borderId="0" xfId="0" applyFont="1" applyFill="1"/>
    <xf numFmtId="165" fontId="0" fillId="4" borderId="15" xfId="0" applyNumberFormat="1" applyFill="1" applyBorder="1"/>
    <xf numFmtId="165" fontId="0" fillId="0" borderId="15" xfId="0" applyNumberFormat="1" applyBorder="1"/>
    <xf numFmtId="0" fontId="0" fillId="0" borderId="8" xfId="0" applyBorder="1"/>
    <xf numFmtId="0" fontId="0" fillId="24" borderId="8" xfId="0" applyFill="1" applyBorder="1"/>
    <xf numFmtId="165" fontId="0" fillId="0" borderId="0" xfId="0" applyNumberFormat="1"/>
    <xf numFmtId="0" fontId="13" fillId="10" borderId="0" xfId="0" applyFont="1" applyFill="1"/>
    <xf numFmtId="0" fontId="0" fillId="10" borderId="8" xfId="0" applyFill="1" applyBorder="1"/>
    <xf numFmtId="0" fontId="11" fillId="31" borderId="0" xfId="0" applyFont="1" applyFill="1"/>
    <xf numFmtId="0" fontId="0" fillId="24" borderId="0" xfId="0" applyFill="1"/>
    <xf numFmtId="0" fontId="11" fillId="31" borderId="0" xfId="0" applyFont="1" applyFill="1" applyAlignment="1">
      <alignment horizontal="center"/>
    </xf>
    <xf numFmtId="0" fontId="11" fillId="11" borderId="0" xfId="0" applyFont="1" applyFill="1" applyAlignment="1">
      <alignment vertical="center"/>
    </xf>
    <xf numFmtId="0" fontId="17" fillId="0" borderId="0" xfId="3" applyFont="1" applyAlignment="1">
      <alignment vertical="top" wrapText="1"/>
    </xf>
    <xf numFmtId="0" fontId="0" fillId="27" borderId="1" xfId="0" applyFill="1" applyBorder="1" applyAlignment="1">
      <alignment vertical="top" wrapText="1"/>
    </xf>
    <xf numFmtId="0" fontId="0" fillId="32" borderId="0" xfId="0" applyFill="1"/>
    <xf numFmtId="0" fontId="31" fillId="10" borderId="0" xfId="0" applyFont="1" applyFill="1" applyAlignment="1">
      <alignment horizontal="center" vertical="center"/>
    </xf>
    <xf numFmtId="0" fontId="0" fillId="10" borderId="0" xfId="0" applyFill="1" applyAlignment="1">
      <alignment horizontal="center" vertical="center"/>
    </xf>
    <xf numFmtId="0" fontId="30" fillId="10" borderId="0" xfId="0" applyFont="1" applyFill="1" applyAlignment="1">
      <alignment horizontal="center" vertical="center" wrapText="1"/>
    </xf>
    <xf numFmtId="2" fontId="0" fillId="10" borderId="0" xfId="0" applyNumberFormat="1" applyFill="1"/>
    <xf numFmtId="0" fontId="0" fillId="32" borderId="0" xfId="0" applyFill="1" applyProtection="1">
      <protection locked="0"/>
    </xf>
    <xf numFmtId="0" fontId="0" fillId="0" borderId="0" xfId="0" applyProtection="1">
      <protection locked="0"/>
    </xf>
    <xf numFmtId="0" fontId="0" fillId="10" borderId="22" xfId="0" applyFill="1" applyBorder="1" applyAlignment="1">
      <alignment horizontal="center"/>
    </xf>
    <xf numFmtId="0" fontId="0" fillId="24" borderId="22" xfId="0" applyFill="1" applyBorder="1" applyAlignment="1">
      <alignment horizontal="center"/>
    </xf>
    <xf numFmtId="0" fontId="0" fillId="0" borderId="27" xfId="0" applyBorder="1"/>
    <xf numFmtId="0" fontId="0" fillId="24" borderId="27" xfId="0" applyFill="1" applyBorder="1"/>
    <xf numFmtId="0" fontId="0" fillId="10" borderId="27" xfId="0" applyFill="1" applyBorder="1"/>
    <xf numFmtId="0" fontId="0" fillId="10" borderId="0" xfId="0" applyFill="1" applyProtection="1">
      <protection locked="0"/>
    </xf>
    <xf numFmtId="14" fontId="0" fillId="10" borderId="0" xfId="0" applyNumberFormat="1" applyFill="1" applyProtection="1">
      <protection locked="0"/>
    </xf>
    <xf numFmtId="2" fontId="0" fillId="10" borderId="0" xfId="0" applyNumberFormat="1" applyFill="1" applyProtection="1">
      <protection locked="0"/>
    </xf>
    <xf numFmtId="2" fontId="0" fillId="9" borderId="0" xfId="0" applyNumberFormat="1" applyFill="1" applyAlignment="1" applyProtection="1">
      <alignment horizontal="right"/>
      <protection locked="0"/>
    </xf>
    <xf numFmtId="1" fontId="0" fillId="9" borderId="0" xfId="0" applyNumberFormat="1" applyFill="1" applyAlignment="1" applyProtection="1">
      <alignment horizontal="right"/>
      <protection locked="0"/>
    </xf>
    <xf numFmtId="49" fontId="0" fillId="10" borderId="0" xfId="0" applyNumberFormat="1" applyFill="1" applyProtection="1">
      <protection locked="0"/>
    </xf>
    <xf numFmtId="1" fontId="0" fillId="10" borderId="0" xfId="0" applyNumberFormat="1" applyFill="1" applyAlignment="1" applyProtection="1">
      <alignment horizontal="right"/>
      <protection locked="0"/>
    </xf>
    <xf numFmtId="2" fontId="0" fillId="10" borderId="0" xfId="0" applyNumberFormat="1" applyFill="1" applyAlignment="1" applyProtection="1">
      <alignment horizontal="right"/>
      <protection locked="0"/>
    </xf>
    <xf numFmtId="0" fontId="0" fillId="10" borderId="0" xfId="0" applyFill="1" applyAlignment="1" applyProtection="1">
      <alignment horizontal="right"/>
      <protection locked="0"/>
    </xf>
    <xf numFmtId="2" fontId="0" fillId="24" borderId="8" xfId="0" applyNumberFormat="1" applyFill="1" applyBorder="1" applyAlignment="1">
      <alignment horizontal="center"/>
    </xf>
    <xf numFmtId="2" fontId="0" fillId="10" borderId="10" xfId="0" applyNumberFormat="1" applyFill="1" applyBorder="1" applyAlignment="1">
      <alignment horizontal="center"/>
    </xf>
    <xf numFmtId="2" fontId="0" fillId="24" borderId="10" xfId="0" applyNumberFormat="1" applyFill="1" applyBorder="1" applyAlignment="1">
      <alignment horizontal="center"/>
    </xf>
    <xf numFmtId="2" fontId="0" fillId="0" borderId="8" xfId="0" applyNumberFormat="1" applyBorder="1" applyAlignment="1">
      <alignment horizontal="center"/>
    </xf>
    <xf numFmtId="0" fontId="11" fillId="12" borderId="2" xfId="0" applyFont="1" applyFill="1" applyBorder="1"/>
    <xf numFmtId="0" fontId="0" fillId="24" borderId="0" xfId="0" applyFill="1" applyProtection="1">
      <protection locked="0"/>
    </xf>
    <xf numFmtId="0" fontId="0" fillId="38" borderId="0" xfId="0" applyFill="1"/>
    <xf numFmtId="166" fontId="0" fillId="38" borderId="0" xfId="0" applyNumberFormat="1" applyFill="1"/>
    <xf numFmtId="0" fontId="11" fillId="30" borderId="8" xfId="0" applyFont="1" applyFill="1" applyBorder="1"/>
    <xf numFmtId="0" fontId="0" fillId="10" borderId="25" xfId="0" applyFill="1" applyBorder="1"/>
    <xf numFmtId="0" fontId="0" fillId="10" borderId="31" xfId="0" applyFill="1" applyBorder="1"/>
    <xf numFmtId="0" fontId="12" fillId="10" borderId="0" xfId="3" applyFill="1"/>
    <xf numFmtId="0" fontId="3" fillId="10" borderId="0" xfId="0" applyFont="1" applyFill="1" applyAlignment="1">
      <alignment horizontal="center"/>
    </xf>
    <xf numFmtId="0" fontId="11" fillId="12" borderId="1" xfId="0" applyFont="1" applyFill="1" applyBorder="1"/>
    <xf numFmtId="0" fontId="11" fillId="12" borderId="34" xfId="0" applyFont="1" applyFill="1" applyBorder="1"/>
    <xf numFmtId="0" fontId="0" fillId="30" borderId="0" xfId="0" applyFill="1"/>
    <xf numFmtId="166" fontId="0" fillId="30" borderId="0" xfId="0" applyNumberFormat="1" applyFill="1"/>
    <xf numFmtId="0" fontId="3" fillId="0" borderId="16" xfId="0" applyFont="1" applyBorder="1"/>
    <xf numFmtId="20" fontId="0" fillId="0" borderId="0" xfId="0" applyNumberFormat="1" applyAlignment="1">
      <alignment horizontal="center"/>
    </xf>
    <xf numFmtId="20" fontId="0" fillId="4" borderId="15" xfId="0" applyNumberFormat="1" applyFill="1" applyBorder="1" applyAlignment="1">
      <alignment horizontal="center"/>
    </xf>
    <xf numFmtId="20" fontId="0" fillId="0" borderId="15" xfId="0" applyNumberFormat="1" applyBorder="1" applyAlignment="1">
      <alignment horizontal="center"/>
    </xf>
    <xf numFmtId="20" fontId="0" fillId="0" borderId="38" xfId="0" applyNumberFormat="1" applyBorder="1" applyAlignment="1">
      <alignment horizontal="center"/>
    </xf>
    <xf numFmtId="0" fontId="0" fillId="10" borderId="0" xfId="0" applyFill="1" applyAlignment="1">
      <alignment horizontal="centerContinuous" vertical="top"/>
    </xf>
    <xf numFmtId="166" fontId="0" fillId="10" borderId="0" xfId="0" applyNumberFormat="1" applyFill="1"/>
    <xf numFmtId="166" fontId="5" fillId="10" borderId="0" xfId="0" applyNumberFormat="1" applyFont="1" applyFill="1"/>
    <xf numFmtId="166" fontId="3" fillId="10" borderId="0" xfId="0" applyNumberFormat="1" applyFont="1" applyFill="1"/>
    <xf numFmtId="4" fontId="0" fillId="10" borderId="0" xfId="0" applyNumberFormat="1" applyFill="1"/>
    <xf numFmtId="0" fontId="17" fillId="10" borderId="0" xfId="3" applyFont="1" applyFill="1" applyAlignment="1">
      <alignment vertical="top" wrapText="1"/>
    </xf>
    <xf numFmtId="166" fontId="0" fillId="10" borderId="0" xfId="0" quotePrefix="1" applyNumberFormat="1" applyFill="1"/>
    <xf numFmtId="0" fontId="0" fillId="0" borderId="11" xfId="0" applyBorder="1" applyAlignment="1">
      <alignment horizontal="center" vertical="top" wrapText="1"/>
    </xf>
    <xf numFmtId="0" fontId="0" fillId="20" borderId="8" xfId="0" applyFill="1" applyBorder="1" applyAlignment="1">
      <alignment horizontal="justify" vertical="top"/>
    </xf>
    <xf numFmtId="0" fontId="0" fillId="20" borderId="12" xfId="0" applyFill="1" applyBorder="1" applyAlignment="1">
      <alignment horizontal="justify" vertical="top"/>
    </xf>
    <xf numFmtId="0" fontId="0" fillId="20" borderId="8" xfId="0" applyFill="1" applyBorder="1" applyAlignment="1">
      <alignment vertical="top"/>
    </xf>
    <xf numFmtId="0" fontId="0" fillId="20" borderId="13" xfId="0" applyFill="1" applyBorder="1" applyAlignment="1">
      <alignment horizontal="justify" vertical="top"/>
    </xf>
    <xf numFmtId="0" fontId="0" fillId="21" borderId="8" xfId="0" applyFill="1" applyBorder="1" applyAlignment="1">
      <alignment horizontal="justify" vertical="top"/>
    </xf>
    <xf numFmtId="0" fontId="0" fillId="23" borderId="8" xfId="0" applyFill="1" applyBorder="1" applyAlignment="1">
      <alignment horizontal="justify" vertical="top"/>
    </xf>
    <xf numFmtId="0" fontId="0" fillId="23" borderId="12" xfId="0" applyFill="1" applyBorder="1" applyAlignment="1">
      <alignment horizontal="justify" vertical="top"/>
    </xf>
    <xf numFmtId="0" fontId="34" fillId="11" borderId="6" xfId="0" applyFont="1" applyFill="1" applyBorder="1" applyAlignment="1">
      <alignment horizontal="center" vertical="center" wrapText="1"/>
    </xf>
    <xf numFmtId="0" fontId="0" fillId="20" borderId="39" xfId="0" applyFill="1" applyBorder="1" applyAlignment="1">
      <alignment horizontal="left" vertical="top" wrapText="1"/>
    </xf>
    <xf numFmtId="0" fontId="0" fillId="20" borderId="40" xfId="0" applyFill="1" applyBorder="1" applyAlignment="1">
      <alignment horizontal="center" vertical="center"/>
    </xf>
    <xf numFmtId="0" fontId="0" fillId="20" borderId="25" xfId="0" applyFill="1" applyBorder="1" applyAlignment="1">
      <alignment horizontal="justify" vertical="top" wrapText="1"/>
    </xf>
    <xf numFmtId="0" fontId="0" fillId="20" borderId="28" xfId="0" applyFill="1" applyBorder="1" applyAlignment="1">
      <alignment horizontal="center" vertical="center"/>
    </xf>
    <xf numFmtId="0" fontId="0" fillId="20" borderId="39" xfId="0" applyFill="1" applyBorder="1" applyAlignment="1">
      <alignment horizontal="justify" vertical="top"/>
    </xf>
    <xf numFmtId="0" fontId="0" fillId="20" borderId="25" xfId="0" applyFill="1" applyBorder="1" applyAlignment="1">
      <alignment horizontal="left" vertical="top" wrapText="1"/>
    </xf>
    <xf numFmtId="0" fontId="0" fillId="20" borderId="39" xfId="0" applyFill="1" applyBorder="1" applyAlignment="1">
      <alignment horizontal="justify" vertical="top" wrapText="1"/>
    </xf>
    <xf numFmtId="0" fontId="0" fillId="20" borderId="25" xfId="0" applyFill="1" applyBorder="1" applyAlignment="1">
      <alignment horizontal="justify" vertical="top"/>
    </xf>
    <xf numFmtId="0" fontId="0" fillId="20" borderId="42" xfId="0" applyFill="1" applyBorder="1" applyAlignment="1">
      <alignment horizontal="justify" vertical="top"/>
    </xf>
    <xf numFmtId="0" fontId="0" fillId="20" borderId="45" xfId="0" applyFill="1" applyBorder="1" applyAlignment="1">
      <alignment horizontal="justify" vertical="top"/>
    </xf>
    <xf numFmtId="0" fontId="0" fillId="20" borderId="46" xfId="0" applyFill="1" applyBorder="1" applyAlignment="1">
      <alignment horizontal="center" vertical="center"/>
    </xf>
    <xf numFmtId="0" fontId="0" fillId="20" borderId="44" xfId="0" applyFill="1" applyBorder="1" applyAlignment="1">
      <alignment horizontal="justify" vertical="top" wrapText="1"/>
    </xf>
    <xf numFmtId="0" fontId="0" fillId="20" borderId="47" xfId="0" applyFill="1" applyBorder="1" applyAlignment="1">
      <alignment horizontal="center" vertical="center"/>
    </xf>
    <xf numFmtId="0" fontId="0" fillId="22" borderId="23" xfId="0" applyFill="1" applyBorder="1" applyAlignment="1">
      <alignment horizontal="justify" vertical="top" wrapText="1"/>
    </xf>
    <xf numFmtId="0" fontId="0" fillId="22" borderId="48" xfId="0" applyFill="1" applyBorder="1" applyAlignment="1">
      <alignment horizontal="justify" vertical="top"/>
    </xf>
    <xf numFmtId="0" fontId="0" fillId="22" borderId="24" xfId="0" applyFill="1" applyBorder="1" applyAlignment="1">
      <alignment horizontal="center" vertical="center"/>
    </xf>
    <xf numFmtId="0" fontId="0" fillId="22" borderId="39" xfId="0" applyFill="1" applyBorder="1" applyAlignment="1">
      <alignment horizontal="justify" vertical="top" wrapText="1"/>
    </xf>
    <xf numFmtId="0" fontId="0" fillId="22" borderId="40" xfId="0" applyFill="1" applyBorder="1" applyAlignment="1">
      <alignment horizontal="center" vertical="center"/>
    </xf>
    <xf numFmtId="0" fontId="0" fillId="22" borderId="25" xfId="0" applyFill="1" applyBorder="1" applyAlignment="1">
      <alignment horizontal="justify" vertical="top" wrapText="1"/>
    </xf>
    <xf numFmtId="0" fontId="0" fillId="22" borderId="28" xfId="0" applyFill="1" applyBorder="1" applyAlignment="1">
      <alignment horizontal="center" vertical="center"/>
    </xf>
    <xf numFmtId="0" fontId="0" fillId="22" borderId="25" xfId="0" applyFill="1" applyBorder="1" applyAlignment="1">
      <alignment horizontal="left" vertical="top" wrapText="1"/>
    </xf>
    <xf numFmtId="0" fontId="0" fillId="22" borderId="39" xfId="0" applyFill="1" applyBorder="1" applyAlignment="1">
      <alignment horizontal="left" vertical="top" wrapText="1"/>
    </xf>
    <xf numFmtId="0" fontId="0" fillId="22" borderId="39" xfId="0" applyFill="1" applyBorder="1" applyAlignment="1">
      <alignment horizontal="left" vertical="top"/>
    </xf>
    <xf numFmtId="0" fontId="0" fillId="22" borderId="31" xfId="0" applyFill="1" applyBorder="1" applyAlignment="1">
      <alignment horizontal="left" vertical="top" wrapText="1"/>
    </xf>
    <xf numFmtId="0" fontId="0" fillId="22" borderId="49" xfId="0" applyFill="1" applyBorder="1" applyAlignment="1">
      <alignment horizontal="justify" vertical="top"/>
    </xf>
    <xf numFmtId="0" fontId="0" fillId="22" borderId="30" xfId="0" applyFill="1" applyBorder="1" applyAlignment="1">
      <alignment horizontal="center" vertical="center"/>
    </xf>
    <xf numFmtId="0" fontId="0" fillId="21" borderId="32" xfId="0" applyFill="1" applyBorder="1" applyAlignment="1">
      <alignment horizontal="left" vertical="top" wrapText="1"/>
    </xf>
    <xf numFmtId="0" fontId="0" fillId="21" borderId="26" xfId="0" applyFill="1" applyBorder="1" applyAlignment="1">
      <alignment horizontal="justify" vertical="top"/>
    </xf>
    <xf numFmtId="0" fontId="0" fillId="21" borderId="33" xfId="0" applyFill="1" applyBorder="1" applyAlignment="1">
      <alignment horizontal="center" vertical="center"/>
    </xf>
    <xf numFmtId="0" fontId="0" fillId="21" borderId="27" xfId="0" applyFill="1" applyBorder="1" applyAlignment="1">
      <alignment horizontal="left" vertical="top" wrapText="1"/>
    </xf>
    <xf numFmtId="0" fontId="0" fillId="21" borderId="40" xfId="0" applyFill="1" applyBorder="1" applyAlignment="1">
      <alignment horizontal="center" vertical="center"/>
    </xf>
    <xf numFmtId="0" fontId="0" fillId="21" borderId="39" xfId="0" applyFill="1" applyBorder="1" applyAlignment="1">
      <alignment horizontal="left" vertical="top" wrapText="1"/>
    </xf>
    <xf numFmtId="0" fontId="0" fillId="21" borderId="25" xfId="0" applyFill="1" applyBorder="1" applyAlignment="1">
      <alignment horizontal="justify" vertical="top" wrapText="1"/>
    </xf>
    <xf numFmtId="0" fontId="0" fillId="21" borderId="28" xfId="0" applyFill="1" applyBorder="1" applyAlignment="1">
      <alignment horizontal="center" vertical="center"/>
    </xf>
    <xf numFmtId="0" fontId="0" fillId="21" borderId="39" xfId="0" applyFill="1" applyBorder="1" applyAlignment="1">
      <alignment horizontal="justify" vertical="top" wrapText="1"/>
    </xf>
    <xf numFmtId="0" fontId="0" fillId="21" borderId="39" xfId="0" applyFill="1" applyBorder="1" applyAlignment="1">
      <alignment horizontal="justify" vertical="top"/>
    </xf>
    <xf numFmtId="0" fontId="0" fillId="21" borderId="25" xfId="0" applyFill="1" applyBorder="1" applyAlignment="1">
      <alignment horizontal="justify" vertical="top"/>
    </xf>
    <xf numFmtId="0" fontId="0" fillId="21" borderId="25" xfId="0" applyFill="1" applyBorder="1" applyAlignment="1">
      <alignment horizontal="left" vertical="top" wrapText="1"/>
    </xf>
    <xf numFmtId="0" fontId="0" fillId="21" borderId="31" xfId="0" applyFill="1" applyBorder="1" applyAlignment="1">
      <alignment horizontal="justify" vertical="top" wrapText="1"/>
    </xf>
    <xf numFmtId="0" fontId="0" fillId="21" borderId="49" xfId="0" applyFill="1" applyBorder="1" applyAlignment="1">
      <alignment horizontal="justify" vertical="top"/>
    </xf>
    <xf numFmtId="0" fontId="0" fillId="21" borderId="30" xfId="0" applyFill="1" applyBorder="1" applyAlignment="1">
      <alignment horizontal="center" vertical="center"/>
    </xf>
    <xf numFmtId="0" fontId="0" fillId="23" borderId="32" xfId="0" applyFill="1" applyBorder="1" applyAlignment="1">
      <alignment horizontal="justify" vertical="top"/>
    </xf>
    <xf numFmtId="0" fontId="0" fillId="23" borderId="26" xfId="0" applyFill="1" applyBorder="1" applyAlignment="1">
      <alignment horizontal="justify" vertical="top"/>
    </xf>
    <xf numFmtId="0" fontId="0" fillId="23" borderId="33" xfId="0" applyFill="1" applyBorder="1" applyAlignment="1">
      <alignment horizontal="center" vertical="center"/>
    </xf>
    <xf numFmtId="0" fontId="0" fillId="23" borderId="25" xfId="0" applyFill="1" applyBorder="1" applyAlignment="1">
      <alignment horizontal="justify" vertical="top" wrapText="1"/>
    </xf>
    <xf numFmtId="0" fontId="0" fillId="23" borderId="28" xfId="0" applyFill="1" applyBorder="1" applyAlignment="1">
      <alignment horizontal="center" vertical="center"/>
    </xf>
    <xf numFmtId="0" fontId="0" fillId="23" borderId="39" xfId="0" applyFill="1" applyBorder="1" applyAlignment="1">
      <alignment horizontal="justify" vertical="top"/>
    </xf>
    <xf numFmtId="0" fontId="0" fillId="23" borderId="40" xfId="0" applyFill="1" applyBorder="1" applyAlignment="1">
      <alignment horizontal="center" vertical="center"/>
    </xf>
    <xf numFmtId="0" fontId="0" fillId="23" borderId="25" xfId="0" applyFill="1" applyBorder="1" applyAlignment="1">
      <alignment horizontal="justify" vertical="top"/>
    </xf>
    <xf numFmtId="0" fontId="0" fillId="23" borderId="42" xfId="0" applyFill="1" applyBorder="1" applyAlignment="1">
      <alignment horizontal="justify" vertical="top"/>
    </xf>
    <xf numFmtId="0" fontId="0" fillId="23" borderId="45" xfId="0" applyFill="1" applyBorder="1" applyAlignment="1">
      <alignment horizontal="justify" vertical="top"/>
    </xf>
    <xf numFmtId="0" fontId="0" fillId="23" borderId="46" xfId="0" applyFill="1" applyBorder="1" applyAlignment="1">
      <alignment horizontal="center" vertical="center"/>
    </xf>
    <xf numFmtId="0" fontId="0" fillId="24" borderId="32" xfId="0" applyFill="1" applyBorder="1" applyAlignment="1">
      <alignment horizontal="justify" vertical="top"/>
    </xf>
    <xf numFmtId="0" fontId="0" fillId="24" borderId="26" xfId="0" applyFill="1" applyBorder="1" applyAlignment="1">
      <alignment horizontal="justify" vertical="top"/>
    </xf>
    <xf numFmtId="0" fontId="0" fillId="24" borderId="33" xfId="0" applyFill="1" applyBorder="1" applyAlignment="1">
      <alignment horizontal="center" vertical="center"/>
    </xf>
    <xf numFmtId="0" fontId="0" fillId="24" borderId="25" xfId="0" applyFill="1" applyBorder="1" applyAlignment="1">
      <alignment horizontal="justify" vertical="top" wrapText="1"/>
    </xf>
    <xf numFmtId="0" fontId="0" fillId="24" borderId="28" xfId="0" applyFill="1" applyBorder="1" applyAlignment="1">
      <alignment horizontal="center" vertical="center"/>
    </xf>
    <xf numFmtId="0" fontId="0" fillId="24" borderId="39" xfId="0" applyFill="1" applyBorder="1" applyAlignment="1">
      <alignment horizontal="justify" vertical="top" wrapText="1"/>
    </xf>
    <xf numFmtId="0" fontId="0" fillId="24" borderId="40" xfId="0" applyFill="1" applyBorder="1" applyAlignment="1">
      <alignment horizontal="center" vertical="center"/>
    </xf>
    <xf numFmtId="0" fontId="0" fillId="24" borderId="42" xfId="0" applyFill="1" applyBorder="1" applyAlignment="1">
      <alignment horizontal="justify" vertical="top" wrapText="1"/>
    </xf>
    <xf numFmtId="0" fontId="0" fillId="24" borderId="45" xfId="0" applyFill="1" applyBorder="1" applyAlignment="1">
      <alignment horizontal="justify" vertical="top"/>
    </xf>
    <xf numFmtId="0" fontId="0" fillId="24" borderId="46" xfId="0" applyFill="1" applyBorder="1" applyAlignment="1">
      <alignment horizontal="center" vertical="center"/>
    </xf>
    <xf numFmtId="0" fontId="34" fillId="11" borderId="50" xfId="0" applyFont="1" applyFill="1" applyBorder="1" applyAlignment="1">
      <alignment vertical="top"/>
    </xf>
    <xf numFmtId="0" fontId="34" fillId="11" borderId="51" xfId="0" applyFont="1" applyFill="1" applyBorder="1" applyAlignment="1">
      <alignment vertical="top"/>
    </xf>
    <xf numFmtId="0" fontId="0" fillId="0" borderId="0" xfId="0" applyAlignment="1">
      <alignment horizontal="center" vertical="center"/>
    </xf>
    <xf numFmtId="0" fontId="0" fillId="0" borderId="0" xfId="0" applyAlignment="1">
      <alignment horizontal="justify" vertical="top"/>
    </xf>
    <xf numFmtId="0" fontId="0" fillId="10" borderId="8" xfId="0" applyFill="1" applyBorder="1" applyAlignment="1">
      <alignment horizontal="center"/>
    </xf>
    <xf numFmtId="0" fontId="0" fillId="24" borderId="8" xfId="0" applyFill="1" applyBorder="1" applyAlignment="1">
      <alignment horizontal="center"/>
    </xf>
    <xf numFmtId="0" fontId="0" fillId="24" borderId="53" xfId="0" applyFill="1" applyBorder="1"/>
    <xf numFmtId="2" fontId="0" fillId="7" borderId="0" xfId="0" applyNumberFormat="1" applyFill="1" applyProtection="1">
      <protection locked="0"/>
    </xf>
    <xf numFmtId="0" fontId="41" fillId="32" borderId="0" xfId="0" applyFont="1" applyFill="1" applyProtection="1">
      <protection locked="0"/>
    </xf>
    <xf numFmtId="0" fontId="0" fillId="37" borderId="52" xfId="0" applyFill="1" applyBorder="1"/>
    <xf numFmtId="0" fontId="11" fillId="0" borderId="0" xfId="0" applyFont="1" applyAlignment="1">
      <alignment horizontal="center" vertical="center" wrapText="1"/>
    </xf>
    <xf numFmtId="0" fontId="0" fillId="0" borderId="3" xfId="0" applyBorder="1" applyAlignment="1">
      <alignment vertical="top"/>
    </xf>
    <xf numFmtId="0" fontId="3" fillId="0" borderId="0" xfId="0" applyFont="1" applyAlignment="1">
      <alignment vertical="top"/>
    </xf>
    <xf numFmtId="0" fontId="43" fillId="0" borderId="0" xfId="0" applyFont="1" applyAlignment="1">
      <alignment vertical="top"/>
    </xf>
    <xf numFmtId="169" fontId="0" fillId="0" borderId="0" xfId="0" applyNumberFormat="1" applyAlignment="1">
      <alignment vertical="top"/>
    </xf>
    <xf numFmtId="170" fontId="0" fillId="0" borderId="0" xfId="0" applyNumberFormat="1" applyAlignment="1">
      <alignment vertical="top"/>
    </xf>
    <xf numFmtId="0" fontId="0" fillId="0" borderId="0" xfId="0" applyAlignment="1">
      <alignment horizontal="right" vertical="top"/>
    </xf>
    <xf numFmtId="165" fontId="0" fillId="10" borderId="0" xfId="0" applyNumberFormat="1" applyFill="1"/>
    <xf numFmtId="0" fontId="0" fillId="13" borderId="54" xfId="0" applyFill="1" applyBorder="1"/>
    <xf numFmtId="166" fontId="0" fillId="43" borderId="55" xfId="0" applyNumberFormat="1" applyFill="1" applyBorder="1"/>
    <xf numFmtId="166" fontId="0" fillId="43" borderId="56" xfId="0" applyNumberFormat="1" applyFill="1" applyBorder="1"/>
    <xf numFmtId="0" fontId="0" fillId="14" borderId="54" xfId="0" applyFill="1" applyBorder="1"/>
    <xf numFmtId="2" fontId="0" fillId="0" borderId="55" xfId="0" applyNumberFormat="1" applyBorder="1"/>
    <xf numFmtId="166" fontId="0" fillId="0" borderId="55" xfId="0" applyNumberFormat="1" applyBorder="1"/>
    <xf numFmtId="166" fontId="0" fillId="15" borderId="54" xfId="0" applyNumberFormat="1" applyFill="1" applyBorder="1"/>
    <xf numFmtId="0" fontId="0" fillId="16" borderId="54" xfId="0" applyFill="1" applyBorder="1"/>
    <xf numFmtId="0" fontId="0" fillId="17" borderId="54" xfId="0" applyFill="1" applyBorder="1"/>
    <xf numFmtId="0" fontId="0" fillId="21" borderId="54" xfId="0" applyFill="1" applyBorder="1"/>
    <xf numFmtId="0" fontId="0" fillId="8" borderId="54" xfId="0" applyFill="1" applyBorder="1"/>
    <xf numFmtId="0" fontId="0" fillId="18" borderId="54" xfId="0" applyFill="1" applyBorder="1"/>
    <xf numFmtId="0" fontId="0" fillId="19" borderId="54" xfId="0" applyFill="1" applyBorder="1"/>
    <xf numFmtId="0" fontId="3" fillId="0" borderId="54" xfId="0" applyFont="1" applyBorder="1"/>
    <xf numFmtId="2" fontId="3" fillId="0" borderId="55" xfId="0" applyNumberFormat="1" applyFont="1" applyBorder="1"/>
    <xf numFmtId="165" fontId="3" fillId="0" borderId="55" xfId="0" applyNumberFormat="1" applyFont="1" applyBorder="1"/>
    <xf numFmtId="166" fontId="3" fillId="0" borderId="55" xfId="0" applyNumberFormat="1" applyFont="1" applyBorder="1"/>
    <xf numFmtId="0" fontId="14" fillId="10" borderId="54" xfId="0" applyFont="1" applyFill="1" applyBorder="1" applyAlignment="1">
      <alignment vertical="top"/>
    </xf>
    <xf numFmtId="0" fontId="0" fillId="10" borderId="55" xfId="0" applyFill="1" applyBorder="1" applyAlignment="1">
      <alignment vertical="top"/>
    </xf>
    <xf numFmtId="0" fontId="0" fillId="10" borderId="55" xfId="0" applyFill="1" applyBorder="1" applyAlignment="1">
      <alignment vertical="top" wrapText="1"/>
    </xf>
    <xf numFmtId="0" fontId="3" fillId="10" borderId="55" xfId="0" applyFont="1" applyFill="1" applyBorder="1"/>
    <xf numFmtId="0" fontId="3" fillId="10" borderId="56" xfId="0" applyFont="1" applyFill="1" applyBorder="1"/>
    <xf numFmtId="2" fontId="0" fillId="44" borderId="0" xfId="0" applyNumberFormat="1" applyFill="1" applyProtection="1">
      <protection locked="0"/>
    </xf>
    <xf numFmtId="166" fontId="17" fillId="44" borderId="0" xfId="0" applyNumberFormat="1" applyFont="1" applyFill="1" applyProtection="1">
      <protection locked="0"/>
    </xf>
    <xf numFmtId="2" fontId="17" fillId="44" borderId="0" xfId="0" applyNumberFormat="1" applyFont="1" applyFill="1" applyProtection="1">
      <protection locked="0"/>
    </xf>
    <xf numFmtId="0" fontId="17" fillId="44" borderId="0" xfId="0" applyFont="1" applyFill="1"/>
    <xf numFmtId="166" fontId="0" fillId="10" borderId="55" xfId="0" applyNumberFormat="1" applyFill="1" applyBorder="1"/>
    <xf numFmtId="166" fontId="0" fillId="45" borderId="56" xfId="0" applyNumberFormat="1" applyFill="1" applyBorder="1"/>
    <xf numFmtId="2" fontId="0" fillId="45" borderId="55" xfId="0" applyNumberFormat="1" applyFill="1" applyBorder="1"/>
    <xf numFmtId="166" fontId="0" fillId="45" borderId="55" xfId="0" applyNumberFormat="1" applyFill="1" applyBorder="1"/>
    <xf numFmtId="166" fontId="5" fillId="45" borderId="55" xfId="0" applyNumberFormat="1" applyFont="1" applyFill="1" applyBorder="1"/>
    <xf numFmtId="2" fontId="5" fillId="45" borderId="55" xfId="0" applyNumberFormat="1" applyFont="1" applyFill="1" applyBorder="1"/>
    <xf numFmtId="166" fontId="5" fillId="45" borderId="56" xfId="0" applyNumberFormat="1" applyFont="1" applyFill="1" applyBorder="1"/>
    <xf numFmtId="0" fontId="5" fillId="45" borderId="54" xfId="0" applyFont="1" applyFill="1" applyBorder="1"/>
    <xf numFmtId="168" fontId="0" fillId="10" borderId="0" xfId="0" applyNumberFormat="1" applyFill="1"/>
    <xf numFmtId="0" fontId="44" fillId="46" borderId="0" xfId="0" applyFont="1" applyFill="1" applyAlignment="1">
      <alignment horizontal="center" vertical="center" wrapText="1"/>
    </xf>
    <xf numFmtId="0" fontId="44" fillId="46" borderId="0" xfId="0" applyFont="1" applyFill="1" applyAlignment="1">
      <alignment horizontal="center" vertical="center"/>
    </xf>
    <xf numFmtId="171" fontId="0" fillId="0" borderId="0" xfId="0" applyNumberFormat="1"/>
    <xf numFmtId="0" fontId="0" fillId="0" borderId="0" xfId="0" applyAlignment="1">
      <alignment horizontal="center"/>
    </xf>
    <xf numFmtId="0" fontId="0" fillId="0" borderId="8" xfId="0" applyBorder="1" applyAlignment="1">
      <alignment horizontal="center"/>
    </xf>
    <xf numFmtId="0" fontId="44" fillId="46" borderId="0" xfId="0" applyFont="1" applyFill="1" applyAlignment="1">
      <alignment horizontal="center"/>
    </xf>
    <xf numFmtId="166" fontId="0" fillId="47" borderId="4" xfId="0" applyNumberFormat="1" applyFill="1" applyBorder="1" applyAlignment="1">
      <alignment horizontal="right"/>
    </xf>
    <xf numFmtId="166" fontId="0" fillId="47" borderId="34" xfId="0" applyNumberFormat="1" applyFill="1" applyBorder="1" applyAlignment="1">
      <alignment horizontal="right"/>
    </xf>
    <xf numFmtId="166" fontId="0" fillId="47" borderId="35" xfId="0" applyNumberFormat="1" applyFill="1" applyBorder="1" applyAlignment="1">
      <alignment horizontal="right"/>
    </xf>
    <xf numFmtId="166" fontId="0" fillId="47" borderId="36" xfId="0" applyNumberFormat="1" applyFill="1" applyBorder="1" applyAlignment="1">
      <alignment horizontal="right"/>
    </xf>
    <xf numFmtId="166" fontId="0" fillId="47" borderId="17" xfId="0" applyNumberFormat="1" applyFill="1" applyBorder="1" applyAlignment="1">
      <alignment horizontal="right"/>
    </xf>
    <xf numFmtId="0" fontId="17" fillId="30" borderId="0" xfId="0" applyFont="1" applyFill="1" applyAlignment="1">
      <alignment vertical="top" wrapText="1"/>
    </xf>
    <xf numFmtId="0" fontId="17" fillId="30" borderId="0" xfId="0" applyFont="1" applyFill="1" applyAlignment="1" applyProtection="1">
      <alignment vertical="top" wrapText="1"/>
      <protection locked="0"/>
    </xf>
    <xf numFmtId="0" fontId="17" fillId="30" borderId="0" xfId="0" applyFont="1" applyFill="1" applyAlignment="1">
      <alignment horizontal="center" vertical="top" wrapText="1"/>
    </xf>
    <xf numFmtId="0" fontId="17" fillId="30" borderId="0" xfId="0" applyFont="1" applyFill="1" applyAlignment="1">
      <alignment horizontal="left" vertical="top" wrapText="1"/>
    </xf>
    <xf numFmtId="0" fontId="17" fillId="30" borderId="0" xfId="0" applyFont="1" applyFill="1" applyAlignment="1">
      <alignment horizontal="right" vertical="top" wrapText="1"/>
    </xf>
    <xf numFmtId="2" fontId="17" fillId="30" borderId="0" xfId="0" applyNumberFormat="1" applyFont="1" applyFill="1" applyAlignment="1">
      <alignment horizontal="right" vertical="top" wrapText="1"/>
    </xf>
    <xf numFmtId="49" fontId="17" fillId="30" borderId="0" xfId="0" applyNumberFormat="1" applyFont="1" applyFill="1" applyAlignment="1">
      <alignment vertical="top" wrapText="1"/>
    </xf>
    <xf numFmtId="0" fontId="17" fillId="30" borderId="0" xfId="0" applyFont="1" applyFill="1" applyAlignment="1">
      <alignment horizontal="center" vertical="center" wrapText="1"/>
    </xf>
    <xf numFmtId="0" fontId="17" fillId="0" borderId="0" xfId="0" applyFont="1"/>
    <xf numFmtId="0" fontId="11" fillId="12" borderId="1" xfId="0" applyFont="1" applyFill="1" applyBorder="1" applyAlignment="1">
      <alignment horizontal="left" vertical="top" wrapText="1"/>
    </xf>
    <xf numFmtId="0" fontId="11" fillId="12" borderId="4" xfId="0" applyFont="1" applyFill="1" applyBorder="1" applyAlignment="1">
      <alignment horizontal="left" vertical="top" wrapText="1"/>
    </xf>
    <xf numFmtId="2" fontId="11" fillId="12" borderId="4" xfId="0" applyNumberFormat="1" applyFont="1" applyFill="1" applyBorder="1" applyAlignment="1">
      <alignment horizontal="left" vertical="top" wrapText="1"/>
    </xf>
    <xf numFmtId="0" fontId="11" fillId="12" borderId="34" xfId="0" applyFont="1" applyFill="1" applyBorder="1" applyAlignment="1">
      <alignment horizontal="left" vertical="top" wrapText="1"/>
    </xf>
    <xf numFmtId="0" fontId="11" fillId="30" borderId="1" xfId="0" applyFont="1" applyFill="1" applyBorder="1" applyAlignment="1">
      <alignment horizontal="left" vertical="top" wrapText="1"/>
    </xf>
    <xf numFmtId="0" fontId="11" fillId="30" borderId="4" xfId="0" applyFont="1" applyFill="1" applyBorder="1" applyAlignment="1">
      <alignment horizontal="left" vertical="top" wrapText="1"/>
    </xf>
    <xf numFmtId="2" fontId="11" fillId="30" borderId="4" xfId="0" applyNumberFormat="1" applyFont="1" applyFill="1" applyBorder="1" applyAlignment="1">
      <alignment horizontal="left" vertical="top" wrapText="1"/>
    </xf>
    <xf numFmtId="165" fontId="11" fillId="30" borderId="4" xfId="0" applyNumberFormat="1" applyFont="1" applyFill="1" applyBorder="1" applyAlignment="1">
      <alignment horizontal="left" vertical="top" wrapText="1"/>
    </xf>
    <xf numFmtId="0" fontId="11" fillId="30" borderId="34" xfId="0" applyFont="1" applyFill="1" applyBorder="1" applyAlignment="1">
      <alignment horizontal="left" vertical="top" wrapText="1"/>
    </xf>
    <xf numFmtId="0" fontId="17" fillId="11" borderId="0" xfId="0" applyFont="1" applyFill="1" applyAlignment="1">
      <alignment vertical="center"/>
    </xf>
    <xf numFmtId="0" fontId="11" fillId="51" borderId="0" xfId="0" applyFont="1" applyFill="1" applyAlignment="1">
      <alignment vertical="center"/>
    </xf>
    <xf numFmtId="0" fontId="11" fillId="51" borderId="0" xfId="0" applyFont="1" applyFill="1" applyAlignment="1">
      <alignment horizontal="center" vertical="center"/>
    </xf>
    <xf numFmtId="0" fontId="11" fillId="51" borderId="0" xfId="0" applyFont="1" applyFill="1" applyAlignment="1">
      <alignment horizontal="center" vertical="center" wrapText="1"/>
    </xf>
    <xf numFmtId="0" fontId="11" fillId="11" borderId="0" xfId="0" applyFont="1" applyFill="1" applyAlignment="1">
      <alignment horizontal="center" vertical="top"/>
    </xf>
    <xf numFmtId="0" fontId="11" fillId="11" borderId="0" xfId="0" applyFont="1" applyFill="1" applyAlignment="1">
      <alignment horizontal="center" vertical="top" wrapText="1"/>
    </xf>
    <xf numFmtId="0" fontId="11" fillId="11" borderId="0" xfId="0" applyFont="1" applyFill="1" applyAlignment="1">
      <alignment vertical="top"/>
    </xf>
    <xf numFmtId="2" fontId="0" fillId="24" borderId="8" xfId="0" applyNumberFormat="1" applyFill="1" applyBorder="1" applyAlignment="1">
      <alignment horizontal="center" vertical="center"/>
    </xf>
    <xf numFmtId="2" fontId="0" fillId="0" borderId="8" xfId="0" applyNumberFormat="1" applyBorder="1" applyAlignment="1">
      <alignment horizontal="center" vertical="center"/>
    </xf>
    <xf numFmtId="0" fontId="0" fillId="10" borderId="57" xfId="0" applyFill="1" applyBorder="1"/>
    <xf numFmtId="0" fontId="0" fillId="0" borderId="58" xfId="0" applyBorder="1"/>
    <xf numFmtId="0" fontId="0" fillId="0" borderId="26" xfId="0" applyBorder="1"/>
    <xf numFmtId="0" fontId="0" fillId="0" borderId="21" xfId="0" applyBorder="1"/>
    <xf numFmtId="2" fontId="0" fillId="24" borderId="22" xfId="0" applyNumberFormat="1" applyFill="1" applyBorder="1" applyAlignment="1">
      <alignment horizontal="center" vertical="center"/>
    </xf>
    <xf numFmtId="2" fontId="0" fillId="0" borderId="22" xfId="0" applyNumberFormat="1" applyBorder="1" applyAlignment="1">
      <alignment horizontal="center" vertical="center"/>
    </xf>
    <xf numFmtId="2" fontId="0" fillId="24" borderId="45" xfId="0" applyNumberFormat="1" applyFill="1" applyBorder="1" applyAlignment="1">
      <alignment horizontal="center" vertical="center"/>
    </xf>
    <xf numFmtId="2" fontId="0" fillId="24" borderId="43" xfId="0" applyNumberFormat="1" applyFill="1" applyBorder="1" applyAlignment="1">
      <alignment horizontal="center" vertical="center"/>
    </xf>
    <xf numFmtId="0" fontId="0" fillId="25" borderId="0" xfId="0" applyFill="1" applyProtection="1">
      <protection locked="0"/>
    </xf>
    <xf numFmtId="0" fontId="0" fillId="23" borderId="31" xfId="0" applyFill="1" applyBorder="1" applyAlignment="1">
      <alignment horizontal="justify" vertical="top"/>
    </xf>
    <xf numFmtId="0" fontId="0" fillId="23" borderId="49" xfId="0" applyFill="1" applyBorder="1" applyAlignment="1">
      <alignment horizontal="justify" vertical="top"/>
    </xf>
    <xf numFmtId="0" fontId="0" fillId="23" borderId="30" xfId="0" applyFill="1" applyBorder="1" applyAlignment="1">
      <alignment horizontal="center" vertical="center"/>
    </xf>
    <xf numFmtId="0" fontId="0" fillId="23" borderId="27" xfId="0" applyFill="1" applyBorder="1" applyAlignment="1">
      <alignment horizontal="justify" vertical="top"/>
    </xf>
    <xf numFmtId="0" fontId="0" fillId="23" borderId="22" xfId="0" applyFill="1" applyBorder="1" applyAlignment="1">
      <alignment horizontal="center" vertical="center"/>
    </xf>
    <xf numFmtId="0" fontId="0" fillId="27" borderId="0" xfId="0" applyFill="1" applyAlignment="1">
      <alignment vertical="top" wrapText="1"/>
    </xf>
    <xf numFmtId="0" fontId="0" fillId="0" borderId="52" xfId="0" applyBorder="1"/>
    <xf numFmtId="0" fontId="0" fillId="24" borderId="14" xfId="0" applyFill="1" applyBorder="1" applyAlignment="1">
      <alignment horizontal="justify" vertical="top" wrapText="1"/>
    </xf>
    <xf numFmtId="0" fontId="0" fillId="24" borderId="6" xfId="0" applyFill="1" applyBorder="1" applyAlignment="1">
      <alignment horizontal="center" vertical="center"/>
    </xf>
    <xf numFmtId="0" fontId="0" fillId="24" borderId="51" xfId="0" applyFill="1" applyBorder="1" applyAlignment="1">
      <alignment horizontal="justify" vertical="top"/>
    </xf>
    <xf numFmtId="2" fontId="22" fillId="10" borderId="0" xfId="0" applyNumberFormat="1" applyFont="1" applyFill="1"/>
    <xf numFmtId="2" fontId="46" fillId="10" borderId="0" xfId="0" applyNumberFormat="1" applyFont="1" applyFill="1" applyAlignment="1">
      <alignment horizontal="center"/>
    </xf>
    <xf numFmtId="0" fontId="0" fillId="10" borderId="0" xfId="0" applyFill="1" applyAlignment="1">
      <alignment horizontal="left"/>
    </xf>
    <xf numFmtId="2" fontId="24" fillId="10" borderId="0" xfId="0" applyNumberFormat="1" applyFont="1" applyFill="1" applyAlignment="1">
      <alignment horizontal="center"/>
    </xf>
    <xf numFmtId="0" fontId="48" fillId="10" borderId="0" xfId="0" applyFont="1" applyFill="1"/>
    <xf numFmtId="0" fontId="22" fillId="10" borderId="0" xfId="0" applyFont="1" applyFill="1" applyAlignment="1">
      <alignment horizontal="right"/>
    </xf>
    <xf numFmtId="2" fontId="22" fillId="10" borderId="0" xfId="0" applyNumberFormat="1" applyFont="1" applyFill="1" applyAlignment="1">
      <alignment horizontal="center"/>
    </xf>
    <xf numFmtId="0" fontId="24" fillId="10" borderId="0" xfId="0" applyFont="1" applyFill="1" applyAlignment="1">
      <alignment horizontal="center" vertical="center"/>
    </xf>
    <xf numFmtId="0" fontId="23" fillId="10" borderId="0" xfId="0" applyFont="1" applyFill="1" applyAlignment="1">
      <alignment horizontal="center"/>
    </xf>
    <xf numFmtId="0" fontId="49" fillId="10" borderId="0" xfId="0" applyFont="1" applyFill="1"/>
    <xf numFmtId="0" fontId="0" fillId="10" borderId="0" xfId="0" applyFill="1" applyAlignment="1">
      <alignment horizontal="center"/>
    </xf>
    <xf numFmtId="0" fontId="0" fillId="10" borderId="0" xfId="0" applyFill="1" applyAlignment="1">
      <alignment vertical="top"/>
    </xf>
    <xf numFmtId="0" fontId="22" fillId="10" borderId="0" xfId="0" applyFont="1" applyFill="1"/>
    <xf numFmtId="0" fontId="0" fillId="10" borderId="0" xfId="0" applyFill="1" applyAlignment="1">
      <alignment horizontal="left" vertical="top"/>
    </xf>
    <xf numFmtId="0" fontId="23" fillId="10" borderId="0" xfId="0" applyFont="1" applyFill="1" applyAlignment="1">
      <alignment horizontal="left" vertical="center"/>
    </xf>
    <xf numFmtId="2" fontId="42" fillId="10" borderId="0" xfId="0" applyNumberFormat="1" applyFont="1" applyFill="1"/>
    <xf numFmtId="0" fontId="42" fillId="10" borderId="0" xfId="0" applyFont="1" applyFill="1"/>
    <xf numFmtId="0" fontId="42" fillId="10" borderId="0" xfId="0" applyFont="1" applyFill="1" applyAlignment="1">
      <alignment horizontal="center"/>
    </xf>
    <xf numFmtId="0" fontId="39" fillId="10" borderId="0" xfId="0" applyFont="1" applyFill="1"/>
    <xf numFmtId="2" fontId="23" fillId="10" borderId="0" xfId="0" applyNumberFormat="1" applyFont="1" applyFill="1" applyAlignment="1">
      <alignment horizontal="left"/>
    </xf>
    <xf numFmtId="2" fontId="27" fillId="10" borderId="0" xfId="0" applyNumberFormat="1" applyFont="1" applyFill="1" applyAlignment="1">
      <alignment horizontal="right"/>
    </xf>
    <xf numFmtId="2" fontId="39" fillId="10" borderId="0" xfId="0" applyNumberFormat="1" applyFont="1" applyFill="1" applyAlignment="1">
      <alignment horizontal="left"/>
    </xf>
    <xf numFmtId="0" fontId="0" fillId="10" borderId="0" xfId="0" applyFill="1" applyAlignment="1">
      <alignment horizontal="right"/>
    </xf>
    <xf numFmtId="0" fontId="27" fillId="10" borderId="0" xfId="0" applyFont="1" applyFill="1" applyAlignment="1">
      <alignment horizontal="right"/>
    </xf>
    <xf numFmtId="2" fontId="23" fillId="10" borderId="0" xfId="0" applyNumberFormat="1" applyFont="1" applyFill="1" applyAlignment="1">
      <alignment horizontal="left" vertical="top"/>
    </xf>
    <xf numFmtId="2" fontId="26" fillId="10" borderId="0" xfId="0" applyNumberFormat="1" applyFont="1" applyFill="1" applyAlignment="1">
      <alignment horizontal="center"/>
    </xf>
    <xf numFmtId="2" fontId="23" fillId="10" borderId="0" xfId="0" applyNumberFormat="1" applyFont="1" applyFill="1" applyAlignment="1">
      <alignment horizontal="center"/>
    </xf>
    <xf numFmtId="2" fontId="28" fillId="10" borderId="0" xfId="0" applyNumberFormat="1" applyFont="1" applyFill="1"/>
    <xf numFmtId="2" fontId="42" fillId="10" borderId="0" xfId="0" applyNumberFormat="1" applyFont="1" applyFill="1" applyAlignment="1">
      <alignment horizontal="right"/>
    </xf>
    <xf numFmtId="2" fontId="28" fillId="10" borderId="0" xfId="0" applyNumberFormat="1" applyFont="1" applyFill="1" applyAlignment="1">
      <alignment horizontal="right"/>
    </xf>
    <xf numFmtId="2" fontId="0" fillId="10" borderId="0" xfId="0" applyNumberFormat="1" applyFill="1" applyAlignment="1">
      <alignment horizontal="center"/>
    </xf>
    <xf numFmtId="2" fontId="26" fillId="10" borderId="0" xfId="0" applyNumberFormat="1" applyFont="1" applyFill="1"/>
    <xf numFmtId="0" fontId="26" fillId="10" borderId="0" xfId="0" applyFont="1" applyFill="1"/>
    <xf numFmtId="0" fontId="23" fillId="10" borderId="0" xfId="0" applyFont="1" applyFill="1"/>
    <xf numFmtId="0" fontId="23" fillId="10" borderId="0" xfId="0" applyFont="1" applyFill="1" applyAlignment="1">
      <alignment horizontal="right"/>
    </xf>
    <xf numFmtId="2" fontId="37" fillId="10" borderId="0" xfId="0" applyNumberFormat="1" applyFont="1" applyFill="1"/>
    <xf numFmtId="0" fontId="37" fillId="10" borderId="0" xfId="0" applyFont="1" applyFill="1"/>
    <xf numFmtId="0" fontId="28" fillId="10" borderId="0" xfId="0" applyFont="1" applyFill="1" applyAlignment="1">
      <alignment horizontal="center"/>
    </xf>
    <xf numFmtId="0" fontId="0" fillId="10" borderId="0" xfId="0" applyFill="1" applyAlignment="1">
      <alignment vertical="center"/>
    </xf>
    <xf numFmtId="0" fontId="26" fillId="10" borderId="0" xfId="0" applyFont="1" applyFill="1" applyAlignment="1">
      <alignment horizontal="left"/>
    </xf>
    <xf numFmtId="2" fontId="40" fillId="10" borderId="0" xfId="0" applyNumberFormat="1" applyFont="1" applyFill="1" applyAlignment="1">
      <alignment horizontal="center"/>
    </xf>
    <xf numFmtId="2" fontId="42" fillId="10" borderId="0" xfId="0" applyNumberFormat="1" applyFont="1" applyFill="1" applyAlignment="1">
      <alignment horizontal="right" vertical="top"/>
    </xf>
    <xf numFmtId="0" fontId="0" fillId="10" borderId="0" xfId="0" applyFill="1" applyAlignment="1">
      <alignment horizontal="right" vertical="top"/>
    </xf>
    <xf numFmtId="0" fontId="28" fillId="10" borderId="0" xfId="0" applyFont="1" applyFill="1" applyAlignment="1">
      <alignment horizontal="left"/>
    </xf>
    <xf numFmtId="2" fontId="28" fillId="10" borderId="0" xfId="0" applyNumberFormat="1" applyFont="1" applyFill="1" applyAlignment="1">
      <alignment horizontal="left"/>
    </xf>
    <xf numFmtId="2" fontId="26" fillId="10" borderId="0" xfId="0" applyNumberFormat="1" applyFont="1" applyFill="1" applyAlignment="1">
      <alignment horizontal="center" vertical="top"/>
    </xf>
    <xf numFmtId="2" fontId="29" fillId="10" borderId="0" xfId="0" applyNumberFormat="1" applyFont="1" applyFill="1" applyAlignment="1">
      <alignment horizontal="center"/>
    </xf>
    <xf numFmtId="0" fontId="28" fillId="10" borderId="0" xfId="0" applyFont="1" applyFill="1" applyAlignment="1">
      <alignment horizontal="right"/>
    </xf>
    <xf numFmtId="2" fontId="36" fillId="10" borderId="0" xfId="0" applyNumberFormat="1" applyFont="1" applyFill="1"/>
    <xf numFmtId="2" fontId="26" fillId="10" borderId="0" xfId="0" applyNumberFormat="1" applyFont="1" applyFill="1" applyAlignment="1">
      <alignment horizontal="left"/>
    </xf>
    <xf numFmtId="2" fontId="38" fillId="10" borderId="0" xfId="0" applyNumberFormat="1" applyFont="1" applyFill="1"/>
    <xf numFmtId="0" fontId="38" fillId="10" borderId="0" xfId="0" applyFont="1" applyFill="1"/>
    <xf numFmtId="0" fontId="0" fillId="10" borderId="0" xfId="0" applyFill="1" applyAlignment="1">
      <alignment horizontal="center" vertical="top"/>
    </xf>
    <xf numFmtId="0" fontId="49" fillId="10" borderId="0" xfId="0" applyFont="1" applyFill="1" applyAlignment="1">
      <alignment horizontal="center"/>
    </xf>
    <xf numFmtId="2" fontId="28" fillId="10" borderId="0" xfId="0" applyNumberFormat="1" applyFont="1" applyFill="1" applyAlignment="1">
      <alignment horizontal="center" vertical="center"/>
    </xf>
    <xf numFmtId="2" fontId="29" fillId="10" borderId="0" xfId="0" applyNumberFormat="1" applyFont="1" applyFill="1" applyAlignment="1">
      <alignment horizontal="center" vertical="top"/>
    </xf>
    <xf numFmtId="0" fontId="47" fillId="10" borderId="0" xfId="0" applyFont="1" applyFill="1"/>
    <xf numFmtId="2" fontId="32" fillId="10" borderId="0" xfId="0" applyNumberFormat="1" applyFont="1" applyFill="1" applyAlignment="1">
      <alignment horizontal="right"/>
    </xf>
    <xf numFmtId="2" fontId="32" fillId="10" borderId="0" xfId="0" applyNumberFormat="1" applyFont="1" applyFill="1"/>
    <xf numFmtId="0" fontId="25" fillId="10" borderId="0" xfId="0" applyFont="1" applyFill="1" applyAlignment="1">
      <alignment horizontal="center" vertical="center"/>
    </xf>
    <xf numFmtId="0" fontId="25" fillId="10" borderId="0" xfId="0" applyFont="1" applyFill="1" applyAlignment="1">
      <alignment vertical="center"/>
    </xf>
    <xf numFmtId="2" fontId="23" fillId="10" borderId="0" xfId="0" applyNumberFormat="1" applyFont="1" applyFill="1" applyAlignment="1">
      <alignment horizontal="right"/>
    </xf>
    <xf numFmtId="2" fontId="25" fillId="10" borderId="0" xfId="0" applyNumberFormat="1" applyFont="1" applyFill="1" applyAlignment="1">
      <alignment horizontal="left"/>
    </xf>
    <xf numFmtId="2" fontId="23" fillId="10" borderId="0" xfId="0" applyNumberFormat="1" applyFont="1" applyFill="1"/>
    <xf numFmtId="2" fontId="25" fillId="10" borderId="0" xfId="0" applyNumberFormat="1" applyFont="1" applyFill="1" applyAlignment="1">
      <alignment horizontal="center"/>
    </xf>
    <xf numFmtId="0" fontId="25" fillId="10" borderId="0" xfId="0" applyFont="1" applyFill="1" applyAlignment="1">
      <alignment horizontal="left"/>
    </xf>
    <xf numFmtId="0" fontId="23" fillId="10" borderId="0" xfId="0" applyFont="1" applyFill="1" applyAlignment="1">
      <alignment horizontal="center" vertical="center"/>
    </xf>
    <xf numFmtId="0" fontId="50" fillId="10" borderId="0" xfId="0" applyFont="1" applyFill="1"/>
    <xf numFmtId="0" fontId="0" fillId="10" borderId="23" xfId="0" applyFill="1" applyBorder="1"/>
    <xf numFmtId="0" fontId="0" fillId="10" borderId="52" xfId="0" applyFill="1" applyBorder="1"/>
    <xf numFmtId="0" fontId="0" fillId="10" borderId="24" xfId="0" applyFill="1" applyBorder="1"/>
    <xf numFmtId="0" fontId="0" fillId="10" borderId="28" xfId="0" applyFill="1" applyBorder="1"/>
    <xf numFmtId="0" fontId="51" fillId="10" borderId="29" xfId="0" applyFont="1" applyFill="1" applyBorder="1"/>
    <xf numFmtId="0" fontId="0" fillId="10" borderId="29" xfId="0" applyFill="1" applyBorder="1"/>
    <xf numFmtId="0" fontId="52" fillId="10" borderId="29" xfId="0" applyFont="1" applyFill="1" applyBorder="1"/>
    <xf numFmtId="0" fontId="0" fillId="10" borderId="30" xfId="0" applyFill="1" applyBorder="1"/>
    <xf numFmtId="0" fontId="0" fillId="10" borderId="0" xfId="0" applyFill="1" applyAlignment="1" applyProtection="1">
      <alignment horizontal="center"/>
      <protection locked="0"/>
    </xf>
    <xf numFmtId="0" fontId="0" fillId="10" borderId="0" xfId="0" applyFill="1" applyAlignment="1">
      <alignment horizontal="left" vertical="center"/>
    </xf>
    <xf numFmtId="2" fontId="27" fillId="10" borderId="0" xfId="0" applyNumberFormat="1" applyFont="1" applyFill="1"/>
    <xf numFmtId="0" fontId="55" fillId="10" borderId="0" xfId="0" applyFont="1" applyFill="1"/>
    <xf numFmtId="0" fontId="53" fillId="10" borderId="0" xfId="0" applyFont="1" applyFill="1"/>
    <xf numFmtId="0" fontId="49" fillId="10" borderId="0" xfId="0" applyFont="1" applyFill="1" applyAlignment="1">
      <alignment horizontal="right"/>
    </xf>
    <xf numFmtId="0" fontId="49" fillId="10" borderId="0" xfId="0" applyFont="1" applyFill="1" applyAlignment="1">
      <alignment horizontal="left"/>
    </xf>
    <xf numFmtId="2" fontId="49" fillId="10" borderId="0" xfId="0" applyNumberFormat="1" applyFont="1" applyFill="1"/>
    <xf numFmtId="2" fontId="49" fillId="10" borderId="0" xfId="0" applyNumberFormat="1" applyFont="1" applyFill="1" applyAlignment="1">
      <alignment horizontal="center"/>
    </xf>
    <xf numFmtId="2" fontId="42" fillId="10" borderId="0" xfId="0" applyNumberFormat="1" applyFont="1" applyFill="1" applyAlignment="1">
      <alignment horizontal="left"/>
    </xf>
    <xf numFmtId="2" fontId="0" fillId="10" borderId="0" xfId="0" applyNumberFormat="1" applyFill="1" applyAlignment="1">
      <alignment horizontal="right"/>
    </xf>
    <xf numFmtId="0" fontId="3" fillId="0" borderId="0" xfId="0" applyFont="1"/>
    <xf numFmtId="0" fontId="11" fillId="0" borderId="0" xfId="0" applyFont="1" applyAlignment="1">
      <alignment horizontal="center" vertical="center"/>
    </xf>
    <xf numFmtId="2" fontId="0" fillId="0" borderId="0" xfId="0" applyNumberFormat="1" applyAlignment="1">
      <alignment horizontal="center" vertical="center"/>
    </xf>
    <xf numFmtId="0" fontId="0" fillId="10" borderId="53" xfId="0" applyFill="1" applyBorder="1"/>
    <xf numFmtId="2" fontId="0" fillId="10" borderId="59" xfId="0" applyNumberFormat="1" applyFill="1" applyBorder="1" applyAlignment="1">
      <alignment horizontal="center"/>
    </xf>
    <xf numFmtId="0" fontId="0" fillId="10" borderId="43" xfId="0" applyFill="1" applyBorder="1" applyAlignment="1">
      <alignment horizontal="center"/>
    </xf>
    <xf numFmtId="0" fontId="3" fillId="29" borderId="26" xfId="0" applyFont="1" applyFill="1" applyBorder="1" applyAlignment="1">
      <alignment horizontal="center" vertical="center"/>
    </xf>
    <xf numFmtId="0" fontId="3" fillId="29" borderId="21" xfId="0" applyFont="1" applyFill="1" applyBorder="1" applyAlignment="1">
      <alignment horizontal="center" vertical="center"/>
    </xf>
    <xf numFmtId="0" fontId="0" fillId="10" borderId="26" xfId="0" applyFill="1" applyBorder="1" applyAlignment="1">
      <alignment horizontal="center"/>
    </xf>
    <xf numFmtId="0" fontId="0" fillId="10" borderId="21" xfId="0" applyFill="1" applyBorder="1" applyAlignment="1">
      <alignment horizontal="center"/>
    </xf>
    <xf numFmtId="2" fontId="55" fillId="10" borderId="0" xfId="0" applyNumberFormat="1" applyFont="1" applyFill="1"/>
    <xf numFmtId="172" fontId="42" fillId="10" borderId="0" xfId="0" applyNumberFormat="1" applyFont="1" applyFill="1"/>
    <xf numFmtId="172" fontId="52" fillId="10" borderId="0" xfId="0" applyNumberFormat="1" applyFont="1" applyFill="1"/>
    <xf numFmtId="0" fontId="49" fillId="10" borderId="0" xfId="0" applyFont="1" applyFill="1" applyAlignment="1">
      <alignment vertical="center"/>
    </xf>
    <xf numFmtId="0" fontId="0" fillId="29" borderId="61" xfId="0" applyFill="1" applyBorder="1"/>
    <xf numFmtId="0" fontId="0" fillId="29" borderId="62" xfId="0" applyFill="1" applyBorder="1"/>
    <xf numFmtId="0" fontId="0" fillId="10" borderId="22" xfId="0" applyFill="1" applyBorder="1"/>
    <xf numFmtId="0" fontId="0" fillId="0" borderId="30" xfId="0" applyBorder="1"/>
    <xf numFmtId="0" fontId="3" fillId="29" borderId="37" xfId="0" applyFont="1" applyFill="1" applyBorder="1" applyAlignment="1">
      <alignment horizontal="center" vertical="center"/>
    </xf>
    <xf numFmtId="0" fontId="0" fillId="29" borderId="65" xfId="0" applyFill="1" applyBorder="1"/>
    <xf numFmtId="0" fontId="0" fillId="0" borderId="22" xfId="0" applyBorder="1" applyAlignment="1">
      <alignment horizontal="center"/>
    </xf>
    <xf numFmtId="0" fontId="0" fillId="0" borderId="27" xfId="0" applyBorder="1" applyAlignment="1">
      <alignment horizontal="center"/>
    </xf>
    <xf numFmtId="1" fontId="0" fillId="0" borderId="45" xfId="0" applyNumberFormat="1" applyBorder="1" applyAlignment="1">
      <alignment horizontal="center" vertical="center"/>
    </xf>
    <xf numFmtId="1" fontId="0" fillId="0" borderId="43" xfId="0" applyNumberFormat="1" applyBorder="1" applyAlignment="1">
      <alignment horizontal="center" vertical="center"/>
    </xf>
    <xf numFmtId="0" fontId="0" fillId="0" borderId="63" xfId="0" applyBorder="1"/>
    <xf numFmtId="0" fontId="0" fillId="0" borderId="64" xfId="0" applyBorder="1"/>
    <xf numFmtId="0" fontId="0" fillId="0" borderId="16" xfId="0" applyBorder="1" applyAlignment="1">
      <alignment horizontal="center"/>
    </xf>
    <xf numFmtId="0" fontId="0" fillId="0" borderId="13" xfId="0" applyBorder="1" applyAlignment="1">
      <alignment horizontal="center"/>
    </xf>
    <xf numFmtId="0" fontId="0" fillId="0" borderId="64" xfId="0" applyBorder="1" applyAlignment="1">
      <alignment horizontal="center"/>
    </xf>
    <xf numFmtId="0" fontId="0" fillId="24" borderId="58" xfId="0" applyFill="1" applyBorder="1"/>
    <xf numFmtId="0" fontId="0" fillId="24" borderId="21" xfId="0" applyFill="1" applyBorder="1"/>
    <xf numFmtId="0" fontId="0" fillId="24" borderId="26" xfId="0" applyFill="1" applyBorder="1" applyAlignment="1">
      <alignment horizontal="center"/>
    </xf>
    <xf numFmtId="0" fontId="0" fillId="24" borderId="21" xfId="0" applyFill="1" applyBorder="1" applyAlignment="1">
      <alignment horizontal="center"/>
    </xf>
    <xf numFmtId="0" fontId="0" fillId="24" borderId="22" xfId="0" applyFill="1" applyBorder="1"/>
    <xf numFmtId="0" fontId="0" fillId="24" borderId="43" xfId="0" applyFill="1" applyBorder="1"/>
    <xf numFmtId="0" fontId="0" fillId="15" borderId="58" xfId="0" applyFill="1" applyBorder="1"/>
    <xf numFmtId="0" fontId="0" fillId="15" borderId="21" xfId="0" applyFill="1" applyBorder="1"/>
    <xf numFmtId="0" fontId="0" fillId="15" borderId="26" xfId="0" applyFill="1" applyBorder="1" applyAlignment="1">
      <alignment horizontal="center"/>
    </xf>
    <xf numFmtId="0" fontId="0" fillId="15" borderId="21" xfId="0" applyFill="1" applyBorder="1" applyAlignment="1">
      <alignment horizontal="center"/>
    </xf>
    <xf numFmtId="0" fontId="0" fillId="15" borderId="27" xfId="0" applyFill="1" applyBorder="1"/>
    <xf numFmtId="0" fontId="0" fillId="15" borderId="22" xfId="0" applyFill="1" applyBorder="1"/>
    <xf numFmtId="0" fontId="0" fillId="15" borderId="57" xfId="0" applyFill="1" applyBorder="1"/>
    <xf numFmtId="0" fontId="0" fillId="18" borderId="58" xfId="0" applyFill="1" applyBorder="1"/>
    <xf numFmtId="0" fontId="0" fillId="18" borderId="21" xfId="0" applyFill="1" applyBorder="1"/>
    <xf numFmtId="0" fontId="0" fillId="18" borderId="26" xfId="0" applyFill="1" applyBorder="1" applyAlignment="1">
      <alignment horizontal="center"/>
    </xf>
    <xf numFmtId="0" fontId="0" fillId="18" borderId="21" xfId="0" applyFill="1" applyBorder="1" applyAlignment="1">
      <alignment horizontal="center"/>
    </xf>
    <xf numFmtId="0" fontId="0" fillId="18" borderId="27" xfId="0" applyFill="1" applyBorder="1"/>
    <xf numFmtId="0" fontId="0" fillId="18" borderId="22" xfId="0" applyFill="1" applyBorder="1"/>
    <xf numFmtId="0" fontId="0" fillId="18" borderId="57" xfId="0" applyFill="1" applyBorder="1"/>
    <xf numFmtId="0" fontId="0" fillId="28" borderId="58" xfId="0" applyFill="1" applyBorder="1"/>
    <xf numFmtId="0" fontId="0" fillId="28" borderId="21" xfId="0" applyFill="1" applyBorder="1"/>
    <xf numFmtId="0" fontId="0" fillId="28" borderId="26" xfId="0" applyFill="1" applyBorder="1" applyAlignment="1">
      <alignment horizontal="center"/>
    </xf>
    <xf numFmtId="0" fontId="0" fillId="28" borderId="21" xfId="0" applyFill="1" applyBorder="1" applyAlignment="1">
      <alignment horizontal="center"/>
    </xf>
    <xf numFmtId="0" fontId="0" fillId="28" borderId="27" xfId="0" applyFill="1" applyBorder="1"/>
    <xf numFmtId="0" fontId="0" fillId="28" borderId="22" xfId="0" applyFill="1" applyBorder="1"/>
    <xf numFmtId="0" fontId="0" fillId="28" borderId="57" xfId="0" applyFill="1" applyBorder="1"/>
    <xf numFmtId="0" fontId="0" fillId="14" borderId="27" xfId="0" applyFill="1" applyBorder="1"/>
    <xf numFmtId="0" fontId="0" fillId="14" borderId="22" xfId="0" applyFill="1" applyBorder="1"/>
    <xf numFmtId="0" fontId="0" fillId="14" borderId="57" xfId="0" applyFill="1" applyBorder="1"/>
    <xf numFmtId="0" fontId="0" fillId="15" borderId="30" xfId="0" applyFill="1" applyBorder="1"/>
    <xf numFmtId="0" fontId="0" fillId="18" borderId="30" xfId="0" applyFill="1" applyBorder="1"/>
    <xf numFmtId="0" fontId="0" fillId="28" borderId="30" xfId="0" applyFill="1" applyBorder="1"/>
    <xf numFmtId="0" fontId="0" fillId="14" borderId="30" xfId="0" applyFill="1" applyBorder="1"/>
    <xf numFmtId="0" fontId="0" fillId="24" borderId="58" xfId="0" applyFill="1" applyBorder="1" applyAlignment="1">
      <alignment horizontal="center"/>
    </xf>
    <xf numFmtId="0" fontId="0" fillId="15" borderId="58" xfId="0" applyFill="1" applyBorder="1" applyAlignment="1">
      <alignment horizontal="center"/>
    </xf>
    <xf numFmtId="0" fontId="0" fillId="18" borderId="58" xfId="0" applyFill="1" applyBorder="1" applyAlignment="1">
      <alignment horizontal="center"/>
    </xf>
    <xf numFmtId="0" fontId="0" fillId="28" borderId="58" xfId="0" applyFill="1" applyBorder="1" applyAlignment="1">
      <alignment horizontal="center"/>
    </xf>
    <xf numFmtId="0" fontId="0" fillId="14" borderId="66" xfId="0" applyFill="1" applyBorder="1"/>
    <xf numFmtId="0" fontId="0" fillId="14" borderId="21" xfId="0" applyFill="1" applyBorder="1"/>
    <xf numFmtId="0" fontId="0" fillId="14" borderId="58" xfId="0" applyFill="1" applyBorder="1" applyAlignment="1">
      <alignment horizontal="center"/>
    </xf>
    <xf numFmtId="0" fontId="0" fillId="14" borderId="26" xfId="0" applyFill="1" applyBorder="1" applyAlignment="1">
      <alignment horizontal="center"/>
    </xf>
    <xf numFmtId="0" fontId="0" fillId="14" borderId="21" xfId="0" applyFill="1" applyBorder="1" applyAlignment="1">
      <alignment horizontal="center"/>
    </xf>
    <xf numFmtId="0" fontId="0" fillId="0" borderId="43" xfId="0" applyBorder="1" applyAlignment="1">
      <alignment horizontal="center"/>
    </xf>
    <xf numFmtId="0" fontId="0" fillId="10" borderId="58" xfId="0" applyFill="1" applyBorder="1"/>
    <xf numFmtId="0" fontId="0" fillId="10" borderId="21" xfId="0" applyFill="1" applyBorder="1"/>
    <xf numFmtId="0" fontId="0" fillId="10" borderId="58" xfId="0" applyFill="1" applyBorder="1" applyAlignment="1">
      <alignment horizontal="center" vertical="top"/>
    </xf>
    <xf numFmtId="1" fontId="0" fillId="10" borderId="26" xfId="0" applyNumberFormat="1" applyFill="1" applyBorder="1" applyAlignment="1">
      <alignment horizontal="center"/>
    </xf>
    <xf numFmtId="1" fontId="0" fillId="10" borderId="21" xfId="0" applyNumberFormat="1" applyFill="1" applyBorder="1" applyAlignment="1">
      <alignment horizontal="center"/>
    </xf>
    <xf numFmtId="0" fontId="0" fillId="10" borderId="43" xfId="0" applyFill="1" applyBorder="1"/>
    <xf numFmtId="0" fontId="0" fillId="52" borderId="26" xfId="0" applyFill="1" applyBorder="1" applyAlignment="1">
      <alignment horizontal="center"/>
    </xf>
    <xf numFmtId="0" fontId="0" fillId="52" borderId="21" xfId="0" applyFill="1" applyBorder="1" applyAlignment="1">
      <alignment horizontal="center"/>
    </xf>
    <xf numFmtId="0" fontId="0" fillId="0" borderId="23" xfId="0" applyBorder="1"/>
    <xf numFmtId="0" fontId="0" fillId="0" borderId="24" xfId="0" applyBorder="1"/>
    <xf numFmtId="0" fontId="0" fillId="53" borderId="58" xfId="0" applyFill="1" applyBorder="1"/>
    <xf numFmtId="0" fontId="0" fillId="53" borderId="21" xfId="0" applyFill="1" applyBorder="1"/>
    <xf numFmtId="0" fontId="0" fillId="53" borderId="58" xfId="0" applyFill="1" applyBorder="1" applyAlignment="1">
      <alignment horizontal="center"/>
    </xf>
    <xf numFmtId="0" fontId="0" fillId="53" borderId="26" xfId="0" applyFill="1" applyBorder="1" applyAlignment="1">
      <alignment horizontal="center"/>
    </xf>
    <xf numFmtId="0" fontId="0" fillId="53" borderId="21" xfId="0" applyFill="1" applyBorder="1" applyAlignment="1">
      <alignment horizontal="center"/>
    </xf>
    <xf numFmtId="0" fontId="0" fillId="53" borderId="27" xfId="0" applyFill="1" applyBorder="1"/>
    <xf numFmtId="0" fontId="0" fillId="53" borderId="22" xfId="0" applyFill="1" applyBorder="1"/>
    <xf numFmtId="0" fontId="0" fillId="53" borderId="60" xfId="0" applyFill="1" applyBorder="1"/>
    <xf numFmtId="0" fontId="0" fillId="53" borderId="62" xfId="0" applyFill="1" applyBorder="1"/>
    <xf numFmtId="0" fontId="0" fillId="52" borderId="23" xfId="0" applyFill="1" applyBorder="1"/>
    <xf numFmtId="0" fontId="0" fillId="52" borderId="24" xfId="0" applyFill="1" applyBorder="1"/>
    <xf numFmtId="0" fontId="0" fillId="52" borderId="25" xfId="0" applyFill="1" applyBorder="1"/>
    <xf numFmtId="0" fontId="0" fillId="52" borderId="28" xfId="0" applyFill="1" applyBorder="1"/>
    <xf numFmtId="0" fontId="0" fillId="52" borderId="31" xfId="0" applyFill="1" applyBorder="1"/>
    <xf numFmtId="0" fontId="0" fillId="52" borderId="30" xfId="0" applyFill="1" applyBorder="1"/>
    <xf numFmtId="0" fontId="0" fillId="0" borderId="3" xfId="0" applyBorder="1" applyAlignment="1">
      <alignment horizontal="center" vertical="center" wrapText="1"/>
    </xf>
    <xf numFmtId="0" fontId="0" fillId="52" borderId="37" xfId="0" applyFill="1" applyBorder="1" applyAlignment="1">
      <alignment horizontal="center"/>
    </xf>
    <xf numFmtId="0" fontId="0" fillId="0" borderId="60" xfId="0" applyBorder="1" applyAlignment="1">
      <alignment horizontal="center"/>
    </xf>
    <xf numFmtId="0" fontId="0" fillId="0" borderId="61" xfId="0" applyBorder="1" applyAlignment="1">
      <alignment horizontal="center"/>
    </xf>
    <xf numFmtId="0" fontId="0" fillId="0" borderId="62" xfId="0" applyBorder="1" applyAlignment="1">
      <alignment horizontal="center"/>
    </xf>
    <xf numFmtId="0" fontId="0" fillId="0" borderId="37" xfId="0" applyBorder="1" applyAlignment="1">
      <alignment horizontal="center"/>
    </xf>
    <xf numFmtId="0" fontId="0" fillId="0" borderId="26" xfId="0" applyBorder="1" applyAlignment="1">
      <alignment horizontal="center"/>
    </xf>
    <xf numFmtId="0" fontId="0" fillId="0" borderId="21" xfId="0" applyBorder="1" applyAlignment="1">
      <alignment horizontal="center"/>
    </xf>
    <xf numFmtId="0" fontId="0" fillId="0" borderId="59" xfId="0" applyBorder="1" applyAlignment="1">
      <alignment horizontal="center"/>
    </xf>
    <xf numFmtId="0" fontId="0" fillId="0" borderId="45" xfId="0" applyBorder="1" applyAlignment="1">
      <alignment horizontal="center"/>
    </xf>
    <xf numFmtId="2" fontId="0" fillId="24" borderId="27" xfId="0" applyNumberFormat="1" applyFill="1" applyBorder="1" applyAlignment="1">
      <alignment horizontal="center"/>
    </xf>
    <xf numFmtId="2" fontId="0" fillId="24" borderId="22" xfId="0" applyNumberFormat="1" applyFill="1" applyBorder="1" applyAlignment="1">
      <alignment horizontal="center"/>
    </xf>
    <xf numFmtId="2" fontId="0" fillId="24" borderId="53" xfId="0" applyNumberFormat="1" applyFill="1" applyBorder="1" applyAlignment="1">
      <alignment horizontal="center"/>
    </xf>
    <xf numFmtId="2" fontId="0" fillId="24" borderId="45" xfId="0" applyNumberFormat="1" applyFill="1" applyBorder="1" applyAlignment="1">
      <alignment horizontal="center"/>
    </xf>
    <xf numFmtId="2" fontId="0" fillId="24" borderId="43" xfId="0" applyNumberFormat="1" applyFill="1" applyBorder="1" applyAlignment="1">
      <alignment horizontal="center"/>
    </xf>
    <xf numFmtId="2" fontId="0" fillId="10" borderId="25" xfId="0" applyNumberFormat="1" applyFill="1" applyBorder="1" applyAlignment="1">
      <alignment horizontal="center"/>
    </xf>
    <xf numFmtId="2" fontId="0" fillId="10" borderId="8" xfId="0" applyNumberFormat="1" applyFill="1" applyBorder="1" applyAlignment="1">
      <alignment horizontal="center" vertical="top"/>
    </xf>
    <xf numFmtId="2" fontId="0" fillId="10" borderId="22" xfId="0" applyNumberFormat="1" applyFill="1" applyBorder="1" applyAlignment="1">
      <alignment horizontal="center" vertical="top"/>
    </xf>
    <xf numFmtId="2" fontId="0" fillId="10" borderId="27" xfId="0" applyNumberFormat="1" applyFill="1" applyBorder="1" applyAlignment="1">
      <alignment horizontal="center"/>
    </xf>
    <xf numFmtId="2" fontId="0" fillId="10" borderId="8" xfId="0" applyNumberFormat="1" applyFill="1" applyBorder="1" applyAlignment="1">
      <alignment horizontal="center"/>
    </xf>
    <xf numFmtId="2" fontId="0" fillId="10" borderId="22" xfId="0" applyNumberFormat="1" applyFill="1" applyBorder="1" applyAlignment="1">
      <alignment horizontal="center"/>
    </xf>
    <xf numFmtId="2" fontId="0" fillId="10" borderId="53" xfId="0" applyNumberFormat="1" applyFill="1" applyBorder="1" applyAlignment="1">
      <alignment horizontal="center"/>
    </xf>
    <xf numFmtId="2" fontId="0" fillId="10" borderId="45" xfId="0" applyNumberFormat="1" applyFill="1" applyBorder="1" applyAlignment="1">
      <alignment horizontal="center"/>
    </xf>
    <xf numFmtId="2" fontId="0" fillId="10" borderId="43" xfId="0" applyNumberFormat="1" applyFill="1" applyBorder="1" applyAlignment="1">
      <alignment horizontal="center"/>
    </xf>
    <xf numFmtId="2" fontId="0" fillId="15" borderId="27" xfId="0" applyNumberFormat="1" applyFill="1" applyBorder="1" applyAlignment="1">
      <alignment horizontal="center"/>
    </xf>
    <xf numFmtId="2" fontId="0" fillId="15" borderId="8" xfId="0" applyNumberFormat="1" applyFill="1" applyBorder="1" applyAlignment="1">
      <alignment horizontal="center"/>
    </xf>
    <xf numFmtId="2" fontId="0" fillId="15" borderId="22" xfId="0" applyNumberFormat="1" applyFill="1" applyBorder="1" applyAlignment="1">
      <alignment horizontal="center"/>
    </xf>
    <xf numFmtId="2" fontId="0" fillId="15" borderId="53" xfId="0" applyNumberFormat="1" applyFill="1" applyBorder="1" applyAlignment="1">
      <alignment horizontal="center"/>
    </xf>
    <xf numFmtId="2" fontId="0" fillId="15" borderId="45" xfId="0" applyNumberFormat="1" applyFill="1" applyBorder="1" applyAlignment="1">
      <alignment horizontal="center"/>
    </xf>
    <xf numFmtId="2" fontId="0" fillId="15" borderId="43" xfId="0" applyNumberFormat="1" applyFill="1" applyBorder="1" applyAlignment="1">
      <alignment horizontal="center"/>
    </xf>
    <xf numFmtId="2" fontId="0" fillId="18" borderId="27" xfId="0" applyNumberFormat="1" applyFill="1" applyBorder="1" applyAlignment="1">
      <alignment horizontal="center"/>
    </xf>
    <xf numFmtId="2" fontId="0" fillId="18" borderId="8" xfId="0" applyNumberFormat="1" applyFill="1" applyBorder="1" applyAlignment="1">
      <alignment horizontal="center"/>
    </xf>
    <xf numFmtId="2" fontId="0" fillId="18" borderId="22" xfId="0" applyNumberFormat="1" applyFill="1" applyBorder="1" applyAlignment="1">
      <alignment horizontal="center"/>
    </xf>
    <xf numFmtId="2" fontId="0" fillId="18" borderId="53" xfId="0" applyNumberFormat="1" applyFill="1" applyBorder="1" applyAlignment="1">
      <alignment horizontal="center"/>
    </xf>
    <xf numFmtId="2" fontId="0" fillId="18" borderId="45" xfId="0" applyNumberFormat="1" applyFill="1" applyBorder="1" applyAlignment="1">
      <alignment horizontal="center"/>
    </xf>
    <xf numFmtId="2" fontId="0" fillId="18" borderId="43" xfId="0" applyNumberFormat="1" applyFill="1" applyBorder="1" applyAlignment="1">
      <alignment horizontal="center"/>
    </xf>
    <xf numFmtId="2" fontId="0" fillId="28" borderId="27" xfId="0" applyNumberFormat="1" applyFill="1" applyBorder="1" applyAlignment="1">
      <alignment horizontal="center"/>
    </xf>
    <xf numFmtId="2" fontId="0" fillId="28" borderId="8" xfId="0" applyNumberFormat="1" applyFill="1" applyBorder="1" applyAlignment="1">
      <alignment horizontal="center"/>
    </xf>
    <xf numFmtId="2" fontId="0" fillId="28" borderId="22" xfId="0" applyNumberFormat="1" applyFill="1" applyBorder="1" applyAlignment="1">
      <alignment horizontal="center"/>
    </xf>
    <xf numFmtId="2" fontId="0" fillId="28" borderId="53" xfId="0" applyNumberFormat="1" applyFill="1" applyBorder="1" applyAlignment="1">
      <alignment horizontal="center"/>
    </xf>
    <xf numFmtId="2" fontId="0" fillId="28" borderId="45" xfId="0" applyNumberFormat="1" applyFill="1" applyBorder="1" applyAlignment="1">
      <alignment horizontal="center"/>
    </xf>
    <xf numFmtId="2" fontId="0" fillId="28" borderId="43" xfId="0" applyNumberFormat="1" applyFill="1" applyBorder="1" applyAlignment="1">
      <alignment horizontal="center"/>
    </xf>
    <xf numFmtId="2" fontId="0" fillId="53" borderId="27" xfId="0" applyNumberFormat="1" applyFill="1" applyBorder="1" applyAlignment="1">
      <alignment horizontal="center"/>
    </xf>
    <xf numFmtId="2" fontId="0" fillId="53" borderId="8" xfId="0" applyNumberFormat="1" applyFill="1" applyBorder="1" applyAlignment="1">
      <alignment horizontal="center"/>
    </xf>
    <xf numFmtId="2" fontId="0" fillId="53" borderId="22" xfId="0" applyNumberFormat="1" applyFill="1" applyBorder="1" applyAlignment="1">
      <alignment horizontal="center"/>
    </xf>
    <xf numFmtId="2" fontId="0" fillId="53" borderId="60" xfId="0" applyNumberFormat="1" applyFill="1" applyBorder="1" applyAlignment="1">
      <alignment horizontal="center"/>
    </xf>
    <xf numFmtId="2" fontId="0" fillId="53" borderId="61" xfId="0" applyNumberFormat="1" applyFill="1" applyBorder="1" applyAlignment="1">
      <alignment horizontal="center"/>
    </xf>
    <xf numFmtId="2" fontId="0" fillId="53" borderId="62" xfId="0" applyNumberFormat="1" applyFill="1" applyBorder="1" applyAlignment="1">
      <alignment horizontal="center"/>
    </xf>
    <xf numFmtId="0" fontId="0" fillId="0" borderId="67" xfId="0" applyBorder="1" applyAlignment="1">
      <alignment horizontal="left"/>
    </xf>
    <xf numFmtId="0" fontId="0" fillId="0" borderId="41" xfId="0" applyBorder="1" applyAlignment="1">
      <alignment horizontal="left"/>
    </xf>
    <xf numFmtId="1" fontId="0" fillId="0" borderId="65" xfId="0" applyNumberFormat="1" applyBorder="1" applyAlignment="1">
      <alignment horizontal="center" vertical="center"/>
    </xf>
    <xf numFmtId="0" fontId="0" fillId="0" borderId="68" xfId="0" applyBorder="1"/>
    <xf numFmtId="2" fontId="0" fillId="10" borderId="11" xfId="0" applyNumberFormat="1" applyFill="1" applyBorder="1"/>
    <xf numFmtId="0" fontId="3" fillId="37" borderId="23" xfId="0" applyFont="1" applyFill="1" applyBorder="1"/>
    <xf numFmtId="0" fontId="3" fillId="37" borderId="31" xfId="0" applyFont="1" applyFill="1" applyBorder="1"/>
    <xf numFmtId="0" fontId="0" fillId="37" borderId="29" xfId="0" applyFill="1" applyBorder="1" applyAlignment="1">
      <alignment horizontal="center"/>
    </xf>
    <xf numFmtId="2" fontId="0" fillId="0" borderId="0" xfId="0" applyNumberFormat="1" applyAlignment="1">
      <alignment horizontal="center"/>
    </xf>
    <xf numFmtId="0" fontId="0" fillId="54" borderId="14" xfId="0" applyFill="1" applyBorder="1"/>
    <xf numFmtId="2" fontId="0" fillId="54" borderId="5" xfId="0" applyNumberFormat="1" applyFill="1" applyBorder="1"/>
    <xf numFmtId="0" fontId="0" fillId="54" borderId="6" xfId="0" applyFill="1" applyBorder="1" applyAlignment="1">
      <alignment horizontal="center"/>
    </xf>
    <xf numFmtId="0" fontId="0" fillId="0" borderId="70" xfId="0" applyBorder="1" applyAlignment="1">
      <alignment horizontal="center"/>
    </xf>
    <xf numFmtId="0" fontId="0" fillId="0" borderId="9" xfId="0" applyBorder="1" applyAlignment="1">
      <alignment horizontal="center"/>
    </xf>
    <xf numFmtId="0" fontId="3" fillId="55" borderId="0" xfId="0" applyFont="1" applyFill="1" applyAlignment="1">
      <alignment horizontal="center" vertical="center" wrapText="1"/>
    </xf>
    <xf numFmtId="0" fontId="3" fillId="55" borderId="31" xfId="0" applyFont="1" applyFill="1" applyBorder="1" applyAlignment="1">
      <alignment horizontal="center" vertical="center" wrapText="1"/>
    </xf>
    <xf numFmtId="0" fontId="3" fillId="55" borderId="25" xfId="0" applyFont="1" applyFill="1" applyBorder="1" applyAlignment="1">
      <alignment horizontal="center" vertical="center" wrapText="1"/>
    </xf>
    <xf numFmtId="0" fontId="3" fillId="55" borderId="28" xfId="0" applyFont="1" applyFill="1" applyBorder="1" applyAlignment="1">
      <alignment horizontal="center" vertical="center" wrapText="1"/>
    </xf>
    <xf numFmtId="0" fontId="3" fillId="55" borderId="29" xfId="0" applyFont="1" applyFill="1" applyBorder="1" applyAlignment="1">
      <alignment horizontal="center" vertical="center" wrapText="1"/>
    </xf>
    <xf numFmtId="0" fontId="3" fillId="54" borderId="29" xfId="0" applyFont="1" applyFill="1" applyBorder="1" applyAlignment="1">
      <alignment horizontal="center" vertical="center"/>
    </xf>
    <xf numFmtId="165" fontId="0" fillId="4" borderId="75" xfId="0" applyNumberFormat="1" applyFill="1" applyBorder="1"/>
    <xf numFmtId="165" fontId="0" fillId="0" borderId="38" xfId="0" applyNumberFormat="1" applyBorder="1"/>
    <xf numFmtId="20" fontId="0" fillId="4" borderId="78" xfId="0" applyNumberFormat="1" applyFill="1" applyBorder="1"/>
    <xf numFmtId="20" fontId="0" fillId="0" borderId="79" xfId="0" applyNumberFormat="1" applyBorder="1"/>
    <xf numFmtId="20" fontId="0" fillId="4" borderId="79" xfId="0" applyNumberFormat="1" applyFill="1" applyBorder="1"/>
    <xf numFmtId="20" fontId="0" fillId="0" borderId="80" xfId="0" applyNumberFormat="1" applyBorder="1"/>
    <xf numFmtId="165" fontId="0" fillId="24" borderId="58" xfId="0" applyNumberFormat="1" applyFill="1" applyBorder="1"/>
    <xf numFmtId="165" fontId="0" fillId="0" borderId="27" xfId="0" applyNumberFormat="1" applyBorder="1"/>
    <xf numFmtId="165" fontId="0" fillId="24" borderId="27" xfId="0" applyNumberFormat="1" applyFill="1" applyBorder="1"/>
    <xf numFmtId="165" fontId="0" fillId="0" borderId="53" xfId="0" applyNumberFormat="1" applyBorder="1"/>
    <xf numFmtId="165" fontId="0" fillId="4" borderId="74" xfId="0" applyNumberFormat="1" applyFill="1" applyBorder="1"/>
    <xf numFmtId="165" fontId="0" fillId="0" borderId="76" xfId="0" applyNumberFormat="1" applyBorder="1"/>
    <xf numFmtId="165" fontId="0" fillId="4" borderId="76" xfId="0" applyNumberFormat="1" applyFill="1" applyBorder="1"/>
    <xf numFmtId="165" fontId="0" fillId="0" borderId="77" xfId="0" applyNumberFormat="1" applyBorder="1"/>
    <xf numFmtId="0" fontId="3" fillId="37" borderId="25" xfId="0" applyFont="1" applyFill="1" applyBorder="1"/>
    <xf numFmtId="0" fontId="3" fillId="37" borderId="0" xfId="0" applyFont="1" applyFill="1"/>
    <xf numFmtId="0" fontId="3" fillId="37" borderId="52" xfId="0" applyFont="1" applyFill="1" applyBorder="1"/>
    <xf numFmtId="0" fontId="3" fillId="37" borderId="24" xfId="0" applyFont="1" applyFill="1" applyBorder="1"/>
    <xf numFmtId="0" fontId="3" fillId="37" borderId="28" xfId="0" applyFont="1" applyFill="1" applyBorder="1"/>
    <xf numFmtId="2" fontId="0" fillId="0" borderId="27" xfId="0" applyNumberFormat="1" applyBorder="1" applyAlignment="1">
      <alignment horizontal="center"/>
    </xf>
    <xf numFmtId="2" fontId="0" fillId="0" borderId="58" xfId="0" applyNumberFormat="1" applyBorder="1" applyAlignment="1">
      <alignment horizontal="center"/>
    </xf>
    <xf numFmtId="2" fontId="0" fillId="0" borderId="26" xfId="0" applyNumberFormat="1" applyBorder="1" applyAlignment="1">
      <alignment horizontal="center"/>
    </xf>
    <xf numFmtId="2" fontId="0" fillId="0" borderId="21" xfId="0" applyNumberFormat="1" applyBorder="1" applyAlignment="1">
      <alignment horizontal="center"/>
    </xf>
    <xf numFmtId="2" fontId="0" fillId="0" borderId="22" xfId="0" applyNumberFormat="1" applyBorder="1" applyAlignment="1">
      <alignment horizontal="center"/>
    </xf>
    <xf numFmtId="2" fontId="0" fillId="52" borderId="8" xfId="0" applyNumberFormat="1" applyFill="1" applyBorder="1" applyAlignment="1">
      <alignment horizontal="center"/>
    </xf>
    <xf numFmtId="2" fontId="0" fillId="52" borderId="10" xfId="0" applyNumberFormat="1" applyFill="1" applyBorder="1" applyAlignment="1">
      <alignment horizontal="center"/>
    </xf>
    <xf numFmtId="2" fontId="0" fillId="52" borderId="22" xfId="0" applyNumberFormat="1" applyFill="1" applyBorder="1" applyAlignment="1">
      <alignment horizontal="center"/>
    </xf>
    <xf numFmtId="2" fontId="0" fillId="52" borderId="59" xfId="0" applyNumberFormat="1" applyFill="1" applyBorder="1" applyAlignment="1">
      <alignment horizontal="center"/>
    </xf>
    <xf numFmtId="2" fontId="0" fillId="52" borderId="45" xfId="0" applyNumberFormat="1" applyFill="1" applyBorder="1" applyAlignment="1">
      <alignment horizontal="center"/>
    </xf>
    <xf numFmtId="2" fontId="0" fillId="52" borderId="43" xfId="0" applyNumberFormat="1" applyFill="1" applyBorder="1" applyAlignment="1">
      <alignment horizontal="center"/>
    </xf>
    <xf numFmtId="2" fontId="0" fillId="14" borderId="27" xfId="0" applyNumberFormat="1" applyFill="1" applyBorder="1" applyAlignment="1">
      <alignment horizontal="center"/>
    </xf>
    <xf numFmtId="2" fontId="0" fillId="14" borderId="8" xfId="0" applyNumberFormat="1" applyFill="1" applyBorder="1" applyAlignment="1">
      <alignment horizontal="center"/>
    </xf>
    <xf numFmtId="2" fontId="0" fillId="14" borderId="22" xfId="0" applyNumberFormat="1" applyFill="1" applyBorder="1" applyAlignment="1">
      <alignment horizontal="center"/>
    </xf>
    <xf numFmtId="2" fontId="0" fillId="14" borderId="53" xfId="0" applyNumberFormat="1" applyFill="1" applyBorder="1" applyAlignment="1">
      <alignment horizontal="center"/>
    </xf>
    <xf numFmtId="2" fontId="0" fillId="14" borderId="45" xfId="0" applyNumberFormat="1" applyFill="1" applyBorder="1" applyAlignment="1">
      <alignment horizontal="center"/>
    </xf>
    <xf numFmtId="2" fontId="0" fillId="14" borderId="43" xfId="0" applyNumberFormat="1" applyFill="1" applyBorder="1" applyAlignment="1">
      <alignment horizontal="center"/>
    </xf>
    <xf numFmtId="1" fontId="0" fillId="0" borderId="61" xfId="0" applyNumberFormat="1" applyBorder="1" applyAlignment="1">
      <alignment horizontal="center" vertical="center"/>
    </xf>
    <xf numFmtId="2" fontId="0" fillId="0" borderId="81" xfId="0" applyNumberFormat="1" applyBorder="1"/>
    <xf numFmtId="2" fontId="0" fillId="4" borderId="81" xfId="0" applyNumberFormat="1" applyFill="1" applyBorder="1"/>
    <xf numFmtId="2" fontId="0" fillId="0" borderId="82" xfId="0" applyNumberFormat="1" applyBorder="1"/>
    <xf numFmtId="2" fontId="0" fillId="4" borderId="83" xfId="0" applyNumberFormat="1" applyFill="1" applyBorder="1"/>
    <xf numFmtId="2" fontId="0" fillId="0" borderId="1" xfId="0" applyNumberFormat="1" applyBorder="1"/>
    <xf numFmtId="2" fontId="0" fillId="4" borderId="1" xfId="0" applyNumberFormat="1" applyFill="1" applyBorder="1"/>
    <xf numFmtId="2" fontId="0" fillId="0" borderId="84" xfId="0" applyNumberFormat="1" applyBorder="1"/>
    <xf numFmtId="2" fontId="0" fillId="4" borderId="8" xfId="0" applyNumberFormat="1" applyFill="1" applyBorder="1"/>
    <xf numFmtId="2" fontId="0" fillId="0" borderId="8" xfId="0" applyNumberFormat="1" applyBorder="1"/>
    <xf numFmtId="2" fontId="0" fillId="4" borderId="27" xfId="0" applyNumberFormat="1" applyFill="1" applyBorder="1"/>
    <xf numFmtId="2" fontId="0" fillId="0" borderId="27" xfId="0" applyNumberFormat="1" applyBorder="1"/>
    <xf numFmtId="2" fontId="0" fillId="0" borderId="53" xfId="0" applyNumberFormat="1" applyBorder="1"/>
    <xf numFmtId="2" fontId="0" fillId="4" borderId="63" xfId="0" applyNumberFormat="1" applyFill="1" applyBorder="1"/>
    <xf numFmtId="0" fontId="3" fillId="55" borderId="25" xfId="0" applyFont="1" applyFill="1" applyBorder="1" applyAlignment="1">
      <alignment vertical="center" wrapText="1"/>
    </xf>
    <xf numFmtId="0" fontId="3" fillId="54" borderId="30" xfId="0" applyFont="1" applyFill="1" applyBorder="1" applyAlignment="1">
      <alignment horizontal="center" vertical="center"/>
    </xf>
    <xf numFmtId="2" fontId="0" fillId="4" borderId="13" xfId="0" applyNumberFormat="1" applyFill="1" applyBorder="1"/>
    <xf numFmtId="2" fontId="0" fillId="4" borderId="85" xfId="0" applyNumberFormat="1" applyFill="1" applyBorder="1"/>
    <xf numFmtId="2" fontId="0" fillId="0" borderId="45" xfId="0" applyNumberFormat="1" applyBorder="1"/>
    <xf numFmtId="0" fontId="0" fillId="0" borderId="50" xfId="0" applyBorder="1"/>
    <xf numFmtId="0" fontId="0" fillId="0" borderId="87" xfId="0" applyBorder="1" applyAlignment="1">
      <alignment horizontal="center"/>
    </xf>
    <xf numFmtId="0" fontId="0" fillId="0" borderId="53" xfId="0" applyBorder="1" applyAlignment="1">
      <alignment horizontal="center"/>
    </xf>
    <xf numFmtId="2" fontId="0" fillId="0" borderId="60" xfId="0" applyNumberFormat="1" applyBorder="1" applyAlignment="1">
      <alignment horizontal="center"/>
    </xf>
    <xf numFmtId="2" fontId="0" fillId="0" borderId="61" xfId="0" applyNumberFormat="1" applyBorder="1" applyAlignment="1">
      <alignment horizontal="center"/>
    </xf>
    <xf numFmtId="2" fontId="0" fillId="0" borderId="62" xfId="0" applyNumberFormat="1" applyBorder="1" applyAlignment="1">
      <alignment horizontal="center"/>
    </xf>
    <xf numFmtId="0" fontId="0" fillId="25" borderId="0" xfId="0" applyFill="1" applyAlignment="1" applyProtection="1">
      <alignment horizontal="right"/>
      <protection locked="0"/>
    </xf>
    <xf numFmtId="0" fontId="0" fillId="10" borderId="58" xfId="0" applyFill="1" applyBorder="1" applyAlignment="1">
      <alignment horizontal="center"/>
    </xf>
    <xf numFmtId="165" fontId="0" fillId="0" borderId="0" xfId="0" applyNumberFormat="1" applyAlignment="1">
      <alignment horizontal="center" vertical="center"/>
    </xf>
    <xf numFmtId="0" fontId="0" fillId="24" borderId="61" xfId="0" applyFill="1" applyBorder="1" applyAlignment="1">
      <alignment horizontal="center"/>
    </xf>
    <xf numFmtId="0" fontId="0" fillId="24" borderId="62" xfId="0" applyFill="1" applyBorder="1" applyAlignment="1">
      <alignment horizontal="center"/>
    </xf>
    <xf numFmtId="0" fontId="0" fillId="37" borderId="24" xfId="0" applyFill="1" applyBorder="1"/>
    <xf numFmtId="0" fontId="0" fillId="37" borderId="30" xfId="0" applyFill="1" applyBorder="1" applyAlignment="1">
      <alignment horizontal="center"/>
    </xf>
    <xf numFmtId="0" fontId="0" fillId="10" borderId="88" xfId="0" applyFill="1" applyBorder="1" applyAlignment="1">
      <alignment horizontal="center"/>
    </xf>
    <xf numFmtId="165" fontId="0" fillId="24" borderId="8" xfId="0" applyNumberFormat="1" applyFill="1" applyBorder="1" applyAlignment="1">
      <alignment horizontal="center"/>
    </xf>
    <xf numFmtId="0" fontId="0" fillId="24" borderId="27" xfId="0" applyFill="1" applyBorder="1" applyAlignment="1">
      <alignment horizontal="center"/>
    </xf>
    <xf numFmtId="0" fontId="0" fillId="10" borderId="27" xfId="0" applyFill="1" applyBorder="1" applyAlignment="1">
      <alignment horizontal="center"/>
    </xf>
    <xf numFmtId="0" fontId="0" fillId="24" borderId="60" xfId="0" applyFill="1" applyBorder="1" applyAlignment="1">
      <alignment horizontal="center"/>
    </xf>
    <xf numFmtId="165" fontId="0" fillId="24" borderId="27" xfId="0" applyNumberFormat="1" applyFill="1" applyBorder="1" applyAlignment="1">
      <alignment horizontal="center"/>
    </xf>
    <xf numFmtId="0" fontId="0" fillId="0" borderId="69" xfId="0" applyBorder="1" applyAlignment="1">
      <alignment horizontal="center"/>
    </xf>
    <xf numFmtId="1" fontId="0" fillId="0" borderId="53" xfId="0" applyNumberFormat="1" applyBorder="1" applyAlignment="1">
      <alignment horizontal="center" vertical="center"/>
    </xf>
    <xf numFmtId="2" fontId="0" fillId="0" borderId="50" xfId="0" applyNumberFormat="1" applyBorder="1" applyAlignment="1">
      <alignment horizontal="center"/>
    </xf>
    <xf numFmtId="2" fontId="0" fillId="0" borderId="89" xfId="0" applyNumberFormat="1" applyBorder="1" applyAlignment="1">
      <alignment horizontal="center"/>
    </xf>
    <xf numFmtId="2" fontId="0" fillId="0" borderId="6" xfId="0" applyNumberFormat="1" applyBorder="1" applyAlignment="1">
      <alignment horizontal="center"/>
    </xf>
    <xf numFmtId="1" fontId="0" fillId="24" borderId="22" xfId="0" applyNumberFormat="1" applyFill="1" applyBorder="1" applyAlignment="1">
      <alignment horizontal="center"/>
    </xf>
    <xf numFmtId="0" fontId="3" fillId="32" borderId="92" xfId="0" applyFont="1" applyFill="1" applyBorder="1" applyAlignment="1">
      <alignment wrapText="1"/>
    </xf>
    <xf numFmtId="0" fontId="0" fillId="24" borderId="60" xfId="0" applyFill="1" applyBorder="1"/>
    <xf numFmtId="0" fontId="0" fillId="24" borderId="86" xfId="0" applyFill="1" applyBorder="1" applyAlignment="1">
      <alignment horizontal="center"/>
    </xf>
    <xf numFmtId="0" fontId="0" fillId="24" borderId="9" xfId="0" applyFill="1" applyBorder="1" applyAlignment="1">
      <alignment horizontal="center"/>
    </xf>
    <xf numFmtId="0" fontId="0" fillId="24" borderId="70" xfId="0" applyFill="1" applyBorder="1" applyAlignment="1">
      <alignment horizontal="center"/>
    </xf>
    <xf numFmtId="2" fontId="0" fillId="0" borderId="37" xfId="0" applyNumberFormat="1" applyBorder="1" applyAlignment="1">
      <alignment horizontal="center"/>
    </xf>
    <xf numFmtId="2" fontId="0" fillId="0" borderId="10" xfId="0" applyNumberFormat="1" applyBorder="1" applyAlignment="1">
      <alignment horizontal="center"/>
    </xf>
    <xf numFmtId="2" fontId="0" fillId="24" borderId="59" xfId="0" applyNumberFormat="1" applyFill="1" applyBorder="1" applyAlignment="1">
      <alignment horizontal="center"/>
    </xf>
    <xf numFmtId="0" fontId="31" fillId="10" borderId="0" xfId="0" applyFont="1" applyFill="1" applyAlignment="1">
      <alignment horizontal="center" vertical="center" wrapText="1"/>
    </xf>
    <xf numFmtId="2" fontId="0" fillId="10" borderId="0" xfId="0" applyNumberFormat="1" applyFill="1" applyAlignment="1">
      <alignment horizontal="center" vertical="center"/>
    </xf>
    <xf numFmtId="0" fontId="0" fillId="32" borderId="93" xfId="0" applyFill="1" applyBorder="1" applyAlignment="1">
      <alignment horizontal="center" vertical="center"/>
    </xf>
    <xf numFmtId="0" fontId="0" fillId="8" borderId="0" xfId="0" applyFill="1" applyProtection="1">
      <protection locked="0"/>
    </xf>
    <xf numFmtId="0" fontId="44" fillId="46" borderId="0" xfId="0" applyFont="1" applyFill="1" applyAlignment="1" applyProtection="1">
      <alignment horizontal="center" vertical="center"/>
      <protection locked="0"/>
    </xf>
    <xf numFmtId="0" fontId="44" fillId="46" borderId="0" xfId="0" applyFont="1" applyFill="1" applyAlignment="1" applyProtection="1">
      <alignment horizontal="center"/>
      <protection locked="0"/>
    </xf>
    <xf numFmtId="4" fontId="0" fillId="10" borderId="0" xfId="0" applyNumberFormat="1" applyFill="1" applyProtection="1">
      <protection locked="0"/>
    </xf>
    <xf numFmtId="20" fontId="0" fillId="0" borderId="0" xfId="0" applyNumberFormat="1" applyProtection="1">
      <protection locked="0"/>
    </xf>
    <xf numFmtId="0" fontId="0" fillId="38" borderId="8" xfId="0" applyFill="1" applyBorder="1" applyAlignment="1" applyProtection="1">
      <alignment horizontal="center"/>
      <protection locked="0"/>
    </xf>
    <xf numFmtId="0" fontId="0" fillId="50" borderId="8" xfId="0" applyFill="1" applyBorder="1" applyAlignment="1" applyProtection="1">
      <alignment horizontal="center"/>
      <protection locked="0"/>
    </xf>
    <xf numFmtId="0" fontId="0" fillId="48" borderId="8" xfId="0" applyFill="1" applyBorder="1" applyAlignment="1" applyProtection="1">
      <alignment horizontal="center"/>
      <protection locked="0"/>
    </xf>
    <xf numFmtId="0" fontId="0" fillId="47" borderId="8" xfId="0" applyFill="1" applyBorder="1" applyProtection="1">
      <protection locked="0"/>
    </xf>
    <xf numFmtId="0" fontId="0" fillId="19" borderId="8" xfId="0" applyFill="1" applyBorder="1" applyAlignment="1" applyProtection="1">
      <alignment horizontal="center"/>
      <protection locked="0"/>
    </xf>
    <xf numFmtId="0" fontId="0" fillId="39" borderId="8" xfId="0" applyFill="1" applyBorder="1" applyAlignment="1" applyProtection="1">
      <alignment horizontal="center"/>
      <protection locked="0"/>
    </xf>
    <xf numFmtId="0" fontId="0" fillId="49" borderId="8" xfId="0" applyFill="1" applyBorder="1" applyAlignment="1" applyProtection="1">
      <alignment horizontal="center"/>
      <protection locked="0"/>
    </xf>
    <xf numFmtId="0" fontId="0" fillId="40" borderId="8" xfId="0" applyFill="1" applyBorder="1" applyAlignment="1" applyProtection="1">
      <alignment horizontal="center"/>
      <protection locked="0"/>
    </xf>
    <xf numFmtId="0" fontId="0" fillId="42" borderId="8" xfId="0" applyFill="1" applyBorder="1" applyAlignment="1" applyProtection="1">
      <alignment horizontal="center"/>
      <protection locked="0"/>
    </xf>
    <xf numFmtId="0" fontId="0" fillId="0" borderId="0" xfId="0" applyAlignment="1" applyProtection="1">
      <alignment horizontal="center"/>
      <protection locked="0"/>
    </xf>
    <xf numFmtId="0" fontId="44" fillId="0" borderId="8" xfId="0" applyFont="1" applyBorder="1" applyAlignment="1" applyProtection="1">
      <alignment horizontal="center"/>
      <protection locked="0"/>
    </xf>
    <xf numFmtId="0" fontId="0" fillId="0" borderId="8" xfId="0" applyBorder="1" applyAlignment="1" applyProtection="1">
      <alignment horizontal="center"/>
      <protection locked="0"/>
    </xf>
    <xf numFmtId="20" fontId="0" fillId="27" borderId="94" xfId="0" applyNumberFormat="1" applyFill="1" applyBorder="1" applyAlignment="1">
      <alignment horizontal="center"/>
    </xf>
    <xf numFmtId="20" fontId="0" fillId="10" borderId="95" xfId="0" applyNumberFormat="1" applyFill="1" applyBorder="1" applyAlignment="1">
      <alignment horizontal="center"/>
    </xf>
    <xf numFmtId="20" fontId="0" fillId="27" borderId="95" xfId="0" applyNumberFormat="1" applyFill="1" applyBorder="1" applyAlignment="1">
      <alignment horizontal="center"/>
    </xf>
    <xf numFmtId="20" fontId="0" fillId="10" borderId="96" xfId="0" applyNumberFormat="1" applyFill="1" applyBorder="1" applyAlignment="1">
      <alignment horizontal="center"/>
    </xf>
    <xf numFmtId="20" fontId="0" fillId="27" borderId="8" xfId="0" applyNumberFormat="1" applyFill="1" applyBorder="1" applyAlignment="1">
      <alignment horizontal="center"/>
    </xf>
    <xf numFmtId="20" fontId="0" fillId="10" borderId="8" xfId="0" applyNumberFormat="1" applyFill="1" applyBorder="1" applyAlignment="1">
      <alignment horizontal="center"/>
    </xf>
    <xf numFmtId="1" fontId="0" fillId="0" borderId="62" xfId="0" applyNumberFormat="1" applyBorder="1" applyAlignment="1">
      <alignment horizontal="center" vertical="center"/>
    </xf>
    <xf numFmtId="4" fontId="0" fillId="0" borderId="27" xfId="0" applyNumberFormat="1" applyBorder="1" applyAlignment="1">
      <alignment horizontal="center"/>
    </xf>
    <xf numFmtId="4" fontId="0" fillId="0" borderId="8" xfId="0" applyNumberFormat="1" applyBorder="1" applyAlignment="1">
      <alignment horizontal="center"/>
    </xf>
    <xf numFmtId="4" fontId="0" fillId="0" borderId="22" xfId="0" applyNumberFormat="1" applyBorder="1" applyAlignment="1">
      <alignment horizontal="center"/>
    </xf>
    <xf numFmtId="4" fontId="0" fillId="24" borderId="27" xfId="0" applyNumberFormat="1" applyFill="1" applyBorder="1" applyAlignment="1">
      <alignment horizontal="center"/>
    </xf>
    <xf numFmtId="4" fontId="0" fillId="24" borderId="8" xfId="0" applyNumberFormat="1" applyFill="1" applyBorder="1" applyAlignment="1">
      <alignment horizontal="center"/>
    </xf>
    <xf numFmtId="4" fontId="0" fillId="24" borderId="22" xfId="0" applyNumberFormat="1" applyFill="1" applyBorder="1" applyAlignment="1">
      <alignment horizontal="center"/>
    </xf>
    <xf numFmtId="3" fontId="0" fillId="24" borderId="58" xfId="0" applyNumberFormat="1" applyFill="1" applyBorder="1" applyAlignment="1">
      <alignment horizontal="center"/>
    </xf>
    <xf numFmtId="3" fontId="0" fillId="24" borderId="26" xfId="0" applyNumberFormat="1" applyFill="1" applyBorder="1" applyAlignment="1">
      <alignment horizontal="center"/>
    </xf>
    <xf numFmtId="3" fontId="0" fillId="24" borderId="21" xfId="0" applyNumberFormat="1" applyFill="1" applyBorder="1" applyAlignment="1">
      <alignment horizontal="center"/>
    </xf>
    <xf numFmtId="3" fontId="0" fillId="0" borderId="37" xfId="0" applyNumberFormat="1" applyBorder="1" applyAlignment="1">
      <alignment horizontal="center" vertical="center"/>
    </xf>
    <xf numFmtId="3" fontId="0" fillId="0" borderId="26" xfId="0" applyNumberFormat="1" applyBorder="1" applyAlignment="1">
      <alignment horizontal="center" vertical="center"/>
    </xf>
    <xf numFmtId="3" fontId="0" fillId="0" borderId="21" xfId="0" applyNumberFormat="1" applyBorder="1" applyAlignment="1">
      <alignment horizontal="center" vertical="center"/>
    </xf>
    <xf numFmtId="3" fontId="0" fillId="24" borderId="10" xfId="0" applyNumberFormat="1" applyFill="1" applyBorder="1" applyAlignment="1">
      <alignment horizontal="center" vertical="center"/>
    </xf>
    <xf numFmtId="3" fontId="0" fillId="24" borderId="8" xfId="0" applyNumberFormat="1" applyFill="1" applyBorder="1" applyAlignment="1">
      <alignment horizontal="center" vertical="center"/>
    </xf>
    <xf numFmtId="3" fontId="0" fillId="24" borderId="22" xfId="0" applyNumberFormat="1" applyFill="1" applyBorder="1" applyAlignment="1">
      <alignment horizontal="center" vertical="center"/>
    </xf>
    <xf numFmtId="3" fontId="0" fillId="0" borderId="10" xfId="0" applyNumberFormat="1" applyBorder="1" applyAlignment="1">
      <alignment horizontal="center" vertical="center"/>
    </xf>
    <xf numFmtId="3" fontId="0" fillId="0" borderId="8" xfId="0" applyNumberFormat="1" applyBorder="1" applyAlignment="1">
      <alignment horizontal="center" vertical="center"/>
    </xf>
    <xf numFmtId="3" fontId="0" fillId="0" borderId="22" xfId="0" applyNumberFormat="1" applyBorder="1" applyAlignment="1">
      <alignment horizontal="center" vertical="center"/>
    </xf>
    <xf numFmtId="3" fontId="0" fillId="24" borderId="65" xfId="0" applyNumberFormat="1" applyFill="1" applyBorder="1" applyAlignment="1">
      <alignment horizontal="center" vertical="center"/>
    </xf>
    <xf numFmtId="3" fontId="0" fillId="24" borderId="61" xfId="0" applyNumberFormat="1" applyFill="1" applyBorder="1" applyAlignment="1">
      <alignment horizontal="center" vertical="center"/>
    </xf>
    <xf numFmtId="3" fontId="0" fillId="24" borderId="62" xfId="0" applyNumberFormat="1" applyFill="1" applyBorder="1" applyAlignment="1">
      <alignment horizontal="center" vertical="center"/>
    </xf>
    <xf numFmtId="0" fontId="0" fillId="56" borderId="23" xfId="0" applyFill="1" applyBorder="1"/>
    <xf numFmtId="0" fontId="0" fillId="56" borderId="24" xfId="0" applyFill="1" applyBorder="1"/>
    <xf numFmtId="0" fontId="0" fillId="56" borderId="37" xfId="0" applyFill="1" applyBorder="1" applyAlignment="1">
      <alignment horizontal="center"/>
    </xf>
    <xf numFmtId="0" fontId="0" fillId="56" borderId="26" xfId="0" applyFill="1" applyBorder="1" applyAlignment="1">
      <alignment horizontal="center"/>
    </xf>
    <xf numFmtId="0" fontId="0" fillId="56" borderId="21" xfId="0" applyFill="1" applyBorder="1" applyAlignment="1">
      <alignment horizontal="center"/>
    </xf>
    <xf numFmtId="0" fontId="0" fillId="56" borderId="25" xfId="0" applyFill="1" applyBorder="1"/>
    <xf numFmtId="0" fontId="0" fillId="56" borderId="28" xfId="0" applyFill="1" applyBorder="1"/>
    <xf numFmtId="2" fontId="0" fillId="56" borderId="10" xfId="0" applyNumberFormat="1" applyFill="1" applyBorder="1" applyAlignment="1">
      <alignment horizontal="center"/>
    </xf>
    <xf numFmtId="2" fontId="0" fillId="56" borderId="8" xfId="0" applyNumberFormat="1" applyFill="1" applyBorder="1" applyAlignment="1">
      <alignment horizontal="center"/>
    </xf>
    <xf numFmtId="2" fontId="0" fillId="56" borderId="22" xfId="0" applyNumberFormat="1" applyFill="1" applyBorder="1" applyAlignment="1">
      <alignment horizontal="center"/>
    </xf>
    <xf numFmtId="0" fontId="0" fillId="56" borderId="31" xfId="0" applyFill="1" applyBorder="1"/>
    <xf numFmtId="0" fontId="0" fillId="56" borderId="30" xfId="0" applyFill="1" applyBorder="1"/>
    <xf numFmtId="2" fontId="0" fillId="56" borderId="59" xfId="0" applyNumberFormat="1" applyFill="1" applyBorder="1" applyAlignment="1">
      <alignment horizontal="center"/>
    </xf>
    <xf numFmtId="2" fontId="0" fillId="56" borderId="45" xfId="0" applyNumberFormat="1" applyFill="1" applyBorder="1" applyAlignment="1">
      <alignment horizontal="center"/>
    </xf>
    <xf numFmtId="2" fontId="0" fillId="56" borderId="43" xfId="0" applyNumberFormat="1" applyFill="1" applyBorder="1" applyAlignment="1">
      <alignment horizontal="center"/>
    </xf>
    <xf numFmtId="2" fontId="0" fillId="56" borderId="65" xfId="0" applyNumberFormat="1" applyFill="1" applyBorder="1" applyAlignment="1">
      <alignment horizontal="center"/>
    </xf>
    <xf numFmtId="2" fontId="0" fillId="56" borderId="61" xfId="0" applyNumberFormat="1" applyFill="1" applyBorder="1" applyAlignment="1">
      <alignment horizontal="center"/>
    </xf>
    <xf numFmtId="2" fontId="0" fillId="56" borderId="62" xfId="0" applyNumberFormat="1" applyFill="1" applyBorder="1" applyAlignment="1">
      <alignment horizontal="center"/>
    </xf>
    <xf numFmtId="0" fontId="55" fillId="0" borderId="0" xfId="0" applyFont="1"/>
    <xf numFmtId="2" fontId="0" fillId="24" borderId="60" xfId="0" applyNumberFormat="1" applyFill="1" applyBorder="1" applyAlignment="1">
      <alignment horizontal="center"/>
    </xf>
    <xf numFmtId="2" fontId="0" fillId="24" borderId="61" xfId="0" applyNumberFormat="1" applyFill="1" applyBorder="1" applyAlignment="1">
      <alignment horizontal="center"/>
    </xf>
    <xf numFmtId="2" fontId="0" fillId="24" borderId="62" xfId="0" applyNumberFormat="1" applyFill="1" applyBorder="1" applyAlignment="1">
      <alignment horizontal="center"/>
    </xf>
    <xf numFmtId="0" fontId="31" fillId="34" borderId="8" xfId="0" applyFont="1" applyFill="1" applyBorder="1" applyAlignment="1">
      <alignment horizontal="center" vertical="center" wrapText="1"/>
    </xf>
    <xf numFmtId="0" fontId="55" fillId="10" borderId="0" xfId="0" applyFont="1" applyFill="1" applyAlignment="1">
      <alignment horizontal="left"/>
    </xf>
    <xf numFmtId="165" fontId="0" fillId="24" borderId="57" xfId="0" applyNumberFormat="1" applyFill="1" applyBorder="1" applyAlignment="1">
      <alignment horizontal="center"/>
    </xf>
    <xf numFmtId="165" fontId="0" fillId="24" borderId="49" xfId="0" applyNumberFormat="1" applyFill="1" applyBorder="1" applyAlignment="1">
      <alignment horizontal="center"/>
    </xf>
    <xf numFmtId="1" fontId="0" fillId="24" borderId="91" xfId="0" applyNumberFormat="1" applyFill="1" applyBorder="1" applyAlignment="1">
      <alignment horizontal="center"/>
    </xf>
    <xf numFmtId="0" fontId="0" fillId="15" borderId="25" xfId="0" applyFill="1" applyBorder="1"/>
    <xf numFmtId="0" fontId="0" fillId="15" borderId="28" xfId="0" applyFill="1" applyBorder="1"/>
    <xf numFmtId="2" fontId="0" fillId="15" borderId="11" xfId="0" applyNumberFormat="1" applyFill="1" applyBorder="1" applyAlignment="1">
      <alignment horizontal="center"/>
    </xf>
    <xf numFmtId="2" fontId="0" fillId="15" borderId="12" xfId="0" applyNumberFormat="1" applyFill="1" applyBorder="1" applyAlignment="1">
      <alignment horizontal="center"/>
    </xf>
    <xf numFmtId="2" fontId="0" fillId="15" borderId="88" xfId="0" applyNumberFormat="1" applyFill="1" applyBorder="1" applyAlignment="1">
      <alignment horizontal="center"/>
    </xf>
    <xf numFmtId="2" fontId="0" fillId="15" borderId="10" xfId="0" applyNumberFormat="1" applyFill="1" applyBorder="1" applyAlignment="1">
      <alignment horizontal="center"/>
    </xf>
    <xf numFmtId="0" fontId="31" fillId="34" borderId="8" xfId="0" applyFont="1" applyFill="1" applyBorder="1" applyAlignment="1">
      <alignment horizontal="center" vertical="center"/>
    </xf>
    <xf numFmtId="2" fontId="31" fillId="41" borderId="8" xfId="0" applyNumberFormat="1" applyFont="1" applyFill="1" applyBorder="1" applyAlignment="1">
      <alignment horizontal="center" vertical="center"/>
    </xf>
    <xf numFmtId="2" fontId="31" fillId="57" borderId="8" xfId="0" applyNumberFormat="1" applyFont="1" applyFill="1" applyBorder="1" applyAlignment="1">
      <alignment horizontal="center" vertical="center"/>
    </xf>
    <xf numFmtId="0" fontId="31" fillId="32" borderId="8" xfId="0" applyFont="1" applyFill="1" applyBorder="1" applyAlignment="1">
      <alignment horizontal="center" vertical="center" wrapText="1"/>
    </xf>
    <xf numFmtId="2" fontId="31" fillId="36" borderId="8" xfId="0" applyNumberFormat="1" applyFont="1" applyFill="1" applyBorder="1" applyAlignment="1">
      <alignment horizontal="center" vertical="center"/>
    </xf>
    <xf numFmtId="2" fontId="0" fillId="36" borderId="8" xfId="0" applyNumberFormat="1" applyFill="1" applyBorder="1" applyAlignment="1">
      <alignment horizontal="center" vertical="center"/>
    </xf>
    <xf numFmtId="2" fontId="31" fillId="36" borderId="8" xfId="0" applyNumberFormat="1" applyFont="1" applyFill="1" applyBorder="1" applyAlignment="1">
      <alignment horizontal="center" vertical="center" wrapText="1"/>
    </xf>
    <xf numFmtId="2" fontId="53" fillId="10" borderId="0" xfId="0" applyNumberFormat="1" applyFont="1" applyFill="1" applyAlignment="1">
      <alignment horizontal="left"/>
    </xf>
    <xf numFmtId="0" fontId="53" fillId="0" borderId="0" xfId="0" applyFont="1"/>
    <xf numFmtId="0" fontId="3" fillId="34" borderId="9" xfId="0" applyFont="1" applyFill="1" applyBorder="1" applyAlignment="1">
      <alignment wrapText="1"/>
    </xf>
    <xf numFmtId="0" fontId="3" fillId="34" borderId="9" xfId="0" applyFont="1" applyFill="1" applyBorder="1" applyAlignment="1">
      <alignment vertical="center"/>
    </xf>
    <xf numFmtId="0" fontId="0" fillId="33" borderId="9" xfId="0" applyFill="1" applyBorder="1"/>
    <xf numFmtId="0" fontId="11" fillId="33" borderId="9" xfId="0" applyFont="1" applyFill="1" applyBorder="1" applyAlignment="1">
      <alignment vertical="center" wrapText="1"/>
    </xf>
    <xf numFmtId="0" fontId="0" fillId="34" borderId="20" xfId="0" applyFill="1" applyBorder="1" applyAlignment="1">
      <alignment horizontal="center" vertical="center"/>
    </xf>
    <xf numFmtId="0" fontId="31" fillId="34" borderId="18" xfId="0" applyFont="1" applyFill="1" applyBorder="1" applyAlignment="1">
      <alignment horizontal="center" vertical="center"/>
    </xf>
    <xf numFmtId="0" fontId="30" fillId="35" borderId="20" xfId="0" applyFont="1" applyFill="1" applyBorder="1" applyAlignment="1">
      <alignment horizontal="center" vertical="center" wrapText="1"/>
    </xf>
    <xf numFmtId="2" fontId="0" fillId="36" borderId="20" xfId="0" applyNumberFormat="1" applyFill="1" applyBorder="1"/>
    <xf numFmtId="2" fontId="0" fillId="36" borderId="19" xfId="0" applyNumberFormat="1" applyFill="1" applyBorder="1"/>
    <xf numFmtId="2" fontId="31" fillId="34" borderId="8" xfId="0" applyNumberFormat="1" applyFont="1" applyFill="1" applyBorder="1" applyAlignment="1">
      <alignment horizontal="center" vertical="center"/>
    </xf>
    <xf numFmtId="2" fontId="31" fillId="32" borderId="8" xfId="0" applyNumberFormat="1" applyFont="1" applyFill="1" applyBorder="1" applyAlignment="1">
      <alignment horizontal="center" vertical="center" wrapText="1"/>
    </xf>
    <xf numFmtId="2" fontId="31" fillId="32" borderId="8" xfId="0" applyNumberFormat="1" applyFont="1" applyFill="1" applyBorder="1" applyAlignment="1">
      <alignment horizontal="center" vertical="center"/>
    </xf>
    <xf numFmtId="0" fontId="55" fillId="10" borderId="0" xfId="0" applyFont="1" applyFill="1" applyAlignment="1">
      <alignment horizontal="right"/>
    </xf>
    <xf numFmtId="2" fontId="55" fillId="10" borderId="0" xfId="0" applyNumberFormat="1" applyFont="1" applyFill="1" applyAlignment="1">
      <alignment horizontal="center"/>
    </xf>
    <xf numFmtId="0" fontId="55" fillId="10" borderId="0" xfId="0" applyFont="1" applyFill="1" applyAlignment="1">
      <alignment horizontal="center"/>
    </xf>
    <xf numFmtId="0" fontId="0" fillId="0" borderId="0" xfId="0" applyFill="1"/>
    <xf numFmtId="0" fontId="0" fillId="0" borderId="0" xfId="0" applyFill="1" applyAlignment="1">
      <alignment wrapText="1"/>
    </xf>
    <xf numFmtId="0" fontId="0" fillId="0" borderId="0" xfId="0" applyFill="1" applyAlignment="1" applyProtection="1">
      <alignment horizontal="center"/>
      <protection locked="0"/>
    </xf>
    <xf numFmtId="2" fontId="55" fillId="10" borderId="0" xfId="0" applyNumberFormat="1" applyFont="1" applyFill="1" applyAlignment="1">
      <alignment horizontal="center"/>
    </xf>
    <xf numFmtId="2" fontId="48" fillId="10" borderId="0" xfId="0" applyNumberFormat="1" applyFont="1" applyFill="1" applyAlignment="1">
      <alignment horizontal="center"/>
    </xf>
    <xf numFmtId="2" fontId="51" fillId="10" borderId="0" xfId="0" applyNumberFormat="1" applyFont="1" applyFill="1" applyAlignment="1">
      <alignment horizontal="center"/>
    </xf>
    <xf numFmtId="2" fontId="42" fillId="10" borderId="0" xfId="0" applyNumberFormat="1" applyFont="1" applyFill="1" applyAlignment="1">
      <alignment horizontal="center"/>
    </xf>
    <xf numFmtId="0" fontId="51" fillId="10" borderId="0" xfId="0" applyFont="1" applyFill="1" applyAlignment="1">
      <alignment horizontal="center" wrapText="1"/>
    </xf>
    <xf numFmtId="1" fontId="55" fillId="10" borderId="0" xfId="0" applyNumberFormat="1" applyFont="1" applyFill="1" applyAlignment="1">
      <alignment horizontal="right"/>
    </xf>
    <xf numFmtId="1" fontId="53" fillId="10" borderId="0" xfId="0" applyNumberFormat="1" applyFont="1" applyFill="1" applyAlignment="1">
      <alignment horizontal="right"/>
    </xf>
    <xf numFmtId="2" fontId="49" fillId="10" borderId="0" xfId="0" applyNumberFormat="1" applyFont="1" applyFill="1" applyAlignment="1">
      <alignment horizontal="center"/>
    </xf>
    <xf numFmtId="0" fontId="55" fillId="10" borderId="0" xfId="0" applyFont="1" applyFill="1" applyAlignment="1">
      <alignment horizontal="center" vertical="center"/>
    </xf>
    <xf numFmtId="0" fontId="49" fillId="10" borderId="0" xfId="0" applyFont="1" applyFill="1" applyAlignment="1">
      <alignment horizontal="center" vertical="center"/>
    </xf>
    <xf numFmtId="0" fontId="53" fillId="0" borderId="0" xfId="0" applyFont="1" applyAlignment="1">
      <alignment horizontal="center"/>
    </xf>
    <xf numFmtId="0" fontId="0" fillId="0" borderId="0" xfId="0" applyAlignment="1">
      <alignment horizontal="center"/>
    </xf>
    <xf numFmtId="0" fontId="0" fillId="10" borderId="0" xfId="0" applyFill="1" applyAlignment="1">
      <alignment horizontal="center" vertical="center"/>
    </xf>
    <xf numFmtId="2" fontId="50" fillId="10" borderId="0" xfId="0" applyNumberFormat="1" applyFont="1" applyFill="1" applyAlignment="1">
      <alignment horizontal="center"/>
    </xf>
    <xf numFmtId="2" fontId="0" fillId="10" borderId="0" xfId="0" applyNumberFormat="1" applyFill="1" applyAlignment="1">
      <alignment horizontal="center"/>
    </xf>
    <xf numFmtId="2" fontId="47" fillId="10" borderId="0" xfId="0" applyNumberFormat="1" applyFont="1" applyFill="1" applyAlignment="1">
      <alignment horizontal="center"/>
    </xf>
    <xf numFmtId="0" fontId="55" fillId="10" borderId="0" xfId="0" applyFont="1" applyFill="1" applyAlignment="1">
      <alignment horizontal="left" vertical="top" wrapText="1"/>
    </xf>
    <xf numFmtId="0" fontId="0" fillId="10" borderId="0" xfId="0" applyFill="1" applyAlignment="1">
      <alignment horizontal="left" vertical="top"/>
    </xf>
    <xf numFmtId="2" fontId="55" fillId="10" borderId="0" xfId="0" applyNumberFormat="1" applyFont="1" applyFill="1" applyAlignment="1">
      <alignment horizontal="center" vertical="center"/>
    </xf>
    <xf numFmtId="2" fontId="48" fillId="10" borderId="0" xfId="0" applyNumberFormat="1" applyFont="1" applyFill="1" applyAlignment="1">
      <alignment horizontal="center" vertical="center"/>
    </xf>
    <xf numFmtId="2" fontId="42" fillId="10" borderId="0" xfId="0" applyNumberFormat="1" applyFont="1" applyFill="1" applyAlignment="1">
      <alignment horizontal="center" vertical="center"/>
    </xf>
    <xf numFmtId="2" fontId="55" fillId="10" borderId="0" xfId="0" applyNumberFormat="1" applyFont="1" applyFill="1" applyAlignment="1">
      <alignment horizontal="center" vertical="top"/>
    </xf>
    <xf numFmtId="2" fontId="49" fillId="10" borderId="0" xfId="0" applyNumberFormat="1" applyFont="1" applyFill="1" applyAlignment="1">
      <alignment horizontal="center" vertical="top"/>
    </xf>
    <xf numFmtId="0" fontId="49" fillId="10" borderId="0" xfId="0" applyFont="1" applyFill="1" applyAlignment="1">
      <alignment horizontal="center"/>
    </xf>
    <xf numFmtId="2" fontId="50" fillId="10" borderId="0" xfId="0" applyNumberFormat="1" applyFont="1" applyFill="1" applyAlignment="1">
      <alignment horizontal="center" vertical="center"/>
    </xf>
    <xf numFmtId="0" fontId="47" fillId="10" borderId="0" xfId="0" applyFont="1" applyFill="1" applyAlignment="1">
      <alignment horizontal="center" vertical="center"/>
    </xf>
    <xf numFmtId="2" fontId="54" fillId="10" borderId="0" xfId="0" applyNumberFormat="1" applyFont="1" applyFill="1" applyAlignment="1">
      <alignment horizontal="center"/>
    </xf>
    <xf numFmtId="0" fontId="3" fillId="54" borderId="23" xfId="0" applyFont="1" applyFill="1" applyBorder="1" applyAlignment="1">
      <alignment horizontal="center" vertical="center"/>
    </xf>
    <xf numFmtId="0" fontId="3" fillId="54" borderId="52" xfId="0" applyFont="1" applyFill="1" applyBorder="1" applyAlignment="1">
      <alignment horizontal="center" vertical="center"/>
    </xf>
    <xf numFmtId="0" fontId="3" fillId="55" borderId="23" xfId="0" applyFont="1" applyFill="1" applyBorder="1" applyAlignment="1">
      <alignment horizontal="center" vertical="center" wrapText="1"/>
    </xf>
    <xf numFmtId="0" fontId="3" fillId="55" borderId="52" xfId="0" applyFont="1" applyFill="1" applyBorder="1" applyAlignment="1">
      <alignment horizontal="center" vertical="center" wrapText="1"/>
    </xf>
    <xf numFmtId="0" fontId="3" fillId="55" borderId="24" xfId="0" applyFont="1" applyFill="1" applyBorder="1" applyAlignment="1">
      <alignment horizontal="center" vertical="center" wrapText="1"/>
    </xf>
    <xf numFmtId="0" fontId="3" fillId="29" borderId="58" xfId="0" applyFont="1" applyFill="1" applyBorder="1" applyAlignment="1">
      <alignment horizontal="center" vertical="center" wrapText="1"/>
    </xf>
    <xf numFmtId="0" fontId="3" fillId="29" borderId="60" xfId="0" applyFont="1" applyFill="1" applyBorder="1" applyAlignment="1">
      <alignment horizontal="center" vertical="center" wrapText="1"/>
    </xf>
    <xf numFmtId="0" fontId="0" fillId="29" borderId="23" xfId="0" applyFill="1" applyBorder="1" applyAlignment="1">
      <alignment horizontal="center" vertical="center"/>
    </xf>
    <xf numFmtId="0" fontId="0" fillId="29" borderId="24" xfId="0" applyFill="1" applyBorder="1" applyAlignment="1">
      <alignment horizontal="center" vertical="center"/>
    </xf>
    <xf numFmtId="0" fontId="0" fillId="29" borderId="25" xfId="0" applyFill="1" applyBorder="1" applyAlignment="1">
      <alignment horizontal="center" vertical="center"/>
    </xf>
    <xf numFmtId="0" fontId="0" fillId="29" borderId="28" xfId="0" applyFill="1" applyBorder="1" applyAlignment="1">
      <alignment horizontal="center" vertical="center"/>
    </xf>
    <xf numFmtId="0" fontId="0" fillId="0" borderId="39" xfId="0" applyBorder="1" applyAlignment="1">
      <alignment horizontal="left"/>
    </xf>
    <xf numFmtId="0" fontId="0" fillId="0" borderId="40" xfId="0" applyBorder="1" applyAlignment="1">
      <alignment horizontal="left"/>
    </xf>
    <xf numFmtId="0" fontId="0" fillId="0" borderId="41" xfId="0" applyBorder="1" applyAlignment="1">
      <alignment horizontal="left"/>
    </xf>
    <xf numFmtId="0" fontId="0" fillId="0" borderId="67" xfId="0" applyBorder="1" applyAlignment="1">
      <alignment horizontal="left"/>
    </xf>
    <xf numFmtId="0" fontId="0" fillId="0" borderId="58" xfId="0" applyBorder="1" applyAlignment="1">
      <alignment horizontal="center" vertical="center" wrapText="1"/>
    </xf>
    <xf numFmtId="0" fontId="0" fillId="0" borderId="27" xfId="0" applyBorder="1" applyAlignment="1">
      <alignment horizontal="center" vertical="center" wrapText="1"/>
    </xf>
    <xf numFmtId="0" fontId="0" fillId="0" borderId="60" xfId="0" applyBorder="1" applyAlignment="1">
      <alignment horizontal="center" vertical="center" wrapText="1"/>
    </xf>
    <xf numFmtId="0" fontId="0" fillId="0" borderId="0" xfId="0" applyAlignment="1">
      <alignment horizontal="left" vertical="top" wrapText="1"/>
    </xf>
    <xf numFmtId="0" fontId="3" fillId="55" borderId="71" xfId="0" applyFont="1" applyFill="1" applyBorder="1" applyAlignment="1">
      <alignment horizontal="center" vertical="center"/>
    </xf>
    <xf numFmtId="0" fontId="3" fillId="55" borderId="72" xfId="0" applyFont="1" applyFill="1" applyBorder="1" applyAlignment="1">
      <alignment horizontal="center" vertical="center"/>
    </xf>
    <xf numFmtId="0" fontId="3" fillId="55" borderId="73" xfId="0" applyFont="1" applyFill="1" applyBorder="1" applyAlignment="1">
      <alignment horizontal="center" vertical="center"/>
    </xf>
    <xf numFmtId="0" fontId="3" fillId="54" borderId="23" xfId="0" applyFont="1" applyFill="1" applyBorder="1" applyAlignment="1">
      <alignment horizontal="center"/>
    </xf>
    <xf numFmtId="0" fontId="3" fillId="54" borderId="52" xfId="0" applyFont="1" applyFill="1" applyBorder="1" applyAlignment="1">
      <alignment horizontal="center"/>
    </xf>
    <xf numFmtId="0" fontId="3" fillId="54" borderId="23" xfId="0" applyFont="1" applyFill="1" applyBorder="1" applyAlignment="1">
      <alignment horizontal="center" wrapText="1"/>
    </xf>
    <xf numFmtId="0" fontId="0" fillId="0" borderId="0" xfId="0" applyAlignment="1">
      <alignment horizontal="left" wrapText="1"/>
    </xf>
    <xf numFmtId="0" fontId="0" fillId="32" borderId="0" xfId="0" applyFill="1" applyAlignment="1">
      <alignment horizontal="left" wrapText="1"/>
    </xf>
    <xf numFmtId="0" fontId="3" fillId="32" borderId="23" xfId="0" applyFont="1" applyFill="1" applyBorder="1" applyAlignment="1" applyProtection="1">
      <alignment horizontal="left" wrapText="1"/>
      <protection locked="0"/>
    </xf>
    <xf numFmtId="0" fontId="3" fillId="32" borderId="31" xfId="0" applyFont="1" applyFill="1" applyBorder="1" applyAlignment="1" applyProtection="1">
      <alignment horizontal="left" wrapText="1"/>
      <protection locked="0"/>
    </xf>
    <xf numFmtId="0" fontId="0" fillId="32" borderId="90" xfId="0" applyFill="1" applyBorder="1" applyAlignment="1" applyProtection="1">
      <alignment horizontal="center" vertical="center"/>
      <protection locked="0"/>
    </xf>
    <xf numFmtId="0" fontId="0" fillId="32" borderId="91" xfId="0" applyFill="1" applyBorder="1" applyAlignment="1" applyProtection="1">
      <alignment horizontal="center" vertical="center"/>
      <protection locked="0"/>
    </xf>
  </cellXfs>
  <cellStyles count="4">
    <cellStyle name="Bad" xfId="2" builtinId="27"/>
    <cellStyle name="Comma" xfId="1" builtinId="3"/>
    <cellStyle name="Hyperlink" xfId="3" builtinId="8"/>
    <cellStyle name="Normal" xfId="0" builtinId="0"/>
  </cellStyles>
  <dxfs count="131">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alignment vertical="top" textRotation="0" indent="0" justifyLastLine="0" shrinkToFit="0" readingOrder="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166" formatCode="0.000"/>
      <protection locked="0" hidden="0"/>
    </dxf>
    <dxf>
      <numFmt numFmtId="2" formatCode="0.00"/>
      <protection locked="0" hidden="0"/>
    </dxf>
    <dxf>
      <protection locked="0" hidden="0"/>
    </dxf>
    <dxf>
      <alignment horizontal="general" vertical="top" textRotation="0" wrapText="1" indent="0" justifyLastLine="0" shrinkToFit="0" readingOrder="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166" formatCode="0.000"/>
    </dxf>
    <dxf>
      <numFmt numFmtId="25" formatCode="hh:mm"/>
    </dxf>
    <dxf>
      <font>
        <b val="0"/>
        <i val="0"/>
        <strike val="0"/>
        <condense val="0"/>
        <extend val="0"/>
        <outline val="0"/>
        <shadow val="0"/>
        <u val="none"/>
        <vertAlign val="baseline"/>
        <sz val="11"/>
        <color theme="1"/>
        <name val="Calibri"/>
        <scheme val="minor"/>
      </font>
      <numFmt numFmtId="0" formatCode="General"/>
      <fill>
        <patternFill patternType="solid">
          <fgColor theme="0" tint="-0.14999847407452621"/>
          <bgColor theme="0" tint="-0.14999847407452621"/>
        </patternFill>
      </fill>
    </dxf>
    <dxf>
      <numFmt numFmtId="25" formatCode="hh:mm"/>
    </dxf>
    <dxf>
      <numFmt numFmtId="173" formatCode="h:mm"/>
    </dxf>
    <dxf>
      <numFmt numFmtId="25" formatCode="hh:mm"/>
    </dxf>
    <dxf>
      <numFmt numFmtId="173" formatCode="h:mm"/>
      <alignment horizontal="center" vertical="bottom" textRotation="0" wrapText="0" indent="0" justifyLastLine="0" shrinkToFit="0" readingOrder="0"/>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theme="7" tint="0.59996337778862885"/>
        </patternFill>
      </fill>
    </dxf>
    <dxf>
      <fill>
        <patternFill>
          <bgColor theme="7" tint="-0.24994659260841701"/>
        </patternFill>
      </fill>
    </dxf>
    <dxf>
      <fill>
        <patternFill>
          <bgColor theme="7" tint="-0.24994659260841701"/>
        </patternFill>
      </fill>
    </dxf>
    <dxf>
      <fill>
        <patternFill>
          <bgColor theme="4" tint="0.39994506668294322"/>
        </patternFill>
      </fill>
    </dxf>
    <dxf>
      <fill>
        <patternFill>
          <bgColor theme="0" tint="-0.24994659260841701"/>
        </patternFill>
      </fill>
    </dxf>
    <dxf>
      <fill>
        <patternFill>
          <bgColor theme="9" tint="0.39994506668294322"/>
        </patternFill>
      </fill>
    </dxf>
    <dxf>
      <fill>
        <patternFill>
          <bgColor theme="5" tint="-0.24994659260841701"/>
        </patternFill>
      </fill>
    </dxf>
    <dxf>
      <fill>
        <patternFill>
          <bgColor theme="5" tint="0.39994506668294322"/>
        </patternFill>
      </fill>
    </dxf>
    <dxf>
      <fill>
        <patternFill>
          <bgColor rgb="FFAA72D4"/>
        </patternFill>
      </fill>
    </dxf>
    <dxf>
      <fill>
        <patternFill>
          <bgColor rgb="FFAA72D4"/>
        </patternFill>
      </fill>
    </dxf>
    <dxf>
      <fill>
        <patternFill>
          <bgColor rgb="FFAA72D4"/>
        </patternFill>
      </fill>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general" vertical="top" textRotation="0" wrapText="1" indent="0" justifyLastLine="0" shrinkToFit="0" readingOrder="0"/>
    </dxf>
    <dxf>
      <fill>
        <patternFill>
          <fgColor indexed="64"/>
          <bgColor theme="5" tint="0.79998168889431442"/>
        </patternFill>
      </fill>
      <alignment horizontal="center" vertical="top"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numFmt numFmtId="30" formatCode="@"/>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numFmt numFmtId="2" formatCode="0.00"/>
      <alignment horizontal="right" vertical="top" textRotation="0" wrapText="1" indent="0" justifyLastLine="0" shrinkToFit="0" readingOrder="0"/>
    </dxf>
    <dxf>
      <numFmt numFmtId="2" formatCode="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numFmt numFmtId="166" formatCode="0.000"/>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right"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center"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1" indent="0" justifyLastLine="0" shrinkToFit="0" readingOrder="0"/>
    </dxf>
    <dxf>
      <alignment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colors>
    <mruColors>
      <color rgb="FFFF7F00"/>
      <color rgb="FF984EA3"/>
      <color rgb="FF999999"/>
      <color rgb="FF6C8EBF"/>
      <color rgb="FF5B9BD5"/>
      <color rgb="FFDA97FF"/>
      <color rgb="FFDC82DE"/>
      <color rgb="FF4DAF4A"/>
      <color rgb="FFE41A1C"/>
      <color rgb="FF3054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a:t>Relative Attribute Criticality</a:t>
            </a:r>
          </a:p>
        </c:rich>
      </c:tx>
      <c:layout>
        <c:manualLayout>
          <c:xMode val="edge"/>
          <c:yMode val="edge"/>
          <c:x val="0.23447619047619048"/>
          <c:y val="1.9240019240019241E-2"/>
        </c:manualLayout>
      </c:layout>
      <c:overlay val="0"/>
    </c:title>
    <c:autoTitleDeleted val="0"/>
    <c:plotArea>
      <c:layout>
        <c:manualLayout>
          <c:layoutTarget val="inner"/>
          <c:xMode val="edge"/>
          <c:yMode val="edge"/>
          <c:x val="0.15441882264716911"/>
          <c:y val="0.12867755062727251"/>
          <c:w val="0.81939070116235468"/>
          <c:h val="0.46582245401143041"/>
        </c:manualLayout>
      </c:layout>
      <c:barChart>
        <c:barDir val="col"/>
        <c:grouping val="clustered"/>
        <c:varyColors val="0"/>
        <c:ser>
          <c:idx val="0"/>
          <c:order val="0"/>
          <c:invertIfNegative val="0"/>
          <c:cat>
            <c:strRef>
              <c:f>'Output Data'!$N$21:$N$27</c:f>
              <c:strCache>
                <c:ptCount val="7"/>
                <c:pt idx="0">
                  <c:v>Mass</c:v>
                </c:pt>
                <c:pt idx="1">
                  <c:v>Volume</c:v>
                </c:pt>
                <c:pt idx="2">
                  <c:v>Power</c:v>
                </c:pt>
                <c:pt idx="3">
                  <c:v>Cooling</c:v>
                </c:pt>
                <c:pt idx="4">
                  <c:v>Maintenance</c:v>
                </c:pt>
                <c:pt idx="5">
                  <c:v>Reliability</c:v>
                </c:pt>
                <c:pt idx="6">
                  <c:v>TRL</c:v>
                </c:pt>
              </c:strCache>
            </c:strRef>
          </c:cat>
          <c:val>
            <c:numRef>
              <c:f>'Output Data'!$O$21:$O$27</c:f>
              <c:numCache>
                <c:formatCode>0.00</c:formatCode>
                <c:ptCount val="7"/>
              </c:numCache>
            </c:numRef>
          </c:val>
          <c:extLst>
            <c:ext xmlns:c16="http://schemas.microsoft.com/office/drawing/2014/chart" uri="{C3380CC4-5D6E-409C-BE32-E72D297353CC}">
              <c16:uniqueId val="{00000000-9EF7-4350-A757-CC659F39A071}"/>
            </c:ext>
          </c:extLst>
        </c:ser>
        <c:dLbls>
          <c:showLegendKey val="0"/>
          <c:showVal val="0"/>
          <c:showCatName val="0"/>
          <c:showSerName val="0"/>
          <c:showPercent val="0"/>
          <c:showBubbleSize val="0"/>
        </c:dLbls>
        <c:gapWidth val="150"/>
        <c:axId val="396036912"/>
        <c:axId val="396029040"/>
      </c:barChart>
      <c:catAx>
        <c:axId val="396036912"/>
        <c:scaling>
          <c:orientation val="minMax"/>
        </c:scaling>
        <c:delete val="0"/>
        <c:axPos val="b"/>
        <c:title>
          <c:tx>
            <c:rich>
              <a:bodyPr/>
              <a:lstStyle/>
              <a:p>
                <a:pPr>
                  <a:defRPr/>
                </a:pPr>
                <a:r>
                  <a:rPr lang="en-GB"/>
                  <a:t>Attribute</a:t>
                </a:r>
              </a:p>
            </c:rich>
          </c:tx>
          <c:overlay val="0"/>
        </c:title>
        <c:numFmt formatCode="General" sourceLinked="1"/>
        <c:majorTickMark val="out"/>
        <c:minorTickMark val="none"/>
        <c:tickLblPos val="nextTo"/>
        <c:crossAx val="396029040"/>
        <c:crosses val="autoZero"/>
        <c:auto val="1"/>
        <c:lblAlgn val="ctr"/>
        <c:lblOffset val="100"/>
        <c:noMultiLvlLbl val="0"/>
      </c:catAx>
      <c:valAx>
        <c:axId val="396029040"/>
        <c:scaling>
          <c:orientation val="minMax"/>
        </c:scaling>
        <c:delete val="0"/>
        <c:axPos val="l"/>
        <c:majorGridlines/>
        <c:title>
          <c:tx>
            <c:rich>
              <a:bodyPr/>
              <a:lstStyle/>
              <a:p>
                <a:pPr>
                  <a:defRPr/>
                </a:pPr>
                <a:r>
                  <a:rPr lang="en-GB"/>
                  <a:t>Relative Change /</a:t>
                </a:r>
                <a:r>
                  <a:rPr lang="en-GB" baseline="0"/>
                  <a:t> </a:t>
                </a:r>
                <a:r>
                  <a:rPr lang="en-GB"/>
                  <a:t>%</a:t>
                </a:r>
              </a:p>
            </c:rich>
          </c:tx>
          <c:overlay val="0"/>
        </c:title>
        <c:numFmt formatCode="0.00" sourceLinked="1"/>
        <c:majorTickMark val="out"/>
        <c:minorTickMark val="none"/>
        <c:tickLblPos val="nextTo"/>
        <c:crossAx val="396036912"/>
        <c:crosses val="autoZero"/>
        <c:crossBetween val="between"/>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ESM System Masses</a:t>
            </a:r>
          </a:p>
        </c:rich>
      </c:tx>
      <c:overlay val="0"/>
    </c:title>
    <c:autoTitleDeleted val="0"/>
    <c:plotArea>
      <c:layout/>
      <c:scatterChart>
        <c:scatterStyle val="smoothMarker"/>
        <c:varyColors val="0"/>
        <c:dLbls>
          <c:showLegendKey val="0"/>
          <c:showVal val="0"/>
          <c:showCatName val="0"/>
          <c:showSerName val="0"/>
          <c:showPercent val="0"/>
          <c:showBubbleSize val="0"/>
        </c:dLbls>
        <c:axId val="584813424"/>
        <c:axId val="584814080"/>
      </c:scatterChart>
      <c:valAx>
        <c:axId val="584813424"/>
        <c:scaling>
          <c:orientation val="minMax"/>
          <c:max val="600"/>
          <c:min val="0"/>
        </c:scaling>
        <c:delete val="0"/>
        <c:axPos val="b"/>
        <c:title>
          <c:tx>
            <c:rich>
              <a:bodyPr/>
              <a:lstStyle/>
              <a:p>
                <a:pPr>
                  <a:defRPr/>
                </a:pPr>
                <a:r>
                  <a:rPr lang="en-US"/>
                  <a:t>Mission Duration [d]</a:t>
                </a:r>
              </a:p>
            </c:rich>
          </c:tx>
          <c:overlay val="0"/>
        </c:title>
        <c:numFmt formatCode="General" sourceLinked="1"/>
        <c:majorTickMark val="out"/>
        <c:minorTickMark val="none"/>
        <c:tickLblPos val="nextTo"/>
        <c:crossAx val="584814080"/>
        <c:crosses val="autoZero"/>
        <c:crossBetween val="midCat"/>
      </c:valAx>
      <c:valAx>
        <c:axId val="584814080"/>
        <c:scaling>
          <c:orientation val="minMax"/>
          <c:max val="1371625.0160370292"/>
          <c:min val="0"/>
        </c:scaling>
        <c:delete val="0"/>
        <c:axPos val="l"/>
        <c:majorGridlines/>
        <c:title>
          <c:tx>
            <c:rich>
              <a:bodyPr/>
              <a:lstStyle/>
              <a:p>
                <a:pPr>
                  <a:defRPr/>
                </a:pPr>
                <a:r>
                  <a:rPr lang="en-US"/>
                  <a:t>ESM mass / kg</a:t>
                </a:r>
              </a:p>
            </c:rich>
          </c:tx>
          <c:overlay val="0"/>
        </c:title>
        <c:numFmt formatCode="General" sourceLinked="1"/>
        <c:majorTickMark val="out"/>
        <c:minorTickMark val="none"/>
        <c:tickLblPos val="nextTo"/>
        <c:crossAx val="584813424"/>
        <c:crosses val="autoZero"/>
        <c:crossBetween val="midCat"/>
      </c:valAx>
      <c:spPr>
        <a:ln>
          <a:solidFill>
            <a:srgbClr val="008080"/>
          </a:solidFill>
          <a:prstDash val="solid"/>
        </a:ln>
      </c:spPr>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ECLSS ESM Composition</a:t>
            </a:r>
          </a:p>
        </c:rich>
      </c:tx>
      <c:overlay val="0"/>
    </c:title>
    <c:autoTitleDeleted val="0"/>
    <c:plotArea>
      <c:layout/>
      <c:barChart>
        <c:barDir val="col"/>
        <c:grouping val="stacked"/>
        <c:varyColors val="0"/>
        <c:dLbls>
          <c:showLegendKey val="0"/>
          <c:showVal val="0"/>
          <c:showCatName val="0"/>
          <c:showSerName val="0"/>
          <c:showPercent val="0"/>
          <c:showBubbleSize val="0"/>
        </c:dLbls>
        <c:gapWidth val="100"/>
        <c:overlap val="100"/>
        <c:axId val="609694984"/>
        <c:axId val="609694656"/>
      </c:barChart>
      <c:catAx>
        <c:axId val="609694984"/>
        <c:scaling>
          <c:orientation val="minMax"/>
        </c:scaling>
        <c:delete val="0"/>
        <c:axPos val="b"/>
        <c:numFmt formatCode="General" sourceLinked="1"/>
        <c:majorTickMark val="out"/>
        <c:minorTickMark val="none"/>
        <c:tickLblPos val="nextTo"/>
        <c:crossAx val="609694656"/>
        <c:crosses val="autoZero"/>
        <c:auto val="1"/>
        <c:lblAlgn val="ctr"/>
        <c:lblOffset val="100"/>
        <c:tickMarkSkip val="1"/>
        <c:noMultiLvlLbl val="0"/>
      </c:catAx>
      <c:valAx>
        <c:axId val="609694656"/>
        <c:scaling>
          <c:orientation val="minMax"/>
        </c:scaling>
        <c:delete val="0"/>
        <c:axPos val="l"/>
        <c:majorGridlines/>
        <c:title>
          <c:tx>
            <c:rich>
              <a:bodyPr/>
              <a:lstStyle/>
              <a:p>
                <a:pPr>
                  <a:defRPr/>
                </a:pPr>
                <a:r>
                  <a:rPr lang="en-US"/>
                  <a:t>ESM / kg</a:t>
                </a:r>
              </a:p>
            </c:rich>
          </c:tx>
          <c:overlay val="0"/>
        </c:title>
        <c:numFmt formatCode="General" sourceLinked="1"/>
        <c:majorTickMark val="out"/>
        <c:minorTickMark val="none"/>
        <c:tickLblPos val="nextTo"/>
        <c:crossAx val="6096949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Data'!$W$7:$W$58</c:f>
              <c:numCache>
                <c:formatCode>0.0000</c:formatCode>
                <c:ptCount val="52"/>
                <c:pt idx="0">
                  <c:v>0.4</c:v>
                </c:pt>
                <c:pt idx="1">
                  <c:v>0.38116405521594965</c:v>
                </c:pt>
                <c:pt idx="2">
                  <c:v>0.3623285292044981</c:v>
                </c:pt>
                <c:pt idx="3">
                  <c:v>0.34349342196564525</c:v>
                </c:pt>
                <c:pt idx="4">
                  <c:v>0.32465873349939117</c:v>
                </c:pt>
                <c:pt idx="5">
                  <c:v>0.30582446380573591</c:v>
                </c:pt>
                <c:pt idx="6">
                  <c:v>0.28699061288467936</c:v>
                </c:pt>
                <c:pt idx="7">
                  <c:v>0.26815718073622158</c:v>
                </c:pt>
                <c:pt idx="8">
                  <c:v>0.24932416736036261</c:v>
                </c:pt>
                <c:pt idx="9">
                  <c:v>0.23049157275710239</c:v>
                </c:pt>
                <c:pt idx="10">
                  <c:v>0.21165939692644092</c:v>
                </c:pt>
                <c:pt idx="11">
                  <c:v>0.20690991293915842</c:v>
                </c:pt>
                <c:pt idx="12">
                  <c:v>0.20216045508450745</c:v>
                </c:pt>
                <c:pt idx="13">
                  <c:v>0.19741102336248803</c:v>
                </c:pt>
                <c:pt idx="14">
                  <c:v>0.1926616177731002</c:v>
                </c:pt>
                <c:pt idx="15">
                  <c:v>0.18791223831634399</c:v>
                </c:pt>
                <c:pt idx="16">
                  <c:v>0.1831628849922193</c:v>
                </c:pt>
                <c:pt idx="17">
                  <c:v>0.17841355780072621</c:v>
                </c:pt>
                <c:pt idx="18">
                  <c:v>0.17366425674186473</c:v>
                </c:pt>
                <c:pt idx="19">
                  <c:v>0.16891498181563475</c:v>
                </c:pt>
                <c:pt idx="20">
                  <c:v>0.39080688675149217</c:v>
                </c:pt>
                <c:pt idx="21">
                  <c:v>0.38606861394931252</c:v>
                </c:pt>
                <c:pt idx="22">
                  <c:v>0.3813300742106262</c:v>
                </c:pt>
                <c:pt idx="23">
                  <c:v>0.37657964876014688</c:v>
                </c:pt>
                <c:pt idx="24">
                  <c:v>0.37182924944229917</c:v>
                </c:pt>
                <c:pt idx="25">
                  <c:v>0.36707887625708302</c:v>
                </c:pt>
                <c:pt idx="26">
                  <c:v>0.36232852920449848</c:v>
                </c:pt>
                <c:pt idx="27">
                  <c:v>0.35757820828454551</c:v>
                </c:pt>
                <c:pt idx="28">
                  <c:v>0.35282791349722403</c:v>
                </c:pt>
                <c:pt idx="29">
                  <c:v>0.34807764484253417</c:v>
                </c:pt>
                <c:pt idx="30">
                  <c:v>0.57000522409776055</c:v>
                </c:pt>
                <c:pt idx="31">
                  <c:v>0.5652714848920577</c:v>
                </c:pt>
                <c:pt idx="32">
                  <c:v>0.56053747874984816</c:v>
                </c:pt>
                <c:pt idx="33">
                  <c:v>0.55578605957090899</c:v>
                </c:pt>
                <c:pt idx="34">
                  <c:v>0.55103466652460142</c:v>
                </c:pt>
                <c:pt idx="35">
                  <c:v>0.54628329961092537</c:v>
                </c:pt>
                <c:pt idx="36">
                  <c:v>0.54153195882988081</c:v>
                </c:pt>
                <c:pt idx="37">
                  <c:v>0.53678064418146787</c:v>
                </c:pt>
                <c:pt idx="38">
                  <c:v>0.53202935566568665</c:v>
                </c:pt>
                <c:pt idx="39">
                  <c:v>0.52727809328253683</c:v>
                </c:pt>
                <c:pt idx="40">
                  <c:v>0.52252685703201862</c:v>
                </c:pt>
                <c:pt idx="41">
                  <c:v>0.51777564691413192</c:v>
                </c:pt>
                <c:pt idx="42">
                  <c:v>0.51302446292887705</c:v>
                </c:pt>
                <c:pt idx="43">
                  <c:v>0.49418600550923403</c:v>
                </c:pt>
                <c:pt idx="44">
                  <c:v>0.47534796686218989</c:v>
                </c:pt>
                <c:pt idx="45">
                  <c:v>0.45651034698774451</c:v>
                </c:pt>
                <c:pt idx="46">
                  <c:v>0.43767314588589784</c:v>
                </c:pt>
                <c:pt idx="47">
                  <c:v>0.41883636355664999</c:v>
                </c:pt>
                <c:pt idx="48">
                  <c:v>0.55070081282766148</c:v>
                </c:pt>
                <c:pt idx="49">
                  <c:v>0.51302319041248823</c:v>
                </c:pt>
                <c:pt idx="50">
                  <c:v>0.47534718080282057</c:v>
                </c:pt>
                <c:pt idx="51">
                  <c:v>0.43767278399865817</c:v>
                </c:pt>
              </c:numCache>
            </c:numRef>
          </c:yVal>
          <c:smooth val="1"/>
          <c:extLst>
            <c:ext xmlns:c16="http://schemas.microsoft.com/office/drawing/2014/chart" uri="{C3380CC4-5D6E-409C-BE32-E72D297353CC}">
              <c16:uniqueId val="{00000000-29A3-4076-990B-EB028DD26FDD}"/>
            </c:ext>
          </c:extLst>
        </c:ser>
        <c:dLbls>
          <c:showLegendKey val="0"/>
          <c:showVal val="0"/>
          <c:showCatName val="0"/>
          <c:showSerName val="0"/>
          <c:showPercent val="0"/>
          <c:showBubbleSize val="0"/>
        </c:dLbls>
        <c:axId val="586458544"/>
        <c:axId val="584815064"/>
      </c:scatterChart>
      <c:valAx>
        <c:axId val="586458544"/>
        <c:scaling>
          <c:orientation val="minMax"/>
          <c:max val="1"/>
        </c:scaling>
        <c:delete val="0"/>
        <c:axPos val="b"/>
        <c:title>
          <c:tx>
            <c:rich>
              <a:bodyPr/>
              <a:lstStyle/>
              <a:p>
                <a:pPr>
                  <a:defRPr/>
                </a:pPr>
                <a:r>
                  <a:rPr lang="en-US"/>
                  <a:t>Time [h]</a:t>
                </a:r>
              </a:p>
            </c:rich>
          </c:tx>
          <c:overlay val="0"/>
        </c:title>
        <c:numFmt formatCode="h:mm;@" sourceLinked="0"/>
        <c:majorTickMark val="out"/>
        <c:minorTickMark val="none"/>
        <c:tickLblPos val="nextTo"/>
        <c:spPr>
          <a:ln>
            <a:noFill/>
          </a:ln>
        </c:spPr>
        <c:crossAx val="584815064"/>
        <c:crosses val="autoZero"/>
        <c:crossBetween val="midCat"/>
        <c:majorUnit val="0.125"/>
        <c:minorUnit val="2.5000000000000005E-2"/>
      </c:valAx>
      <c:valAx>
        <c:axId val="584815064"/>
        <c:scaling>
          <c:orientation val="minMax"/>
          <c:min val="0"/>
        </c:scaling>
        <c:delete val="0"/>
        <c:axPos val="l"/>
        <c:majorGridlines/>
        <c:title>
          <c:tx>
            <c:rich>
              <a:bodyPr/>
              <a:lstStyle/>
              <a:p>
                <a:pPr>
                  <a:defRPr/>
                </a:pPr>
                <a:r>
                  <a:rPr lang="en-US"/>
                  <a:t>CO2 Partial Pressure /</a:t>
                </a:r>
                <a:r>
                  <a:rPr lang="en-US" baseline="0"/>
                  <a:t> </a:t>
                </a:r>
                <a:r>
                  <a:rPr lang="en-US"/>
                  <a:t>kPa</a:t>
                </a:r>
              </a:p>
            </c:rich>
          </c:tx>
          <c:overlay val="0"/>
        </c:title>
        <c:numFmt formatCode="0.00" sourceLinked="0"/>
        <c:majorTickMark val="out"/>
        <c:minorTickMark val="none"/>
        <c:tickLblPos val="nextTo"/>
        <c:spPr>
          <a:ln>
            <a:noFill/>
          </a:ln>
        </c:spPr>
        <c:crossAx val="586458544"/>
        <c:crosses val="autoZero"/>
        <c:crossBetween val="midCat"/>
      </c:valAx>
      <c:spPr>
        <a:noFill/>
        <a:ln w="25400">
          <a:noFill/>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CO2 Production</a:t>
            </a:r>
          </a:p>
        </c:rich>
      </c:tx>
      <c:overlay val="0"/>
    </c:title>
    <c:autoTitleDeleted val="0"/>
    <c:plotArea>
      <c:layout/>
      <c:scatterChart>
        <c:scatterStyle val="smoothMarker"/>
        <c:varyColors val="0"/>
        <c:ser>
          <c:idx val="0"/>
          <c:order val="0"/>
          <c:tx>
            <c:v>CO2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Data'!$V$7:$V$58</c:f>
              <c:numCache>
                <c:formatCode>0.0000</c:formatCode>
                <c:ptCount val="52"/>
                <c:pt idx="0">
                  <c:v>0.10920000000000001</c:v>
                </c:pt>
                <c:pt idx="1">
                  <c:v>0.10920000000000001</c:v>
                </c:pt>
                <c:pt idx="2">
                  <c:v>0.10920000000000001</c:v>
                </c:pt>
                <c:pt idx="3">
                  <c:v>0.10920000000000001</c:v>
                </c:pt>
                <c:pt idx="4">
                  <c:v>0.10920000000000001</c:v>
                </c:pt>
                <c:pt idx="5">
                  <c:v>0.10920000000000001</c:v>
                </c:pt>
                <c:pt idx="6">
                  <c:v>0.10920000000000001</c:v>
                </c:pt>
                <c:pt idx="7">
                  <c:v>0.10920000000000001</c:v>
                </c:pt>
                <c:pt idx="8">
                  <c:v>0.10920000000000001</c:v>
                </c:pt>
                <c:pt idx="9">
                  <c:v>0.10920000000000001</c:v>
                </c:pt>
                <c:pt idx="10">
                  <c:v>0.17279999999999998</c:v>
                </c:pt>
                <c:pt idx="11">
                  <c:v>0.17279999999999998</c:v>
                </c:pt>
                <c:pt idx="12">
                  <c:v>0.17279999999999998</c:v>
                </c:pt>
                <c:pt idx="13">
                  <c:v>0.17279999999999998</c:v>
                </c:pt>
                <c:pt idx="14">
                  <c:v>0.17279999999999998</c:v>
                </c:pt>
                <c:pt idx="15">
                  <c:v>0.17279999999999998</c:v>
                </c:pt>
                <c:pt idx="16">
                  <c:v>0.17279999999999998</c:v>
                </c:pt>
                <c:pt idx="17">
                  <c:v>0.17279999999999998</c:v>
                </c:pt>
                <c:pt idx="18">
                  <c:v>0.17279999999999998</c:v>
                </c:pt>
                <c:pt idx="19">
                  <c:v>1.1963999999999999</c:v>
                </c:pt>
                <c:pt idx="20">
                  <c:v>0.17279999999999998</c:v>
                </c:pt>
                <c:pt idx="21">
                  <c:v>0.17279999999999998</c:v>
                </c:pt>
                <c:pt idx="22">
                  <c:v>0.17279999999999998</c:v>
                </c:pt>
                <c:pt idx="23">
                  <c:v>0.17279999999999998</c:v>
                </c:pt>
                <c:pt idx="24">
                  <c:v>0.17279999999999998</c:v>
                </c:pt>
                <c:pt idx="25">
                  <c:v>0.17279999999999998</c:v>
                </c:pt>
                <c:pt idx="26">
                  <c:v>0.17279999999999998</c:v>
                </c:pt>
                <c:pt idx="27">
                  <c:v>0.17279999999999998</c:v>
                </c:pt>
                <c:pt idx="28">
                  <c:v>0.17279999999999998</c:v>
                </c:pt>
                <c:pt idx="29">
                  <c:v>1.1963999999999999</c:v>
                </c:pt>
                <c:pt idx="30">
                  <c:v>0.17279999999999998</c:v>
                </c:pt>
                <c:pt idx="31">
                  <c:v>0.17279999999999998</c:v>
                </c:pt>
                <c:pt idx="32">
                  <c:v>0.17279999999999998</c:v>
                </c:pt>
                <c:pt idx="33">
                  <c:v>0.17279999999999998</c:v>
                </c:pt>
                <c:pt idx="34">
                  <c:v>0.17279999999999998</c:v>
                </c:pt>
                <c:pt idx="35">
                  <c:v>0.17279999999999998</c:v>
                </c:pt>
                <c:pt idx="36">
                  <c:v>0.17279999999999998</c:v>
                </c:pt>
                <c:pt idx="37">
                  <c:v>0.17279999999999998</c:v>
                </c:pt>
                <c:pt idx="38">
                  <c:v>0.17279999999999998</c:v>
                </c:pt>
                <c:pt idx="39">
                  <c:v>0.17279999999999998</c:v>
                </c:pt>
                <c:pt idx="40">
                  <c:v>0.17279999999999998</c:v>
                </c:pt>
                <c:pt idx="41">
                  <c:v>0.17279999999999998</c:v>
                </c:pt>
                <c:pt idx="42">
                  <c:v>0.10920000000000001</c:v>
                </c:pt>
                <c:pt idx="43">
                  <c:v>0.10920000000000001</c:v>
                </c:pt>
                <c:pt idx="44">
                  <c:v>0.10920000000000001</c:v>
                </c:pt>
                <c:pt idx="45">
                  <c:v>0.10920000000000001</c:v>
                </c:pt>
                <c:pt idx="46">
                  <c:v>0.10920000000000001</c:v>
                </c:pt>
                <c:pt idx="47">
                  <c:v>0.10920000000000001</c:v>
                </c:pt>
                <c:pt idx="48">
                  <c:v>0.21840000000000001</c:v>
                </c:pt>
                <c:pt idx="49">
                  <c:v>0.21840000000000001</c:v>
                </c:pt>
                <c:pt idx="50">
                  <c:v>0.21840000000000001</c:v>
                </c:pt>
                <c:pt idx="51">
                  <c:v>0.21840000000000001</c:v>
                </c:pt>
              </c:numCache>
            </c:numRef>
          </c:yVal>
          <c:smooth val="1"/>
          <c:extLst>
            <c:ext xmlns:c16="http://schemas.microsoft.com/office/drawing/2014/chart" uri="{C3380CC4-5D6E-409C-BE32-E72D297353CC}">
              <c16:uniqueId val="{00000000-8BB7-467E-9E2E-9A6C96E17F28}"/>
            </c:ext>
          </c:extLst>
        </c:ser>
        <c:dLbls>
          <c:showLegendKey val="0"/>
          <c:showVal val="0"/>
          <c:showCatName val="0"/>
          <c:showSerName val="0"/>
          <c:showPercent val="0"/>
          <c:showBubbleSize val="0"/>
        </c:dLbls>
        <c:axId val="556722976"/>
        <c:axId val="556723304"/>
      </c:scatterChart>
      <c:valAx>
        <c:axId val="5567229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6723304"/>
        <c:crosses val="autoZero"/>
        <c:crossBetween val="midCat"/>
        <c:majorUnit val="0.125"/>
      </c:valAx>
      <c:valAx>
        <c:axId val="556723304"/>
        <c:scaling>
          <c:orientation val="minMax"/>
          <c:min val="0"/>
        </c:scaling>
        <c:delete val="0"/>
        <c:axPos val="l"/>
        <c:majorGridlines/>
        <c:title>
          <c:tx>
            <c:rich>
              <a:bodyPr/>
              <a:lstStyle/>
              <a:p>
                <a:pPr>
                  <a:defRPr/>
                </a:pPr>
                <a:r>
                  <a:rPr lang="en-US"/>
                  <a:t>CO2 /</a:t>
                </a:r>
                <a:r>
                  <a:rPr lang="en-US" baseline="0"/>
                  <a:t> </a:t>
                </a:r>
                <a:r>
                  <a:rPr lang="en-US"/>
                  <a:t>kg/h</a:t>
                </a:r>
              </a:p>
            </c:rich>
          </c:tx>
          <c:overlay val="0"/>
        </c:title>
        <c:numFmt formatCode="0.00" sourceLinked="0"/>
        <c:majorTickMark val="out"/>
        <c:minorTickMark val="none"/>
        <c:tickLblPos val="nextTo"/>
        <c:crossAx val="556722976"/>
        <c:crosses val="autoZero"/>
        <c:crossBetween val="midCat"/>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O2 Consumption</a:t>
            </a:r>
          </a:p>
        </c:rich>
      </c:tx>
      <c:overlay val="0"/>
    </c:title>
    <c:autoTitleDeleted val="0"/>
    <c:plotArea>
      <c:layout/>
      <c:scatterChart>
        <c:scatterStyle val="smoothMarker"/>
        <c:varyColors val="0"/>
        <c:ser>
          <c:idx val="0"/>
          <c:order val="0"/>
          <c:tx>
            <c:v>O2 Consumption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Data'!$X$7:$X$58</c:f>
              <c:numCache>
                <c:formatCode>0.0000</c:formatCode>
                <c:ptCount val="52"/>
                <c:pt idx="0">
                  <c:v>8.6399999999999991E-2</c:v>
                </c:pt>
                <c:pt idx="1">
                  <c:v>8.6399999999999991E-2</c:v>
                </c:pt>
                <c:pt idx="2">
                  <c:v>8.6399999999999991E-2</c:v>
                </c:pt>
                <c:pt idx="3">
                  <c:v>8.6399999999999991E-2</c:v>
                </c:pt>
                <c:pt idx="4">
                  <c:v>8.6399999999999991E-2</c:v>
                </c:pt>
                <c:pt idx="5">
                  <c:v>8.6399999999999991E-2</c:v>
                </c:pt>
                <c:pt idx="6">
                  <c:v>8.6399999999999991E-2</c:v>
                </c:pt>
                <c:pt idx="7">
                  <c:v>8.6399999999999991E-2</c:v>
                </c:pt>
                <c:pt idx="8">
                  <c:v>8.6399999999999991E-2</c:v>
                </c:pt>
                <c:pt idx="9">
                  <c:v>8.6399999999999991E-2</c:v>
                </c:pt>
                <c:pt idx="10">
                  <c:v>0.13631999999999997</c:v>
                </c:pt>
                <c:pt idx="11">
                  <c:v>0.13631999999999997</c:v>
                </c:pt>
                <c:pt idx="12">
                  <c:v>0.13631999999999997</c:v>
                </c:pt>
                <c:pt idx="13">
                  <c:v>0.13631999999999997</c:v>
                </c:pt>
                <c:pt idx="14">
                  <c:v>0.13631999999999997</c:v>
                </c:pt>
                <c:pt idx="15">
                  <c:v>0.13631999999999997</c:v>
                </c:pt>
                <c:pt idx="16">
                  <c:v>0.13631999999999997</c:v>
                </c:pt>
                <c:pt idx="17">
                  <c:v>0.13631999999999997</c:v>
                </c:pt>
                <c:pt idx="18">
                  <c:v>0.13631999999999997</c:v>
                </c:pt>
                <c:pt idx="19">
                  <c:v>0.94560000000000011</c:v>
                </c:pt>
                <c:pt idx="20">
                  <c:v>0.13631999999999997</c:v>
                </c:pt>
                <c:pt idx="21">
                  <c:v>0.13631999999999997</c:v>
                </c:pt>
                <c:pt idx="22">
                  <c:v>0.13631999999999997</c:v>
                </c:pt>
                <c:pt idx="23">
                  <c:v>0.13631999999999997</c:v>
                </c:pt>
                <c:pt idx="24">
                  <c:v>0.13631999999999997</c:v>
                </c:pt>
                <c:pt idx="25">
                  <c:v>0.13631999999999997</c:v>
                </c:pt>
                <c:pt idx="26">
                  <c:v>0.13631999999999997</c:v>
                </c:pt>
                <c:pt idx="27">
                  <c:v>0.13631999999999997</c:v>
                </c:pt>
                <c:pt idx="28">
                  <c:v>0.13631999999999997</c:v>
                </c:pt>
                <c:pt idx="29">
                  <c:v>0.94560000000000011</c:v>
                </c:pt>
                <c:pt idx="30">
                  <c:v>0.13631999999999997</c:v>
                </c:pt>
                <c:pt idx="31">
                  <c:v>0.13631999999999997</c:v>
                </c:pt>
                <c:pt idx="32">
                  <c:v>0.13631999999999997</c:v>
                </c:pt>
                <c:pt idx="33">
                  <c:v>0.13631999999999997</c:v>
                </c:pt>
                <c:pt idx="34">
                  <c:v>0.13631999999999997</c:v>
                </c:pt>
                <c:pt idx="35">
                  <c:v>0.13631999999999997</c:v>
                </c:pt>
                <c:pt idx="36">
                  <c:v>0.13631999999999997</c:v>
                </c:pt>
                <c:pt idx="37">
                  <c:v>0.13631999999999997</c:v>
                </c:pt>
                <c:pt idx="38">
                  <c:v>0.13631999999999997</c:v>
                </c:pt>
                <c:pt idx="39">
                  <c:v>0.13631999999999997</c:v>
                </c:pt>
                <c:pt idx="40">
                  <c:v>0.13631999999999997</c:v>
                </c:pt>
                <c:pt idx="41">
                  <c:v>0.13631999999999997</c:v>
                </c:pt>
                <c:pt idx="42">
                  <c:v>8.6399999999999991E-2</c:v>
                </c:pt>
                <c:pt idx="43">
                  <c:v>8.6399999999999991E-2</c:v>
                </c:pt>
                <c:pt idx="44">
                  <c:v>8.6399999999999991E-2</c:v>
                </c:pt>
                <c:pt idx="45">
                  <c:v>8.6399999999999991E-2</c:v>
                </c:pt>
                <c:pt idx="46">
                  <c:v>8.6399999999999991E-2</c:v>
                </c:pt>
                <c:pt idx="47">
                  <c:v>8.6399999999999991E-2</c:v>
                </c:pt>
                <c:pt idx="48">
                  <c:v>0.17280000000000001</c:v>
                </c:pt>
                <c:pt idx="49">
                  <c:v>0.17280000000000001</c:v>
                </c:pt>
                <c:pt idx="50">
                  <c:v>0.17280000000000001</c:v>
                </c:pt>
                <c:pt idx="51">
                  <c:v>0.17280000000000001</c:v>
                </c:pt>
              </c:numCache>
            </c:numRef>
          </c:yVal>
          <c:smooth val="1"/>
          <c:extLst>
            <c:ext xmlns:c16="http://schemas.microsoft.com/office/drawing/2014/chart" uri="{C3380CC4-5D6E-409C-BE32-E72D297353CC}">
              <c16:uniqueId val="{00000000-16B7-4047-95C3-DBE7EDF7D093}"/>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min val="0"/>
        </c:scaling>
        <c:delete val="0"/>
        <c:axPos val="l"/>
        <c:majorGridlines/>
        <c:title>
          <c:tx>
            <c:rich>
              <a:bodyPr/>
              <a:lstStyle/>
              <a:p>
                <a:pPr>
                  <a:defRPr/>
                </a:pPr>
                <a:r>
                  <a:rPr lang="en-US"/>
                  <a:t>O2 Need / kg/h</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O2 Partial Pressure</a:t>
            </a:r>
          </a:p>
        </c:rich>
      </c:tx>
      <c:overlay val="0"/>
    </c:title>
    <c:autoTitleDeleted val="0"/>
    <c:plotArea>
      <c:layout/>
      <c:scatterChart>
        <c:scatterStyle val="smoothMarker"/>
        <c:varyColors val="0"/>
        <c:ser>
          <c:idx val="0"/>
          <c:order val="0"/>
          <c:tx>
            <c:v>Partial CO2 Pressure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Data'!$Y$7:$Y$162</c:f>
              <c:numCache>
                <c:formatCode>0.0000</c:formatCode>
                <c:ptCount val="156"/>
                <c:pt idx="0">
                  <c:v>21</c:v>
                </c:pt>
                <c:pt idx="1">
                  <c:v>20.979363314620254</c:v>
                </c:pt>
                <c:pt idx="2">
                  <c:v>20.958727082964227</c:v>
                </c:pt>
                <c:pt idx="3">
                  <c:v>20.938091305031918</c:v>
                </c:pt>
                <c:pt idx="4">
                  <c:v>20.91745598082333</c:v>
                </c:pt>
                <c:pt idx="5">
                  <c:v>20.896821110338461</c:v>
                </c:pt>
                <c:pt idx="6">
                  <c:v>20.876186693577313</c:v>
                </c:pt>
                <c:pt idx="7">
                  <c:v>20.855552730539888</c:v>
                </c:pt>
                <c:pt idx="8">
                  <c:v>20.83491922122618</c:v>
                </c:pt>
                <c:pt idx="9">
                  <c:v>20.81428616563619</c:v>
                </c:pt>
                <c:pt idx="10">
                  <c:v>20.793653563769922</c:v>
                </c:pt>
                <c:pt idx="11">
                  <c:v>20.788395595370666</c:v>
                </c:pt>
                <c:pt idx="12">
                  <c:v>20.783137655590536</c:v>
                </c:pt>
                <c:pt idx="13">
                  <c:v>20.777879744429537</c:v>
                </c:pt>
                <c:pt idx="14">
                  <c:v>20.772621861887671</c:v>
                </c:pt>
                <c:pt idx="15">
                  <c:v>20.76736400796494</c:v>
                </c:pt>
                <c:pt idx="16">
                  <c:v>20.762106182661338</c:v>
                </c:pt>
                <c:pt idx="17">
                  <c:v>20.756848385976866</c:v>
                </c:pt>
                <c:pt idx="18">
                  <c:v>20.751590617911532</c:v>
                </c:pt>
                <c:pt idx="19">
                  <c:v>20.746332878465328</c:v>
                </c:pt>
                <c:pt idx="20">
                  <c:v>20.988985730891287</c:v>
                </c:pt>
                <c:pt idx="21">
                  <c:v>20.984374456433077</c:v>
                </c:pt>
                <c:pt idx="22">
                  <c:v>20.979762889639552</c:v>
                </c:pt>
                <c:pt idx="23">
                  <c:v>20.974503895042027</c:v>
                </c:pt>
                <c:pt idx="24">
                  <c:v>20.969244929063635</c:v>
                </c:pt>
                <c:pt idx="25">
                  <c:v>20.963985991704373</c:v>
                </c:pt>
                <c:pt idx="26">
                  <c:v>20.958727082964248</c:v>
                </c:pt>
                <c:pt idx="27">
                  <c:v>20.953468202843251</c:v>
                </c:pt>
                <c:pt idx="28">
                  <c:v>20.948209351341383</c:v>
                </c:pt>
                <c:pt idx="29">
                  <c:v>20.942950528458653</c:v>
                </c:pt>
                <c:pt idx="30">
                  <c:v>21.185642143247506</c:v>
                </c:pt>
                <c:pt idx="31">
                  <c:v>21.181035784269525</c:v>
                </c:pt>
                <c:pt idx="32">
                  <c:v>21.17642913295623</c:v>
                </c:pt>
                <c:pt idx="33">
                  <c:v>21.171169054922178</c:v>
                </c:pt>
                <c:pt idx="34">
                  <c:v>21.165909005507263</c:v>
                </c:pt>
                <c:pt idx="35">
                  <c:v>21.160648984711475</c:v>
                </c:pt>
                <c:pt idx="36">
                  <c:v>21.155388992534817</c:v>
                </c:pt>
                <c:pt idx="37">
                  <c:v>21.150129028977293</c:v>
                </c:pt>
                <c:pt idx="38">
                  <c:v>21.144869094038906</c:v>
                </c:pt>
                <c:pt idx="39">
                  <c:v>21.139609187719646</c:v>
                </c:pt>
                <c:pt idx="40">
                  <c:v>21.134349310019516</c:v>
                </c:pt>
                <c:pt idx="41">
                  <c:v>21.12908946093852</c:v>
                </c:pt>
                <c:pt idx="42">
                  <c:v>21.123829640476661</c:v>
                </c:pt>
                <c:pt idx="43">
                  <c:v>21.103190232754589</c:v>
                </c:pt>
                <c:pt idx="44">
                  <c:v>21.082551278756238</c:v>
                </c:pt>
                <c:pt idx="45">
                  <c:v>21.061912778481609</c:v>
                </c:pt>
                <c:pt idx="46">
                  <c:v>21.041274731930699</c:v>
                </c:pt>
                <c:pt idx="47">
                  <c:v>21.02063713910351</c:v>
                </c:pt>
                <c:pt idx="48">
                  <c:v>21.165039820818979</c:v>
                </c:pt>
                <c:pt idx="49">
                  <c:v>21.123777244496775</c:v>
                </c:pt>
                <c:pt idx="50">
                  <c:v>21.082516415586213</c:v>
                </c:pt>
                <c:pt idx="51">
                  <c:v>21.041257334087287</c:v>
                </c:pt>
              </c:numCache>
            </c:numRef>
          </c:yVal>
          <c:smooth val="1"/>
          <c:extLst>
            <c:ext xmlns:c16="http://schemas.microsoft.com/office/drawing/2014/chart" uri="{C3380CC4-5D6E-409C-BE32-E72D297353CC}">
              <c16:uniqueId val="{00000000-8E7B-41D9-9EA5-B212567691A5}"/>
            </c:ext>
          </c:extLst>
        </c:ser>
        <c:dLbls>
          <c:showLegendKey val="0"/>
          <c:showVal val="0"/>
          <c:showCatName val="0"/>
          <c:showSerName val="0"/>
          <c:showPercent val="0"/>
          <c:showBubbleSize val="0"/>
        </c:dLbls>
        <c:axId val="553812992"/>
        <c:axId val="553810368"/>
      </c:scatterChart>
      <c:valAx>
        <c:axId val="553812992"/>
        <c:scaling>
          <c:orientation val="minMax"/>
          <c:max val="1"/>
          <c:min val="0"/>
        </c:scaling>
        <c:delete val="0"/>
        <c:axPos val="b"/>
        <c:title>
          <c:tx>
            <c:rich>
              <a:bodyPr/>
              <a:lstStyle/>
              <a:p>
                <a:pPr>
                  <a:defRPr/>
                </a:pPr>
                <a:r>
                  <a:rPr lang="en-US"/>
                  <a:t>Time [h]</a:t>
                </a:r>
              </a:p>
            </c:rich>
          </c:tx>
          <c:overlay val="0"/>
        </c:title>
        <c:numFmt formatCode="h:mm;@" sourceLinked="0"/>
        <c:majorTickMark val="out"/>
        <c:minorTickMark val="none"/>
        <c:tickLblPos val="nextTo"/>
        <c:crossAx val="553810368"/>
        <c:crosses val="autoZero"/>
        <c:crossBetween val="midCat"/>
        <c:majorUnit val="0.125"/>
      </c:valAx>
      <c:valAx>
        <c:axId val="553810368"/>
        <c:scaling>
          <c:orientation val="minMax"/>
        </c:scaling>
        <c:delete val="0"/>
        <c:axPos val="l"/>
        <c:majorGridlines/>
        <c:title>
          <c:tx>
            <c:rich>
              <a:bodyPr/>
              <a:lstStyle/>
              <a:p>
                <a:pPr>
                  <a:defRPr/>
                </a:pPr>
                <a:r>
                  <a:rPr lang="en-US"/>
                  <a:t>O2 Partial Pressure /</a:t>
                </a:r>
                <a:r>
                  <a:rPr lang="en-US" baseline="0"/>
                  <a:t> </a:t>
                </a:r>
                <a:r>
                  <a:rPr lang="en-US"/>
                  <a:t>kPa</a:t>
                </a:r>
              </a:p>
            </c:rich>
          </c:tx>
          <c:overlay val="0"/>
        </c:title>
        <c:numFmt formatCode="0.00" sourceLinked="0"/>
        <c:majorTickMark val="out"/>
        <c:minorTickMark val="none"/>
        <c:tickLblPos val="nextTo"/>
        <c:crossAx val="553812992"/>
        <c:crosses val="autoZero"/>
        <c:crossBetween val="midCat"/>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Water Needs</a:t>
            </a:r>
          </a:p>
        </c:rich>
      </c:tx>
      <c:overlay val="0"/>
    </c:title>
    <c:autoTitleDeleted val="0"/>
    <c:plotArea>
      <c:layout/>
      <c:scatterChart>
        <c:scatterStyle val="smoothMarker"/>
        <c:varyColors val="0"/>
        <c:ser>
          <c:idx val="0"/>
          <c:order val="0"/>
          <c:tx>
            <c:v>Potable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Data'!$AD$7:$AD$58</c:f>
              <c:numCache>
                <c:formatCode>0.00</c:formatCode>
                <c:ptCount val="52"/>
                <c:pt idx="0">
                  <c:v>0</c:v>
                </c:pt>
                <c:pt idx="1">
                  <c:v>0</c:v>
                </c:pt>
                <c:pt idx="2">
                  <c:v>0</c:v>
                </c:pt>
                <c:pt idx="3">
                  <c:v>0</c:v>
                </c:pt>
                <c:pt idx="4">
                  <c:v>0</c:v>
                </c:pt>
                <c:pt idx="5">
                  <c:v>0</c:v>
                </c:pt>
                <c:pt idx="6">
                  <c:v>0</c:v>
                </c:pt>
                <c:pt idx="7">
                  <c:v>0</c:v>
                </c:pt>
                <c:pt idx="8">
                  <c:v>0</c:v>
                </c:pt>
                <c:pt idx="9">
                  <c:v>0</c:v>
                </c:pt>
                <c:pt idx="10">
                  <c:v>0</c:v>
                </c:pt>
                <c:pt idx="11">
                  <c:v>5.5661866666666659</c:v>
                </c:pt>
                <c:pt idx="12">
                  <c:v>0</c:v>
                </c:pt>
                <c:pt idx="13">
                  <c:v>0</c:v>
                </c:pt>
                <c:pt idx="14">
                  <c:v>0</c:v>
                </c:pt>
                <c:pt idx="15">
                  <c:v>0</c:v>
                </c:pt>
                <c:pt idx="16">
                  <c:v>0</c:v>
                </c:pt>
                <c:pt idx="17">
                  <c:v>0</c:v>
                </c:pt>
                <c:pt idx="18">
                  <c:v>0</c:v>
                </c:pt>
                <c:pt idx="19">
                  <c:v>0</c:v>
                </c:pt>
                <c:pt idx="20">
                  <c:v>1.55169</c:v>
                </c:pt>
                <c:pt idx="21">
                  <c:v>1.55169</c:v>
                </c:pt>
                <c:pt idx="22">
                  <c:v>2.783093333333333</c:v>
                </c:pt>
                <c:pt idx="23">
                  <c:v>2.783093333333333</c:v>
                </c:pt>
                <c:pt idx="24">
                  <c:v>0</c:v>
                </c:pt>
                <c:pt idx="25">
                  <c:v>0</c:v>
                </c:pt>
                <c:pt idx="26">
                  <c:v>0</c:v>
                </c:pt>
                <c:pt idx="27">
                  <c:v>0</c:v>
                </c:pt>
                <c:pt idx="28">
                  <c:v>0</c:v>
                </c:pt>
                <c:pt idx="29">
                  <c:v>0</c:v>
                </c:pt>
                <c:pt idx="30">
                  <c:v>1.55169</c:v>
                </c:pt>
                <c:pt idx="31">
                  <c:v>1.55169</c:v>
                </c:pt>
                <c:pt idx="32">
                  <c:v>0</c:v>
                </c:pt>
                <c:pt idx="33">
                  <c:v>0</c:v>
                </c:pt>
                <c:pt idx="34">
                  <c:v>2.783093333333333</c:v>
                </c:pt>
                <c:pt idx="35">
                  <c:v>2.783093333333333</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0-1540-4F0B-99DF-89C8C29ABF7C}"/>
            </c:ext>
          </c:extLst>
        </c:ser>
        <c:ser>
          <c:idx val="1"/>
          <c:order val="1"/>
          <c:tx>
            <c:v>Hygiene Water</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Data'!$AC$7:$AC$58</c:f>
              <c:numCache>
                <c:formatCode>0.0000</c:formatCode>
                <c:ptCount val="52"/>
                <c:pt idx="0">
                  <c:v>0</c:v>
                </c:pt>
                <c:pt idx="1">
                  <c:v>0</c:v>
                </c:pt>
                <c:pt idx="2">
                  <c:v>0</c:v>
                </c:pt>
                <c:pt idx="3">
                  <c:v>0</c:v>
                </c:pt>
                <c:pt idx="4">
                  <c:v>0</c:v>
                </c:pt>
                <c:pt idx="5">
                  <c:v>0</c:v>
                </c:pt>
                <c:pt idx="6">
                  <c:v>0</c:v>
                </c:pt>
                <c:pt idx="7">
                  <c:v>0</c:v>
                </c:pt>
                <c:pt idx="8">
                  <c:v>0</c:v>
                </c:pt>
                <c:pt idx="9">
                  <c:v>0</c:v>
                </c:pt>
                <c:pt idx="10">
                  <c:v>0</c:v>
                </c:pt>
                <c:pt idx="11">
                  <c:v>0</c:v>
                </c:pt>
                <c:pt idx="12">
                  <c:v>3.2000000000000006</c:v>
                </c:pt>
                <c:pt idx="13">
                  <c:v>0</c:v>
                </c:pt>
                <c:pt idx="14">
                  <c:v>0</c:v>
                </c:pt>
                <c:pt idx="15">
                  <c:v>0</c:v>
                </c:pt>
                <c:pt idx="16">
                  <c:v>0</c:v>
                </c:pt>
                <c:pt idx="17">
                  <c:v>0</c:v>
                </c:pt>
                <c:pt idx="18">
                  <c:v>0</c:v>
                </c:pt>
                <c:pt idx="19">
                  <c:v>0</c:v>
                </c:pt>
                <c:pt idx="20">
                  <c:v>0.40000000000000008</c:v>
                </c:pt>
                <c:pt idx="21">
                  <c:v>0.40000000000000008</c:v>
                </c:pt>
                <c:pt idx="22">
                  <c:v>0.40000000000000008</c:v>
                </c:pt>
                <c:pt idx="23">
                  <c:v>0.40000000000000008</c:v>
                </c:pt>
                <c:pt idx="24">
                  <c:v>0</c:v>
                </c:pt>
                <c:pt idx="25">
                  <c:v>0</c:v>
                </c:pt>
                <c:pt idx="26">
                  <c:v>0</c:v>
                </c:pt>
                <c:pt idx="27">
                  <c:v>0</c:v>
                </c:pt>
                <c:pt idx="28">
                  <c:v>0</c:v>
                </c:pt>
                <c:pt idx="29">
                  <c:v>0</c:v>
                </c:pt>
                <c:pt idx="30">
                  <c:v>0.40000000000000008</c:v>
                </c:pt>
                <c:pt idx="31">
                  <c:v>0.40000000000000008</c:v>
                </c:pt>
                <c:pt idx="32">
                  <c:v>0</c:v>
                </c:pt>
                <c:pt idx="33">
                  <c:v>0</c:v>
                </c:pt>
                <c:pt idx="34">
                  <c:v>0.40000000000000008</c:v>
                </c:pt>
                <c:pt idx="35">
                  <c:v>0.40000000000000008</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1540-4F0B-99DF-89C8C29ABF7C}"/>
            </c:ext>
          </c:extLst>
        </c:ser>
        <c:dLbls>
          <c:showLegendKey val="0"/>
          <c:showVal val="0"/>
          <c:showCatName val="0"/>
          <c:showSerName val="0"/>
          <c:showPercent val="0"/>
          <c:showBubbleSize val="0"/>
        </c:dLbls>
        <c:axId val="549010576"/>
        <c:axId val="548659824"/>
      </c:scatterChart>
      <c:valAx>
        <c:axId val="549010576"/>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48659824"/>
        <c:crosses val="autoZero"/>
        <c:crossBetween val="midCat"/>
        <c:majorUnit val="0.125"/>
      </c:valAx>
      <c:valAx>
        <c:axId val="548659824"/>
        <c:scaling>
          <c:orientation val="minMax"/>
          <c:min val="0"/>
        </c:scaling>
        <c:delete val="0"/>
        <c:axPos val="l"/>
        <c:majorGridlines/>
        <c:title>
          <c:tx>
            <c:rich>
              <a:bodyPr/>
              <a:lstStyle/>
              <a:p>
                <a:pPr>
                  <a:defRPr/>
                </a:pPr>
                <a:r>
                  <a:rPr lang="en-US"/>
                  <a:t>Water Need /</a:t>
                </a:r>
                <a:r>
                  <a:rPr lang="en-US" baseline="0"/>
                  <a:t> </a:t>
                </a:r>
                <a:r>
                  <a:rPr lang="en-US"/>
                  <a:t>kg/h</a:t>
                </a:r>
              </a:p>
            </c:rich>
          </c:tx>
          <c:overlay val="0"/>
        </c:title>
        <c:numFmt formatCode="0.0" sourceLinked="0"/>
        <c:majorTickMark val="out"/>
        <c:minorTickMark val="none"/>
        <c:tickLblPos val="nextTo"/>
        <c:crossAx val="549010576"/>
        <c:crosses val="autoZero"/>
        <c:crossBetween val="midCat"/>
      </c:valAx>
      <c:spPr>
        <a:ln>
          <a:solidFill>
            <a:srgbClr val="008080"/>
          </a:solidFill>
          <a:prstDash val="solid"/>
        </a:ln>
      </c:spPr>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Daily WW and Urine Production</a:t>
            </a:r>
          </a:p>
        </c:rich>
      </c:tx>
      <c:overlay val="0"/>
    </c:title>
    <c:autoTitleDeleted val="0"/>
    <c:plotArea>
      <c:layout/>
      <c:scatterChart>
        <c:scatterStyle val="smoothMarker"/>
        <c:varyColors val="0"/>
        <c:ser>
          <c:idx val="0"/>
          <c:order val="0"/>
          <c:tx>
            <c:v>Humidity Prodcution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Data'!$Z$7:$Z$58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13.481024570099201</c:v>
                </c:pt>
                <c:pt idx="13">
                  <c:v>13.481024570099201</c:v>
                </c:pt>
                <c:pt idx="14">
                  <c:v>13.481024570099201</c:v>
                </c:pt>
                <c:pt idx="15">
                  <c:v>13.481024570099201</c:v>
                </c:pt>
                <c:pt idx="16">
                  <c:v>13.481024570099201</c:v>
                </c:pt>
                <c:pt idx="17">
                  <c:v>13.481024570099201</c:v>
                </c:pt>
                <c:pt idx="18">
                  <c:v>13.481024570099201</c:v>
                </c:pt>
                <c:pt idx="19">
                  <c:v>15.354464570099202</c:v>
                </c:pt>
                <c:pt idx="20">
                  <c:v>14.323424570099203</c:v>
                </c:pt>
                <c:pt idx="21">
                  <c:v>14.323424570099203</c:v>
                </c:pt>
                <c:pt idx="22">
                  <c:v>13.481024570099201</c:v>
                </c:pt>
                <c:pt idx="23">
                  <c:v>13.481024570099201</c:v>
                </c:pt>
                <c:pt idx="24">
                  <c:v>13.481024570099201</c:v>
                </c:pt>
                <c:pt idx="25">
                  <c:v>13.481024570099201</c:v>
                </c:pt>
                <c:pt idx="26">
                  <c:v>13.481024570099201</c:v>
                </c:pt>
                <c:pt idx="27">
                  <c:v>13.481024570099201</c:v>
                </c:pt>
                <c:pt idx="28">
                  <c:v>13.481024570099201</c:v>
                </c:pt>
                <c:pt idx="29">
                  <c:v>15.354464570099202</c:v>
                </c:pt>
                <c:pt idx="30">
                  <c:v>14.323424570099203</c:v>
                </c:pt>
                <c:pt idx="31">
                  <c:v>14.323424570099203</c:v>
                </c:pt>
                <c:pt idx="32">
                  <c:v>13.481024570099201</c:v>
                </c:pt>
                <c:pt idx="33">
                  <c:v>13.481024570099201</c:v>
                </c:pt>
                <c:pt idx="34">
                  <c:v>13.481024570099201</c:v>
                </c:pt>
                <c:pt idx="35">
                  <c:v>13.481024570099201</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0-DAE3-4332-BFB7-369BDC700A9D}"/>
            </c:ext>
          </c:extLst>
        </c:ser>
        <c:ser>
          <c:idx val="1"/>
          <c:order val="1"/>
          <c:tx>
            <c:v>Urine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Data'!$AA$7:$AA$58</c:f>
              <c:numCache>
                <c:formatCode>0.0000</c:formatCode>
                <c:ptCount val="52"/>
                <c:pt idx="0">
                  <c:v>0</c:v>
                </c:pt>
                <c:pt idx="1">
                  <c:v>0</c:v>
                </c:pt>
                <c:pt idx="2">
                  <c:v>0</c:v>
                </c:pt>
                <c:pt idx="3">
                  <c:v>0</c:v>
                </c:pt>
                <c:pt idx="4">
                  <c:v>0</c:v>
                </c:pt>
                <c:pt idx="5">
                  <c:v>0</c:v>
                </c:pt>
                <c:pt idx="6">
                  <c:v>0</c:v>
                </c:pt>
                <c:pt idx="7">
                  <c:v>0</c:v>
                </c:pt>
                <c:pt idx="8">
                  <c:v>0</c:v>
                </c:pt>
                <c:pt idx="9">
                  <c:v>0</c:v>
                </c:pt>
                <c:pt idx="10">
                  <c:v>4.2666666666666666</c:v>
                </c:pt>
                <c:pt idx="11">
                  <c:v>0</c:v>
                </c:pt>
                <c:pt idx="12">
                  <c:v>4.2666666666666666</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2.1333333333333333</c:v>
                </c:pt>
                <c:pt idx="41">
                  <c:v>2.1333333333333333</c:v>
                </c:pt>
                <c:pt idx="42">
                  <c:v>0</c:v>
                </c:pt>
                <c:pt idx="43">
                  <c:v>0</c:v>
                </c:pt>
                <c:pt idx="44">
                  <c:v>0</c:v>
                </c:pt>
                <c:pt idx="45">
                  <c:v>0</c:v>
                </c:pt>
                <c:pt idx="46">
                  <c:v>0</c:v>
                </c:pt>
                <c:pt idx="47">
                  <c:v>0</c:v>
                </c:pt>
                <c:pt idx="48">
                  <c:v>0</c:v>
                </c:pt>
                <c:pt idx="49">
                  <c:v>0</c:v>
                </c:pt>
                <c:pt idx="50">
                  <c:v>0</c:v>
                </c:pt>
                <c:pt idx="51">
                  <c:v>0</c:v>
                </c:pt>
              </c:numCache>
            </c:numRef>
          </c:yVal>
          <c:smooth val="1"/>
          <c:extLst>
            <c:ext xmlns:c16="http://schemas.microsoft.com/office/drawing/2014/chart" uri="{C3380CC4-5D6E-409C-BE32-E72D297353CC}">
              <c16:uniqueId val="{00000001-DAE3-4332-BFB7-369BDC700A9D}"/>
            </c:ext>
          </c:extLst>
        </c:ser>
        <c:ser>
          <c:idx val="2"/>
          <c:order val="2"/>
          <c:tx>
            <c:v>Hygiene WW Production</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Data'!$AB$7:$AB$58</c:f>
              <c:numCache>
                <c:formatCode>0.0000</c:formatCode>
                <c:ptCount val="52"/>
                <c:pt idx="0">
                  <c:v>13.349744570099201</c:v>
                </c:pt>
                <c:pt idx="1">
                  <c:v>13.349744570099201</c:v>
                </c:pt>
                <c:pt idx="2">
                  <c:v>13.349744570099201</c:v>
                </c:pt>
                <c:pt idx="3">
                  <c:v>13.349744570099201</c:v>
                </c:pt>
                <c:pt idx="4">
                  <c:v>13.349744570099201</c:v>
                </c:pt>
                <c:pt idx="5">
                  <c:v>13.349744570099201</c:v>
                </c:pt>
                <c:pt idx="6">
                  <c:v>13.349744570099201</c:v>
                </c:pt>
                <c:pt idx="7">
                  <c:v>13.349744570099201</c:v>
                </c:pt>
                <c:pt idx="8">
                  <c:v>13.349744570099201</c:v>
                </c:pt>
                <c:pt idx="9">
                  <c:v>13.349744570099201</c:v>
                </c:pt>
                <c:pt idx="10">
                  <c:v>13.481024570099201</c:v>
                </c:pt>
                <c:pt idx="11">
                  <c:v>13.481024570099201</c:v>
                </c:pt>
                <c:pt idx="12">
                  <c:v>16.681024570099204</c:v>
                </c:pt>
                <c:pt idx="13">
                  <c:v>13.481024570099201</c:v>
                </c:pt>
                <c:pt idx="14">
                  <c:v>13.481024570099201</c:v>
                </c:pt>
                <c:pt idx="15">
                  <c:v>13.481024570099201</c:v>
                </c:pt>
                <c:pt idx="16">
                  <c:v>13.481024570099201</c:v>
                </c:pt>
                <c:pt idx="17">
                  <c:v>13.481024570099201</c:v>
                </c:pt>
                <c:pt idx="18">
                  <c:v>13.481024570099201</c:v>
                </c:pt>
                <c:pt idx="19">
                  <c:v>15.354464570099202</c:v>
                </c:pt>
                <c:pt idx="20">
                  <c:v>14.723424570099201</c:v>
                </c:pt>
                <c:pt idx="21">
                  <c:v>14.723424570099201</c:v>
                </c:pt>
                <c:pt idx="22">
                  <c:v>13.881024570099202</c:v>
                </c:pt>
                <c:pt idx="23">
                  <c:v>13.881024570099202</c:v>
                </c:pt>
                <c:pt idx="24">
                  <c:v>13.481024570099201</c:v>
                </c:pt>
                <c:pt idx="25">
                  <c:v>13.481024570099201</c:v>
                </c:pt>
                <c:pt idx="26">
                  <c:v>13.481024570099201</c:v>
                </c:pt>
                <c:pt idx="27">
                  <c:v>13.481024570099201</c:v>
                </c:pt>
                <c:pt idx="28">
                  <c:v>13.481024570099201</c:v>
                </c:pt>
                <c:pt idx="29">
                  <c:v>15.354464570099202</c:v>
                </c:pt>
                <c:pt idx="30">
                  <c:v>14.723424570099201</c:v>
                </c:pt>
                <c:pt idx="31">
                  <c:v>14.723424570099201</c:v>
                </c:pt>
                <c:pt idx="32">
                  <c:v>13.481024570099201</c:v>
                </c:pt>
                <c:pt idx="33">
                  <c:v>13.481024570099201</c:v>
                </c:pt>
                <c:pt idx="34">
                  <c:v>13.881024570099202</c:v>
                </c:pt>
                <c:pt idx="35">
                  <c:v>13.881024570099202</c:v>
                </c:pt>
                <c:pt idx="36">
                  <c:v>13.481024570099201</c:v>
                </c:pt>
                <c:pt idx="37">
                  <c:v>13.481024570099201</c:v>
                </c:pt>
                <c:pt idx="38">
                  <c:v>13.481024570099201</c:v>
                </c:pt>
                <c:pt idx="39">
                  <c:v>13.481024570099201</c:v>
                </c:pt>
                <c:pt idx="40">
                  <c:v>13.481024570099201</c:v>
                </c:pt>
                <c:pt idx="41">
                  <c:v>13.481024570099201</c:v>
                </c:pt>
                <c:pt idx="42">
                  <c:v>13.349744570099201</c:v>
                </c:pt>
                <c:pt idx="43">
                  <c:v>13.349744570099201</c:v>
                </c:pt>
                <c:pt idx="44">
                  <c:v>13.349744570099201</c:v>
                </c:pt>
                <c:pt idx="45">
                  <c:v>13.349744570099201</c:v>
                </c:pt>
                <c:pt idx="46">
                  <c:v>13.349744570099201</c:v>
                </c:pt>
                <c:pt idx="47">
                  <c:v>13.349744570099201</c:v>
                </c:pt>
                <c:pt idx="48">
                  <c:v>0.31040000000000001</c:v>
                </c:pt>
                <c:pt idx="49">
                  <c:v>0.31040000000000001</c:v>
                </c:pt>
                <c:pt idx="50">
                  <c:v>0.31040000000000001</c:v>
                </c:pt>
                <c:pt idx="51">
                  <c:v>0.31040000000000001</c:v>
                </c:pt>
              </c:numCache>
            </c:numRef>
          </c:yVal>
          <c:smooth val="1"/>
          <c:extLst>
            <c:ext xmlns:c16="http://schemas.microsoft.com/office/drawing/2014/chart" uri="{C3380CC4-5D6E-409C-BE32-E72D297353CC}">
              <c16:uniqueId val="{00000002-DAE3-4332-BFB7-369BDC700A9D}"/>
            </c:ext>
          </c:extLst>
        </c:ser>
        <c:dLbls>
          <c:showLegendKey val="0"/>
          <c:showVal val="0"/>
          <c:showCatName val="0"/>
          <c:showSerName val="0"/>
          <c:showPercent val="0"/>
          <c:showBubbleSize val="0"/>
        </c:dLbls>
        <c:axId val="558558472"/>
        <c:axId val="558558800"/>
      </c:scatterChart>
      <c:valAx>
        <c:axId val="558558472"/>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8800"/>
        <c:crosses val="autoZero"/>
        <c:crossBetween val="midCat"/>
        <c:majorUnit val="0.125"/>
      </c:valAx>
      <c:valAx>
        <c:axId val="558558800"/>
        <c:scaling>
          <c:orientation val="minMax"/>
          <c:min val="0"/>
        </c:scaling>
        <c:delete val="0"/>
        <c:axPos val="l"/>
        <c:majorGridlines/>
        <c:title>
          <c:tx>
            <c:rich>
              <a:bodyPr/>
              <a:lstStyle/>
              <a:p>
                <a:pPr>
                  <a:defRPr/>
                </a:pPr>
                <a:r>
                  <a:rPr lang="en-US"/>
                  <a:t>Water</a:t>
                </a:r>
                <a:r>
                  <a:rPr lang="en-US" baseline="0"/>
                  <a:t> </a:t>
                </a:r>
                <a:r>
                  <a:rPr lang="en-US"/>
                  <a:t>Production /</a:t>
                </a:r>
                <a:r>
                  <a:rPr lang="en-US" baseline="0"/>
                  <a:t> </a:t>
                </a:r>
                <a:r>
                  <a:rPr lang="en-US"/>
                  <a:t>kg/h</a:t>
                </a:r>
              </a:p>
            </c:rich>
          </c:tx>
          <c:overlay val="0"/>
        </c:title>
        <c:numFmt formatCode="0.0" sourceLinked="0"/>
        <c:majorTickMark val="out"/>
        <c:minorTickMark val="none"/>
        <c:tickLblPos val="nextTo"/>
        <c:crossAx val="558558472"/>
        <c:crosses val="autoZero"/>
        <c:crossBetween val="midCat"/>
      </c:valAx>
      <c:spPr>
        <a:ln>
          <a:solidFill>
            <a:srgbClr val="008080"/>
          </a:solidFill>
          <a:prstDash val="solid"/>
        </a:ln>
      </c:spPr>
    </c:plotArea>
    <c:legend>
      <c:legendPos val="b"/>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Temperature</a:t>
            </a:r>
          </a:p>
        </c:rich>
      </c:tx>
      <c:overlay val="0"/>
    </c:title>
    <c:autoTitleDeleted val="0"/>
    <c:plotArea>
      <c:layout/>
      <c:scatterChart>
        <c:scatterStyle val="smoothMarker"/>
        <c:varyColors val="0"/>
        <c:ser>
          <c:idx val="0"/>
          <c:order val="0"/>
          <c:tx>
            <c:v>Temperature</c:v>
          </c:tx>
          <c:marker>
            <c:symbol val="none"/>
          </c:marker>
          <c:xVal>
            <c:numRef>
              <c:f>'Output Data'!$U$7:$U$58</c:f>
              <c:numCache>
                <c:formatCode>h:mm</c:formatCode>
                <c:ptCount val="52"/>
                <c:pt idx="0">
                  <c:v>0</c:v>
                </c:pt>
                <c:pt idx="1">
                  <c:v>2.0833333333333332E-2</c:v>
                </c:pt>
                <c:pt idx="2">
                  <c:v>4.1666666666666699E-2</c:v>
                </c:pt>
                <c:pt idx="3">
                  <c:v>6.25E-2</c:v>
                </c:pt>
                <c:pt idx="4">
                  <c:v>8.3333333333333301E-2</c:v>
                </c:pt>
                <c:pt idx="5">
                  <c:v>0.104166666666667</c:v>
                </c:pt>
                <c:pt idx="6">
                  <c:v>0.125</c:v>
                </c:pt>
                <c:pt idx="7">
                  <c:v>0.14583333333333301</c:v>
                </c:pt>
                <c:pt idx="8">
                  <c:v>0.16666666666666699</c:v>
                </c:pt>
                <c:pt idx="9">
                  <c:v>0.1875</c:v>
                </c:pt>
                <c:pt idx="10">
                  <c:v>0.20833333333333301</c:v>
                </c:pt>
                <c:pt idx="11">
                  <c:v>0.22916666666666699</c:v>
                </c:pt>
                <c:pt idx="12">
                  <c:v>0.25</c:v>
                </c:pt>
                <c:pt idx="13">
                  <c:v>0.27083333333333298</c:v>
                </c:pt>
                <c:pt idx="14">
                  <c:v>0.29166666666666702</c:v>
                </c:pt>
                <c:pt idx="15">
                  <c:v>0.3125</c:v>
                </c:pt>
                <c:pt idx="16">
                  <c:v>0.33333333333333298</c:v>
                </c:pt>
                <c:pt idx="17">
                  <c:v>0.35416666666666702</c:v>
                </c:pt>
                <c:pt idx="18">
                  <c:v>0.375</c:v>
                </c:pt>
                <c:pt idx="19">
                  <c:v>0.39583333333333298</c:v>
                </c:pt>
                <c:pt idx="20">
                  <c:v>0.41666666666666702</c:v>
                </c:pt>
                <c:pt idx="21">
                  <c:v>0.4375</c:v>
                </c:pt>
                <c:pt idx="22">
                  <c:v>0.45833333333333298</c:v>
                </c:pt>
                <c:pt idx="23">
                  <c:v>0.47916666666666702</c:v>
                </c:pt>
                <c:pt idx="24">
                  <c:v>0.5</c:v>
                </c:pt>
                <c:pt idx="25">
                  <c:v>0.52083333333333304</c:v>
                </c:pt>
                <c:pt idx="26">
                  <c:v>0.54166666666666696</c:v>
                </c:pt>
                <c:pt idx="27">
                  <c:v>0.5625</c:v>
                </c:pt>
                <c:pt idx="28">
                  <c:v>0.58333333333333304</c:v>
                </c:pt>
                <c:pt idx="29">
                  <c:v>0.60416666666666696</c:v>
                </c:pt>
                <c:pt idx="33">
                  <c:v>0.625</c:v>
                </c:pt>
                <c:pt idx="34">
                  <c:v>0.64583333333333304</c:v>
                </c:pt>
                <c:pt idx="35">
                  <c:v>0.66666666666666696</c:v>
                </c:pt>
                <c:pt idx="36">
                  <c:v>0.6875</c:v>
                </c:pt>
                <c:pt idx="37">
                  <c:v>0.70833333333333304</c:v>
                </c:pt>
                <c:pt idx="38">
                  <c:v>0.72916666666666696</c:v>
                </c:pt>
                <c:pt idx="39">
                  <c:v>0.75</c:v>
                </c:pt>
                <c:pt idx="40">
                  <c:v>0.77083333333333304</c:v>
                </c:pt>
                <c:pt idx="41">
                  <c:v>0.79166666666666696</c:v>
                </c:pt>
                <c:pt idx="42">
                  <c:v>0.8125</c:v>
                </c:pt>
                <c:pt idx="43">
                  <c:v>0.83333333333333304</c:v>
                </c:pt>
                <c:pt idx="44">
                  <c:v>0.85416666666666696</c:v>
                </c:pt>
                <c:pt idx="45">
                  <c:v>0.875</c:v>
                </c:pt>
                <c:pt idx="46">
                  <c:v>0.875</c:v>
                </c:pt>
                <c:pt idx="47">
                  <c:v>0.89583333333333304</c:v>
                </c:pt>
                <c:pt idx="48">
                  <c:v>0.91666666666666696</c:v>
                </c:pt>
                <c:pt idx="49">
                  <c:v>0.9375</c:v>
                </c:pt>
                <c:pt idx="50">
                  <c:v>0.95833333333333304</c:v>
                </c:pt>
                <c:pt idx="51">
                  <c:v>0.97916666666666696</c:v>
                </c:pt>
              </c:numCache>
            </c:numRef>
          </c:xVal>
          <c:yVal>
            <c:numRef>
              <c:f>'Output Data'!$AG$7:$AG$58</c:f>
              <c:numCache>
                <c:formatCode>0.00</c:formatCode>
                <c:ptCount val="52"/>
                <c:pt idx="0">
                  <c:v>293</c:v>
                </c:pt>
                <c:pt idx="1">
                  <c:v>292.99674218662807</c:v>
                </c:pt>
                <c:pt idx="2">
                  <c:v>292.99348437325619</c:v>
                </c:pt>
                <c:pt idx="3">
                  <c:v>292.99022655988426</c:v>
                </c:pt>
                <c:pt idx="4">
                  <c:v>292.98696874651233</c:v>
                </c:pt>
                <c:pt idx="5">
                  <c:v>292.9837109331404</c:v>
                </c:pt>
                <c:pt idx="6">
                  <c:v>292.98045311976847</c:v>
                </c:pt>
                <c:pt idx="7">
                  <c:v>292.97719530639654</c:v>
                </c:pt>
                <c:pt idx="8">
                  <c:v>292.97393749302461</c:v>
                </c:pt>
                <c:pt idx="9">
                  <c:v>292.97067967965268</c:v>
                </c:pt>
                <c:pt idx="10">
                  <c:v>292.96742186628074</c:v>
                </c:pt>
                <c:pt idx="11">
                  <c:v>292.96661578634433</c:v>
                </c:pt>
                <c:pt idx="12">
                  <c:v>292.96580970640787</c:v>
                </c:pt>
                <c:pt idx="13">
                  <c:v>292.9650036264714</c:v>
                </c:pt>
                <c:pt idx="14">
                  <c:v>292.96419754653493</c:v>
                </c:pt>
                <c:pt idx="15">
                  <c:v>292.96339146659852</c:v>
                </c:pt>
                <c:pt idx="16">
                  <c:v>292.96258538666206</c:v>
                </c:pt>
                <c:pt idx="17">
                  <c:v>292.96177930672559</c:v>
                </c:pt>
                <c:pt idx="18">
                  <c:v>292.96097322678918</c:v>
                </c:pt>
                <c:pt idx="19">
                  <c:v>292.96016714685271</c:v>
                </c:pt>
                <c:pt idx="20">
                  <c:v>292.98024099346918</c:v>
                </c:pt>
                <c:pt idx="21">
                  <c:v>292.98847484323539</c:v>
                </c:pt>
                <c:pt idx="22">
                  <c:v>292.99670869300161</c:v>
                </c:pt>
                <c:pt idx="23">
                  <c:v>292.99590261306514</c:v>
                </c:pt>
                <c:pt idx="24">
                  <c:v>292.99509653312867</c:v>
                </c:pt>
                <c:pt idx="25">
                  <c:v>292.99429045319221</c:v>
                </c:pt>
                <c:pt idx="26">
                  <c:v>292.9934843732558</c:v>
                </c:pt>
                <c:pt idx="27">
                  <c:v>292.99267829331933</c:v>
                </c:pt>
                <c:pt idx="28">
                  <c:v>292.99187221338286</c:v>
                </c:pt>
                <c:pt idx="29">
                  <c:v>292.9910661334464</c:v>
                </c:pt>
                <c:pt idx="30">
                  <c:v>293.01113998006286</c:v>
                </c:pt>
                <c:pt idx="31">
                  <c:v>293.01937382982908</c:v>
                </c:pt>
                <c:pt idx="32">
                  <c:v>293.02760767959529</c:v>
                </c:pt>
                <c:pt idx="33">
                  <c:v>293.02680159965882</c:v>
                </c:pt>
                <c:pt idx="34">
                  <c:v>293.02599551972241</c:v>
                </c:pt>
                <c:pt idx="35">
                  <c:v>293.02518943978595</c:v>
                </c:pt>
                <c:pt idx="36">
                  <c:v>293.02438335984948</c:v>
                </c:pt>
                <c:pt idx="37">
                  <c:v>293.02357727991301</c:v>
                </c:pt>
                <c:pt idx="38">
                  <c:v>293.0227711999766</c:v>
                </c:pt>
                <c:pt idx="39">
                  <c:v>293.02196512004014</c:v>
                </c:pt>
                <c:pt idx="40">
                  <c:v>293.02115904010367</c:v>
                </c:pt>
                <c:pt idx="41">
                  <c:v>293.0203529601672</c:v>
                </c:pt>
                <c:pt idx="42">
                  <c:v>293.01954688023079</c:v>
                </c:pt>
                <c:pt idx="43">
                  <c:v>293.01628906685886</c:v>
                </c:pt>
                <c:pt idx="44">
                  <c:v>293.01303125348693</c:v>
                </c:pt>
                <c:pt idx="45">
                  <c:v>293.009773440115</c:v>
                </c:pt>
                <c:pt idx="46">
                  <c:v>293.00651562674307</c:v>
                </c:pt>
                <c:pt idx="47">
                  <c:v>293.00325781337114</c:v>
                </c:pt>
                <c:pt idx="48">
                  <c:v>293.02509342472484</c:v>
                </c:pt>
                <c:pt idx="49">
                  <c:v>293.01882006854362</c:v>
                </c:pt>
                <c:pt idx="50">
                  <c:v>293.01254671236245</c:v>
                </c:pt>
                <c:pt idx="51">
                  <c:v>293.00627335618123</c:v>
                </c:pt>
              </c:numCache>
            </c:numRef>
          </c:yVal>
          <c:smooth val="1"/>
          <c:extLst>
            <c:ext xmlns:c16="http://schemas.microsoft.com/office/drawing/2014/chart" uri="{C3380CC4-5D6E-409C-BE32-E72D297353CC}">
              <c16:uniqueId val="{00000000-9405-4977-804C-CE394A65C9A0}"/>
            </c:ext>
          </c:extLst>
        </c:ser>
        <c:dLbls>
          <c:showLegendKey val="0"/>
          <c:showVal val="0"/>
          <c:showCatName val="0"/>
          <c:showSerName val="0"/>
          <c:showPercent val="0"/>
          <c:showBubbleSize val="0"/>
        </c:dLbls>
        <c:axId val="558555520"/>
        <c:axId val="558557160"/>
      </c:scatterChart>
      <c:valAx>
        <c:axId val="558555520"/>
        <c:scaling>
          <c:orientation val="minMax"/>
          <c:max val="1"/>
          <c:min val="0"/>
        </c:scaling>
        <c:delete val="0"/>
        <c:axPos val="b"/>
        <c:title>
          <c:tx>
            <c:rich>
              <a:bodyPr/>
              <a:lstStyle/>
              <a:p>
                <a:pPr>
                  <a:defRPr/>
                </a:pPr>
                <a:r>
                  <a:rPr lang="en-US"/>
                  <a:t>Time</a:t>
                </a:r>
              </a:p>
            </c:rich>
          </c:tx>
          <c:overlay val="0"/>
        </c:title>
        <c:numFmt formatCode="h:mm" sourceLinked="1"/>
        <c:majorTickMark val="out"/>
        <c:minorTickMark val="none"/>
        <c:tickLblPos val="nextTo"/>
        <c:crossAx val="558557160"/>
        <c:crosses val="autoZero"/>
        <c:crossBetween val="midCat"/>
        <c:majorUnit val="0.125"/>
      </c:valAx>
      <c:valAx>
        <c:axId val="558557160"/>
        <c:scaling>
          <c:orientation val="minMax"/>
        </c:scaling>
        <c:delete val="0"/>
        <c:axPos val="l"/>
        <c:majorGridlines/>
        <c:title>
          <c:tx>
            <c:rich>
              <a:bodyPr/>
              <a:lstStyle/>
              <a:p>
                <a:pPr>
                  <a:defRPr/>
                </a:pPr>
                <a:r>
                  <a:rPr lang="en-US"/>
                  <a:t>Temperature / K</a:t>
                </a:r>
              </a:p>
            </c:rich>
          </c:tx>
          <c:overlay val="0"/>
        </c:title>
        <c:numFmt formatCode="0.00" sourceLinked="0"/>
        <c:majorTickMark val="out"/>
        <c:minorTickMark val="none"/>
        <c:tickLblPos val="nextTo"/>
        <c:crossAx val="558555520"/>
        <c:crosses val="autoZero"/>
        <c:crossBetween val="midCat"/>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Flight Criticality Path for Campaign</a:t>
            </a:r>
          </a:p>
        </c:rich>
      </c:tx>
      <c:overlay val="0"/>
    </c:title>
    <c:autoTitleDeleted val="0"/>
    <c:plotArea>
      <c:layout/>
      <c:scatterChart>
        <c:scatterStyle val="lineMarker"/>
        <c:varyColors val="0"/>
        <c:ser>
          <c:idx val="0"/>
          <c:order val="0"/>
          <c:spPr>
            <a:ln w="19050">
              <a:noFill/>
            </a:ln>
          </c:spPr>
          <c:dLbls>
            <c:dLbl>
              <c:idx val="0"/>
              <c:tx>
                <c:rich>
                  <a:bodyPr/>
                  <a:lstStyle/>
                  <a:p>
                    <a:r>
                      <a:rPr lang="de-DE"/>
                      <a:t>Flight 1</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EB7B-44F5-9043-2A1123D4F25D}"/>
                </c:ext>
              </c:extLst>
            </c:dLbl>
            <c:dLbl>
              <c:idx val="1"/>
              <c:tx>
                <c:rich>
                  <a:bodyPr/>
                  <a:lstStyle/>
                  <a:p>
                    <a:r>
                      <a:rPr lang="de-DE"/>
                      <a:t>Flight 2</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EB7B-44F5-9043-2A1123D4F25D}"/>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'Resupply Approach'!$F$39:$F$40</c:f>
              <c:numCache>
                <c:formatCode>0.00</c:formatCode>
                <c:ptCount val="2"/>
                <c:pt idx="0">
                  <c:v>1</c:v>
                </c:pt>
                <c:pt idx="1">
                  <c:v>2</c:v>
                </c:pt>
              </c:numCache>
            </c:numRef>
          </c:xVal>
          <c:yVal>
            <c:numRef>
              <c:f>'Resupply Approach'!$E$39:$E$40</c:f>
              <c:numCache>
                <c:formatCode>0.00</c:formatCode>
                <c:ptCount val="2"/>
                <c:pt idx="0">
                  <c:v>0.9626263437</c:v>
                </c:pt>
                <c:pt idx="1">
                  <c:v>1.0373736563</c:v>
                </c:pt>
              </c:numCache>
            </c:numRef>
          </c:yVal>
          <c:smooth val="0"/>
          <c:extLst>
            <c:ext xmlns:c16="http://schemas.microsoft.com/office/drawing/2014/chart" uri="{C3380CC4-5D6E-409C-BE32-E72D297353CC}">
              <c16:uniqueId val="{00000002-EB7B-44F5-9043-2A1123D4F25D}"/>
            </c:ext>
          </c:extLst>
        </c:ser>
        <c:ser>
          <c:idx val="1"/>
          <c:order val="1"/>
          <c:spPr>
            <a:ln w="19050">
              <a:noFill/>
            </a:ln>
          </c:spPr>
          <c:marker>
            <c:symbol val="none"/>
          </c:marker>
          <c:trendline>
            <c:spPr>
              <a:ln w="12700">
                <a:solidFill>
                  <a:srgbClr val="000000"/>
                </a:solidFill>
                <a:prstDash val="lgDash"/>
              </a:ln>
            </c:spPr>
            <c:trendlineType val="linear"/>
            <c:dispRSqr val="0"/>
            <c:dispEq val="0"/>
          </c:trendline>
          <c:xVal>
            <c:numLit>
              <c:formatCode>General</c:formatCode>
              <c:ptCount val="4"/>
              <c:pt idx="0">
                <c:v>0</c:v>
              </c:pt>
              <c:pt idx="1">
                <c:v>1</c:v>
              </c:pt>
              <c:pt idx="2">
                <c:v>2</c:v>
              </c:pt>
              <c:pt idx="3">
                <c:v>3</c:v>
              </c:pt>
            </c:numLit>
          </c:xVal>
          <c:yVal>
            <c:numLit>
              <c:formatCode>General</c:formatCode>
              <c:ptCount val="4"/>
              <c:pt idx="0">
                <c:v>0</c:v>
              </c:pt>
              <c:pt idx="1">
                <c:v>1</c:v>
              </c:pt>
              <c:pt idx="2">
                <c:v>2</c:v>
              </c:pt>
              <c:pt idx="3">
                <c:v>3</c:v>
              </c:pt>
            </c:numLit>
          </c:yVal>
          <c:smooth val="0"/>
          <c:extLst>
            <c:ext xmlns:c16="http://schemas.microsoft.com/office/drawing/2014/chart" uri="{C3380CC4-5D6E-409C-BE32-E72D297353CC}">
              <c16:uniqueId val="{00000003-EB7B-44F5-9043-2A1123D4F25D}"/>
            </c:ext>
          </c:extLst>
        </c:ser>
        <c:dLbls>
          <c:showLegendKey val="0"/>
          <c:showVal val="0"/>
          <c:showCatName val="0"/>
          <c:showSerName val="0"/>
          <c:showPercent val="0"/>
          <c:showBubbleSize val="0"/>
        </c:dLbls>
        <c:axId val="130660480"/>
        <c:axId val="130647520"/>
      </c:scatterChart>
      <c:valAx>
        <c:axId val="130660480"/>
        <c:scaling>
          <c:orientation val="minMax"/>
          <c:max val="3"/>
          <c:min val="0"/>
        </c:scaling>
        <c:delete val="0"/>
        <c:axPos val="b"/>
        <c:title>
          <c:tx>
            <c:rich>
              <a:bodyPr/>
              <a:lstStyle/>
              <a:p>
                <a:pPr>
                  <a:defRPr/>
                </a:pPr>
                <a:r>
                  <a:rPr lang="de-DE"/>
                  <a:t>Number of Missions Served by Flight</a:t>
                </a:r>
              </a:p>
            </c:rich>
          </c:tx>
          <c:overlay val="0"/>
        </c:title>
        <c:numFmt formatCode="0.00" sourceLinked="1"/>
        <c:majorTickMark val="out"/>
        <c:minorTickMark val="none"/>
        <c:tickLblPos val="nextTo"/>
        <c:crossAx val="130647520"/>
        <c:crosses val="autoZero"/>
        <c:crossBetween val="midCat"/>
        <c:majorUnit val="1"/>
      </c:valAx>
      <c:valAx>
        <c:axId val="130647520"/>
        <c:scaling>
          <c:orientation val="minMax"/>
          <c:max val="2.0373736562999998"/>
        </c:scaling>
        <c:delete val="0"/>
        <c:axPos val="l"/>
        <c:majorGridlines/>
        <c:title>
          <c:tx>
            <c:rich>
              <a:bodyPr/>
              <a:lstStyle/>
              <a:p>
                <a:pPr>
                  <a:defRPr/>
                </a:pPr>
                <a:r>
                  <a:rPr lang="de-DE"/>
                  <a:t>Sum of Dependency Factors per Flight</a:t>
                </a:r>
              </a:p>
            </c:rich>
          </c:tx>
          <c:overlay val="0"/>
        </c:title>
        <c:numFmt formatCode="0.0" sourceLinked="0"/>
        <c:majorTickMark val="out"/>
        <c:minorTickMark val="none"/>
        <c:tickLblPos val="nextTo"/>
        <c:crossAx val="130660480"/>
        <c:crosses val="autoZero"/>
        <c:crossBetween val="midCat"/>
      </c:valAx>
      <c:spPr>
        <a:ln>
          <a:solidFill>
            <a:srgbClr val="00808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8740157499999996" l="0.7" r="0.7" t="0.78740157499999996"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 Id="rId9" Type="http://schemas.openxmlformats.org/officeDocument/2006/relationships/chart" Target="../charts/chart10.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1.xml"/></Relationships>
</file>

<file path=xl/drawings/_rels/vmlDrawing5.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5.emf"/><Relationship Id="rId3" Type="http://schemas.openxmlformats.org/officeDocument/2006/relationships/image" Target="../media/image10.emf"/><Relationship Id="rId7" Type="http://schemas.openxmlformats.org/officeDocument/2006/relationships/image" Target="../media/image6.emf"/><Relationship Id="rId12" Type="http://schemas.openxmlformats.org/officeDocument/2006/relationships/image" Target="../media/image1.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7.emf"/><Relationship Id="rId11" Type="http://schemas.openxmlformats.org/officeDocument/2006/relationships/image" Target="../media/image2.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 Id="rId1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99060</xdr:colOff>
      <xdr:row>4</xdr:row>
      <xdr:rowOff>15239</xdr:rowOff>
    </xdr:from>
    <xdr:to>
      <xdr:col>9</xdr:col>
      <xdr:colOff>276225</xdr:colOff>
      <xdr:row>5</xdr:row>
      <xdr:rowOff>142874</xdr:rowOff>
    </xdr:to>
    <xdr:sp macro="" textlink="">
      <xdr:nvSpPr>
        <xdr:cNvPr id="2" name="Textfeld 1">
          <a:extLst>
            <a:ext uri="{FF2B5EF4-FFF2-40B4-BE49-F238E27FC236}">
              <a16:creationId xmlns:a16="http://schemas.microsoft.com/office/drawing/2014/main" id="{00000000-0008-0000-0000-000002000000}"/>
            </a:ext>
          </a:extLst>
        </xdr:cNvPr>
        <xdr:cNvSpPr txBox="1"/>
      </xdr:nvSpPr>
      <xdr:spPr>
        <a:xfrm>
          <a:off x="99060" y="929639"/>
          <a:ext cx="7292340" cy="146113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171450" indent="-171450">
            <a:buFont typeface="Arial" panose="020B0604020202020204" pitchFamily="34" charset="0"/>
            <a:buChar char="•"/>
          </a:pPr>
          <a:r>
            <a:rPr lang="en-GB" sz="1100" b="1"/>
            <a:t>1. Step:</a:t>
          </a:r>
          <a:r>
            <a:rPr lang="en-GB" sz="1100"/>
            <a:t>	Define your mission outline parameters.</a:t>
          </a:r>
        </a:p>
        <a:p>
          <a:pPr marL="171450" indent="-171450">
            <a:buFont typeface="Arial" panose="020B0604020202020204" pitchFamily="34" charset="0"/>
            <a:buChar char="•"/>
          </a:pPr>
          <a:r>
            <a:rPr lang="en-GB" sz="1100" b="1"/>
            <a:t>2. Step:</a:t>
          </a:r>
          <a:r>
            <a:rPr lang="en-GB" sz="1100"/>
            <a:t>	Adapt the criteria according to which the ECLSS subsystems are assembled</a:t>
          </a:r>
          <a:r>
            <a:rPr lang="en-GB" sz="1100" baseline="0"/>
            <a:t>.</a:t>
          </a:r>
          <a:br>
            <a:rPr lang="en-GB" sz="1100" baseline="0"/>
          </a:br>
          <a:r>
            <a:rPr lang="en-GB" sz="1100" baseline="0"/>
            <a:t>	</a:t>
          </a:r>
          <a:r>
            <a:rPr lang="en-GB" sz="1100"/>
            <a:t>Choose desired assembly function.</a:t>
          </a:r>
        </a:p>
        <a:p>
          <a:pPr marL="171450" indent="-171450">
            <a:buFont typeface="Arial" panose="020B0604020202020204" pitchFamily="34" charset="0"/>
            <a:buChar char="•"/>
          </a:pPr>
          <a:r>
            <a:rPr lang="en-GB" sz="1100" b="1"/>
            <a:t>3. Step:</a:t>
          </a:r>
          <a:r>
            <a:rPr lang="en-GB" sz="1100"/>
            <a:t>	Define</a:t>
          </a:r>
          <a:r>
            <a:rPr lang="en-GB" sz="1100" baseline="0"/>
            <a:t> ESM factors for the ESM Analysis.</a:t>
          </a:r>
        </a:p>
        <a:p>
          <a:pPr marL="171450" indent="-171450">
            <a:buFont typeface="Arial" panose="020B0604020202020204" pitchFamily="34" charset="0"/>
            <a:buChar char="•"/>
          </a:pPr>
          <a:r>
            <a:rPr lang="en-GB" sz="1100" b="1" baseline="0"/>
            <a:t>4. Step:</a:t>
          </a:r>
          <a:r>
            <a:rPr lang="en-GB" sz="1100" baseline="0"/>
            <a:t>	Select additional filter options if desired.</a:t>
          </a:r>
        </a:p>
        <a:p>
          <a:pPr marL="171450" indent="-171450">
            <a:buFont typeface="Arial" panose="020B0604020202020204" pitchFamily="34" charset="0"/>
            <a:buChar char="•"/>
          </a:pPr>
          <a:r>
            <a:rPr lang="en-GB" sz="1100" b="1" baseline="0"/>
            <a:t>5. Step:</a:t>
          </a:r>
          <a:r>
            <a:rPr lang="en-GB" sz="1100" baseline="0"/>
            <a:t>	Execute "Calculate System Properties ".</a:t>
          </a:r>
        </a:p>
        <a:p>
          <a:pPr marL="171450" indent="-171450">
            <a:buFont typeface="Arial" panose="020B0604020202020204" pitchFamily="34" charset="0"/>
            <a:buChar char="•"/>
          </a:pPr>
          <a:r>
            <a:rPr lang="en-GB" sz="1100" b="1" baseline="0"/>
            <a:t>6. Step:</a:t>
          </a:r>
          <a:r>
            <a:rPr lang="en-GB" sz="1100" baseline="0"/>
            <a:t>	Execute "Perform MCA/ESM" Makro".</a:t>
          </a:r>
        </a:p>
        <a:p>
          <a:pPr marL="171450" indent="-171450">
            <a:buFont typeface="Arial" panose="020B0604020202020204" pitchFamily="34" charset="0"/>
            <a:buChar char="•"/>
          </a:pPr>
          <a:r>
            <a:rPr lang="en-GB" sz="1100" baseline="0"/>
            <a:t>Changes to Parameters of individual technologies can be done in the technology sheet! Values there are per 1 human</a:t>
          </a:r>
          <a:br>
            <a:rPr lang="en-GB" sz="1100"/>
          </a:br>
          <a:endParaRPr lang="en-GB" sz="1100"/>
        </a:p>
      </xdr:txBody>
    </xdr:sp>
    <xdr:clientData/>
  </xdr:twoCellAnchor>
  <xdr:twoCellAnchor>
    <xdr:from>
      <xdr:col>2</xdr:col>
      <xdr:colOff>891540</xdr:colOff>
      <xdr:row>22</xdr:row>
      <xdr:rowOff>137160</xdr:rowOff>
    </xdr:from>
    <xdr:to>
      <xdr:col>4</xdr:col>
      <xdr:colOff>487680</xdr:colOff>
      <xdr:row>26</xdr:row>
      <xdr:rowOff>167640</xdr:rowOff>
    </xdr:to>
    <xdr:sp macro="" textlink="">
      <xdr:nvSpPr>
        <xdr:cNvPr id="3" name="Textfeld 2">
          <a:extLst>
            <a:ext uri="{FF2B5EF4-FFF2-40B4-BE49-F238E27FC236}">
              <a16:creationId xmlns:a16="http://schemas.microsoft.com/office/drawing/2014/main" id="{00000000-0008-0000-0000-000003000000}"/>
            </a:ext>
          </a:extLst>
        </xdr:cNvPr>
        <xdr:cNvSpPr txBox="1"/>
      </xdr:nvSpPr>
      <xdr:spPr>
        <a:xfrm>
          <a:off x="2758440" y="5478780"/>
          <a:ext cx="1402080" cy="784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GB" sz="1100"/>
            <a:t>Exclude Alternatives with partially missing Information from MCA?</a:t>
          </a:r>
        </a:p>
      </xdr:txBody>
    </xdr:sp>
    <xdr:clientData/>
  </xdr:twoCellAnchor>
  <mc:AlternateContent xmlns:mc="http://schemas.openxmlformats.org/markup-compatibility/2006">
    <mc:Choice xmlns:a14="http://schemas.microsoft.com/office/drawing/2010/main" Requires="a14">
      <xdr:twoCellAnchor>
        <xdr:from>
          <xdr:col>12</xdr:col>
          <xdr:colOff>1949450</xdr:colOff>
          <xdr:row>14</xdr:row>
          <xdr:rowOff>25400</xdr:rowOff>
        </xdr:from>
        <xdr:to>
          <xdr:col>12</xdr:col>
          <xdr:colOff>3346450</xdr:colOff>
          <xdr:row>17</xdr:row>
          <xdr:rowOff>44450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Perform MCA/ESM</a:t>
              </a:r>
            </a:p>
          </xdr:txBody>
        </xdr:sp>
        <xdr:clientData fPrintsWithSheet="0"/>
      </xdr:twoCellAnchor>
    </mc:Choice>
    <mc:Fallback/>
  </mc:AlternateContent>
  <xdr:twoCellAnchor>
    <xdr:from>
      <xdr:col>2</xdr:col>
      <xdr:colOff>891540</xdr:colOff>
      <xdr:row>29</xdr:row>
      <xdr:rowOff>160020</xdr:rowOff>
    </xdr:from>
    <xdr:to>
      <xdr:col>4</xdr:col>
      <xdr:colOff>518160</xdr:colOff>
      <xdr:row>32</xdr:row>
      <xdr:rowOff>114300</xdr:rowOff>
    </xdr:to>
    <xdr:sp macro="" textlink="">
      <xdr:nvSpPr>
        <xdr:cNvPr id="5" name="Textfeld 4">
          <a:extLst>
            <a:ext uri="{FF2B5EF4-FFF2-40B4-BE49-F238E27FC236}">
              <a16:creationId xmlns:a16="http://schemas.microsoft.com/office/drawing/2014/main" id="{00000000-0008-0000-0000-000005000000}"/>
            </a:ext>
          </a:extLst>
        </xdr:cNvPr>
        <xdr:cNvSpPr txBox="1"/>
      </xdr:nvSpPr>
      <xdr:spPr>
        <a:xfrm>
          <a:off x="2758440" y="6736080"/>
          <a:ext cx="1432560" cy="502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Reliability Calculation Approach</a:t>
          </a:r>
        </a:p>
      </xdr:txBody>
    </xdr:sp>
    <xdr:clientData/>
  </xdr:twoCellAnchor>
  <mc:AlternateContent xmlns:mc="http://schemas.openxmlformats.org/markup-compatibility/2006">
    <mc:Choice xmlns:a14="http://schemas.microsoft.com/office/drawing/2010/main" Requires="a14">
      <xdr:twoCellAnchor>
        <xdr:from>
          <xdr:col>12</xdr:col>
          <xdr:colOff>31750</xdr:colOff>
          <xdr:row>14</xdr:row>
          <xdr:rowOff>25400</xdr:rowOff>
        </xdr:from>
        <xdr:to>
          <xdr:col>12</xdr:col>
          <xdr:colOff>1790700</xdr:colOff>
          <xdr:row>17</xdr:row>
          <xdr:rowOff>44450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Calculate System Properties</a:t>
              </a:r>
            </a:p>
          </xdr:txBody>
        </xdr:sp>
        <xdr:clientData fPrintsWithSheet="0"/>
      </xdr:twoCellAnchor>
    </mc:Choice>
    <mc:Fallback/>
  </mc:AlternateContent>
  <xdr:twoCellAnchor>
    <xdr:from>
      <xdr:col>6</xdr:col>
      <xdr:colOff>182880</xdr:colOff>
      <xdr:row>29</xdr:row>
      <xdr:rowOff>160020</xdr:rowOff>
    </xdr:from>
    <xdr:to>
      <xdr:col>8</xdr:col>
      <xdr:colOff>19050</xdr:colOff>
      <xdr:row>31</xdr:row>
      <xdr:rowOff>53340</xdr:rowOff>
    </xdr:to>
    <xdr:sp macro="" textlink="">
      <xdr:nvSpPr>
        <xdr:cNvPr id="9" name="Textfeld 8">
          <a:extLst>
            <a:ext uri="{FF2B5EF4-FFF2-40B4-BE49-F238E27FC236}">
              <a16:creationId xmlns:a16="http://schemas.microsoft.com/office/drawing/2014/main" id="{00000000-0008-0000-0000-000009000000}"/>
            </a:ext>
          </a:extLst>
        </xdr:cNvPr>
        <xdr:cNvSpPr txBox="1"/>
      </xdr:nvSpPr>
      <xdr:spPr>
        <a:xfrm>
          <a:off x="5307330" y="7341870"/>
          <a:ext cx="124587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Number of ORUs:</a:t>
          </a:r>
        </a:p>
      </xdr:txBody>
    </xdr:sp>
    <xdr:clientData/>
  </xdr:twoCellAnchor>
  <xdr:twoCellAnchor>
    <xdr:from>
      <xdr:col>6</xdr:col>
      <xdr:colOff>220980</xdr:colOff>
      <xdr:row>20</xdr:row>
      <xdr:rowOff>167640</xdr:rowOff>
    </xdr:from>
    <xdr:to>
      <xdr:col>7</xdr:col>
      <xdr:colOff>381000</xdr:colOff>
      <xdr:row>23</xdr:row>
      <xdr:rowOff>9525</xdr:rowOff>
    </xdr:to>
    <xdr:sp macro="" textlink="">
      <xdr:nvSpPr>
        <xdr:cNvPr id="10" name="Textfeld 9">
          <a:extLst>
            <a:ext uri="{FF2B5EF4-FFF2-40B4-BE49-F238E27FC236}">
              <a16:creationId xmlns:a16="http://schemas.microsoft.com/office/drawing/2014/main" id="{00000000-0008-0000-0000-00000A000000}"/>
            </a:ext>
          </a:extLst>
        </xdr:cNvPr>
        <xdr:cNvSpPr txBox="1"/>
      </xdr:nvSpPr>
      <xdr:spPr>
        <a:xfrm>
          <a:off x="5345430" y="5596890"/>
          <a:ext cx="1055370" cy="4229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Mass Margin:</a:t>
          </a:r>
        </a:p>
      </xdr:txBody>
    </xdr:sp>
    <xdr:clientData/>
  </xdr:twoCellAnchor>
  <mc:AlternateContent xmlns:mc="http://schemas.openxmlformats.org/markup-compatibility/2006">
    <mc:Choice xmlns:a14="http://schemas.microsoft.com/office/drawing/2010/main" Requires="a14">
      <xdr:twoCellAnchor>
        <xdr:from>
          <xdr:col>12</xdr:col>
          <xdr:colOff>0</xdr:colOff>
          <xdr:row>0</xdr:row>
          <xdr:rowOff>152400</xdr:rowOff>
        </xdr:from>
        <xdr:to>
          <xdr:col>12</xdr:col>
          <xdr:colOff>1720850</xdr:colOff>
          <xdr:row>2</xdr:row>
          <xdr:rowOff>114300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User's Guide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54</xdr:row>
          <xdr:rowOff>6350</xdr:rowOff>
        </xdr:from>
        <xdr:to>
          <xdr:col>1</xdr:col>
          <xdr:colOff>304800</xdr:colOff>
          <xdr:row>56</xdr:row>
          <xdr:rowOff>6350</xdr:rowOff>
        </xdr:to>
        <xdr:sp macro="" textlink="">
          <xdr:nvSpPr>
            <xdr:cNvPr id="51814" name="Compose Schedule" hidden="1">
              <a:extLst>
                <a:ext uri="{63B3BB69-23CF-44E3-9099-C40C66FF867C}">
                  <a14:compatExt spid="_x0000_s51814"/>
                </a:ext>
                <a:ext uri="{FF2B5EF4-FFF2-40B4-BE49-F238E27FC236}">
                  <a16:creationId xmlns:a16="http://schemas.microsoft.com/office/drawing/2014/main" id="{00000000-0008-0000-0300-000066CA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Compose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330200</xdr:colOff>
          <xdr:row>54</xdr:row>
          <xdr:rowOff>6350</xdr:rowOff>
        </xdr:from>
        <xdr:to>
          <xdr:col>2</xdr:col>
          <xdr:colOff>635000</xdr:colOff>
          <xdr:row>56</xdr:row>
          <xdr:rowOff>6350</xdr:rowOff>
        </xdr:to>
        <xdr:sp macro="" textlink="">
          <xdr:nvSpPr>
            <xdr:cNvPr id="79835" name="Check Schedule" hidden="1">
              <a:extLst>
                <a:ext uri="{63B3BB69-23CF-44E3-9099-C40C66FF867C}">
                  <a14:compatExt spid="_x0000_s79835"/>
                </a:ext>
                <a:ext uri="{FF2B5EF4-FFF2-40B4-BE49-F238E27FC236}">
                  <a16:creationId xmlns:a16="http://schemas.microsoft.com/office/drawing/2014/main" id="{00000000-0008-0000-0300-0000DB37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Check Schedule</a:t>
              </a:r>
            </a:p>
          </xdr:txBody>
        </xdr:sp>
        <xdr:clientData fPrintsWithSheet="0"/>
      </xdr:twoCellAnchor>
    </mc:Choice>
    <mc:Fallback/>
  </mc:AlternateContent>
  <xdr:twoCellAnchor>
    <xdr:from>
      <xdr:col>5</xdr:col>
      <xdr:colOff>701040</xdr:colOff>
      <xdr:row>0</xdr:row>
      <xdr:rowOff>266700</xdr:rowOff>
    </xdr:from>
    <xdr:to>
      <xdr:col>7</xdr:col>
      <xdr:colOff>304800</xdr:colOff>
      <xdr:row>0</xdr:row>
      <xdr:rowOff>609600</xdr:rowOff>
    </xdr:to>
    <xdr:sp macro="" textlink="">
      <xdr:nvSpPr>
        <xdr:cNvPr id="2" name="Textfeld 1">
          <a:extLst>
            <a:ext uri="{FF2B5EF4-FFF2-40B4-BE49-F238E27FC236}">
              <a16:creationId xmlns:a16="http://schemas.microsoft.com/office/drawing/2014/main" id="{00000000-0008-0000-0300-000002000000}"/>
            </a:ext>
          </a:extLst>
        </xdr:cNvPr>
        <xdr:cNvSpPr txBox="1"/>
      </xdr:nvSpPr>
      <xdr:spPr>
        <a:xfrm>
          <a:off x="5897880" y="266700"/>
          <a:ext cx="1645920" cy="3429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Default Schedule</a:t>
          </a:r>
        </a:p>
      </xdr:txBody>
    </xdr:sp>
    <xdr:clientData/>
  </xdr:twoCellAnchor>
  <mc:AlternateContent xmlns:mc="http://schemas.openxmlformats.org/markup-compatibility/2006">
    <mc:Choice xmlns:a14="http://schemas.microsoft.com/office/drawing/2010/main" Requires="a14">
      <xdr:twoCellAnchor>
        <xdr:from>
          <xdr:col>12</xdr:col>
          <xdr:colOff>419100</xdr:colOff>
          <xdr:row>0</xdr:row>
          <xdr:rowOff>222250</xdr:rowOff>
        </xdr:from>
        <xdr:to>
          <xdr:col>12</xdr:col>
          <xdr:colOff>1562100</xdr:colOff>
          <xdr:row>0</xdr:row>
          <xdr:rowOff>596900</xdr:rowOff>
        </xdr:to>
        <xdr:sp macro="" textlink="">
          <xdr:nvSpPr>
            <xdr:cNvPr id="81837" name="Information_schedule" hidden="1">
              <a:extLst>
                <a:ext uri="{63B3BB69-23CF-44E3-9099-C40C66FF867C}">
                  <a14:compatExt spid="_x0000_s81837"/>
                </a:ext>
                <a:ext uri="{FF2B5EF4-FFF2-40B4-BE49-F238E27FC236}">
                  <a16:creationId xmlns:a16="http://schemas.microsoft.com/office/drawing/2014/main" id="{00000000-0008-0000-0300-0000AD3F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901700</xdr:colOff>
          <xdr:row>124</xdr:row>
          <xdr:rowOff>63500</xdr:rowOff>
        </xdr:from>
        <xdr:to>
          <xdr:col>3</xdr:col>
          <xdr:colOff>184150</xdr:colOff>
          <xdr:row>126</xdr:row>
          <xdr:rowOff>63500</xdr:rowOff>
        </xdr:to>
        <xdr:sp macro="" textlink="">
          <xdr:nvSpPr>
            <xdr:cNvPr id="87305" name="Check Inputs" hidden="1">
              <a:extLst>
                <a:ext uri="{63B3BB69-23CF-44E3-9099-C40C66FF867C}">
                  <a14:compatExt spid="_x0000_s87305"/>
                </a:ext>
                <a:ext uri="{FF2B5EF4-FFF2-40B4-BE49-F238E27FC236}">
                  <a16:creationId xmlns:a16="http://schemas.microsoft.com/office/drawing/2014/main" id="{00000000-0008-0000-0300-0000095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Check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266700</xdr:colOff>
          <xdr:row>54</xdr:row>
          <xdr:rowOff>6350</xdr:rowOff>
        </xdr:from>
        <xdr:to>
          <xdr:col>5</xdr:col>
          <xdr:colOff>387350</xdr:colOff>
          <xdr:row>56</xdr:row>
          <xdr:rowOff>6350</xdr:rowOff>
        </xdr:to>
        <xdr:sp macro="" textlink="">
          <xdr:nvSpPr>
            <xdr:cNvPr id="103256" name="Information_schedule" hidden="1">
              <a:extLst>
                <a:ext uri="{63B3BB69-23CF-44E3-9099-C40C66FF867C}">
                  <a14:compatExt spid="_x0000_s103256"/>
                </a:ext>
                <a:ext uri="{FF2B5EF4-FFF2-40B4-BE49-F238E27FC236}">
                  <a16:creationId xmlns:a16="http://schemas.microsoft.com/office/drawing/2014/main" id="{00000000-0008-0000-0300-00005893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647700</xdr:colOff>
          <xdr:row>54</xdr:row>
          <xdr:rowOff>6350</xdr:rowOff>
        </xdr:from>
        <xdr:to>
          <xdr:col>4</xdr:col>
          <xdr:colOff>254000</xdr:colOff>
          <xdr:row>56</xdr:row>
          <xdr:rowOff>6350</xdr:rowOff>
        </xdr:to>
        <xdr:sp macro="" textlink="">
          <xdr:nvSpPr>
            <xdr:cNvPr id="103257" name="Button 16217" hidden="1">
              <a:extLst>
                <a:ext uri="{63B3BB69-23CF-44E3-9099-C40C66FF867C}">
                  <a14:compatExt spid="_x0000_s103257"/>
                </a:ext>
                <a:ext uri="{FF2B5EF4-FFF2-40B4-BE49-F238E27FC236}">
                  <a16:creationId xmlns:a16="http://schemas.microsoft.com/office/drawing/2014/main" id="{00000000-0008-0000-0300-00005993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Calculate Metabolics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3054350</xdr:colOff>
          <xdr:row>2</xdr:row>
          <xdr:rowOff>406400</xdr:rowOff>
        </xdr:from>
        <xdr:to>
          <xdr:col>0</xdr:col>
          <xdr:colOff>5124450</xdr:colOff>
          <xdr:row>2</xdr:row>
          <xdr:rowOff>603250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Sort by MCA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3054350</xdr:colOff>
          <xdr:row>1</xdr:row>
          <xdr:rowOff>88900</xdr:rowOff>
        </xdr:from>
        <xdr:to>
          <xdr:col>0</xdr:col>
          <xdr:colOff>5124450</xdr:colOff>
          <xdr:row>2</xdr:row>
          <xdr:rowOff>107950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Perform Sensitivity Analysis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3054350</xdr:colOff>
          <xdr:row>0</xdr:row>
          <xdr:rowOff>38100</xdr:rowOff>
        </xdr:from>
        <xdr:to>
          <xdr:col>0</xdr:col>
          <xdr:colOff>5124450</xdr:colOff>
          <xdr:row>1</xdr:row>
          <xdr:rowOff>38100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400-000004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en-GB" sz="1100" b="0" i="0" u="none" strike="noStrike" baseline="0">
                  <a:solidFill>
                    <a:srgbClr val="000000"/>
                  </a:solidFill>
                  <a:latin typeface="Calibri"/>
                  <a:ea typeface="Calibri"/>
                  <a:cs typeface="Calibri"/>
                </a:rPr>
                <a:t>Set Values back to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3054350</xdr:colOff>
          <xdr:row>2</xdr:row>
          <xdr:rowOff>158750</xdr:rowOff>
        </xdr:from>
        <xdr:to>
          <xdr:col>0</xdr:col>
          <xdr:colOff>5124450</xdr:colOff>
          <xdr:row>2</xdr:row>
          <xdr:rowOff>355600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400-00000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Sort by ESM w/o 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3054350</xdr:colOff>
          <xdr:row>2</xdr:row>
          <xdr:rowOff>654050</xdr:rowOff>
        </xdr:from>
        <xdr:to>
          <xdr:col>0</xdr:col>
          <xdr:colOff>5124450</xdr:colOff>
          <xdr:row>2</xdr:row>
          <xdr:rowOff>857250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400-000006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Sort by ESM Rank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3054350</xdr:colOff>
          <xdr:row>2</xdr:row>
          <xdr:rowOff>908050</xdr:rowOff>
        </xdr:from>
        <xdr:to>
          <xdr:col>0</xdr:col>
          <xdr:colOff>5124450</xdr:colOff>
          <xdr:row>2</xdr:row>
          <xdr:rowOff>1104900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400-000008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Exclude Alternative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6350</xdr:colOff>
          <xdr:row>2</xdr:row>
          <xdr:rowOff>615950</xdr:rowOff>
        </xdr:from>
        <xdr:to>
          <xdr:col>0</xdr:col>
          <xdr:colOff>2438400</xdr:colOff>
          <xdr:row>2</xdr:row>
          <xdr:rowOff>1104900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400-000009100000}"/>
                </a:ext>
              </a:extLst>
            </xdr:cNvPr>
            <xdr:cNvSpPr/>
          </xdr:nvSpPr>
          <xdr:spPr bwMode="auto">
            <a:xfrm>
              <a:off x="0" y="0"/>
              <a:ext cx="0" cy="0"/>
            </a:xfrm>
            <a:prstGeom prst="rect">
              <a:avLst/>
            </a:prstGeom>
            <a:noFill/>
            <a:ln w="9525">
              <a:miter lim="800000"/>
              <a:headEnd/>
              <a:tailEnd/>
            </a:ln>
          </xdr:spPr>
          <xdr:txBody>
            <a:bodyPr vertOverflow="clip" wrap="square" lIns="90000" tIns="36000" rIns="90000" bIns="46800" anchor="ctr" upright="1"/>
            <a:lstStyle/>
            <a:p>
              <a:pPr algn="ctr" rtl="0">
                <a:defRPr sz="1000"/>
              </a:pPr>
              <a:r>
                <a:rPr lang="en-GB" sz="1100" b="0" i="0" u="none" strike="noStrike" baseline="0">
                  <a:solidFill>
                    <a:srgbClr val="000000"/>
                  </a:solidFill>
                  <a:latin typeface="Calibri"/>
                  <a:ea typeface="Calibri"/>
                  <a:cs typeface="Calibri"/>
                </a:rPr>
                <a:t>Check Attribute Criticality</a:t>
              </a:r>
            </a:p>
            <a:p>
              <a:pPr algn="ctr" rtl="0">
                <a:defRPr sz="1000"/>
              </a:pPr>
              <a:r>
                <a:rPr lang="en-GB" sz="1100" b="0" i="0" u="none" strike="noStrike" baseline="0">
                  <a:solidFill>
                    <a:srgbClr val="000000"/>
                  </a:solidFill>
                  <a:latin typeface="Calibri"/>
                  <a:ea typeface="Calibri"/>
                  <a:cs typeface="Calibri"/>
                </a:rPr>
                <a:t>(Long Calculation)</a:t>
              </a:r>
            </a:p>
          </xdr:txBody>
        </xdr:sp>
        <xdr:clientData fPrintsWithSheet="0"/>
      </xdr:twoCellAnchor>
    </mc:Choice>
    <mc:Fallback/>
  </mc:AlternateContent>
  <xdr:twoCellAnchor editAs="absolute">
    <xdr:from>
      <xdr:col>0</xdr:col>
      <xdr:colOff>4886325</xdr:colOff>
      <xdr:row>20</xdr:row>
      <xdr:rowOff>9525</xdr:rowOff>
    </xdr:from>
    <xdr:to>
      <xdr:col>8</xdr:col>
      <xdr:colOff>533400</xdr:colOff>
      <xdr:row>42</xdr:row>
      <xdr:rowOff>9525</xdr:rowOff>
    </xdr:to>
    <xdr:graphicFrame macro="">
      <xdr:nvGraphicFramePr>
        <xdr:cNvPr id="9" name="Relative Attribute Criticality">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0.03036</cdr:x>
      <cdr:y>0.83864</cdr:y>
    </cdr:from>
    <cdr:to>
      <cdr:x>0.99464</cdr:x>
      <cdr:y>0.99771</cdr:y>
    </cdr:to>
    <cdr:sp macro="" textlink="">
      <cdr:nvSpPr>
        <cdr:cNvPr id="2" name="Textfeld 1">
          <a:extLst xmlns:a="http://schemas.openxmlformats.org/drawingml/2006/main">
            <a:ext uri="{FF2B5EF4-FFF2-40B4-BE49-F238E27FC236}">
              <a16:creationId xmlns:a16="http://schemas.microsoft.com/office/drawing/2014/main" id="{D473CD6B-6EDD-4974-812A-8D9655E114C4}"/>
            </a:ext>
          </a:extLst>
        </cdr:cNvPr>
        <cdr:cNvSpPr txBox="1"/>
      </cdr:nvSpPr>
      <cdr:spPr>
        <a:xfrm xmlns:a="http://schemas.openxmlformats.org/drawingml/2006/main">
          <a:off x="161925" y="3514726"/>
          <a:ext cx="5143500" cy="66666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It is worth noting that the smaller the relative change of an attribute, the more critical this attribute is within the analysis! Values with 0 are ones where no change occured over the maximum number of iterations!</a:t>
          </a:r>
        </a:p>
      </cdr:txBody>
    </cdr:sp>
  </cdr:relSizeAnchor>
</c:userShapes>
</file>

<file path=xl/drawings/drawing5.xml><?xml version="1.0" encoding="utf-8"?>
<xdr:wsDr xmlns:xdr="http://schemas.openxmlformats.org/drawingml/2006/spreadsheetDrawing" xmlns:a="http://schemas.openxmlformats.org/drawingml/2006/main">
  <xdr:twoCellAnchor>
    <xdr:from>
      <xdr:col>4</xdr:col>
      <xdr:colOff>162088</xdr:colOff>
      <xdr:row>17</xdr:row>
      <xdr:rowOff>179294</xdr:rowOff>
    </xdr:from>
    <xdr:to>
      <xdr:col>22</xdr:col>
      <xdr:colOff>358588</xdr:colOff>
      <xdr:row>32</xdr:row>
      <xdr:rowOff>38660</xdr:rowOff>
    </xdr:to>
    <xdr:cxnSp macro="">
      <xdr:nvCxnSpPr>
        <xdr:cNvPr id="5" name="H2O_InediblePlantsToFiltration" hidden="1">
          <a:extLst>
            <a:ext uri="{FF2B5EF4-FFF2-40B4-BE49-F238E27FC236}">
              <a16:creationId xmlns:a16="http://schemas.microsoft.com/office/drawing/2014/main" id="{00000000-0008-0000-0500-000005000000}"/>
            </a:ext>
          </a:extLst>
        </xdr:cNvPr>
        <xdr:cNvCxnSpPr>
          <a:stCxn id="112" idx="2"/>
        </xdr:cNvCxnSpPr>
      </xdr:nvCxnSpPr>
      <xdr:spPr>
        <a:xfrm rot="16200000" flipH="1">
          <a:off x="4020005" y="1121977"/>
          <a:ext cx="2716866" cy="7283100"/>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213700</xdr:colOff>
      <xdr:row>7</xdr:row>
      <xdr:rowOff>0</xdr:rowOff>
    </xdr:from>
    <xdr:to>
      <xdr:col>27</xdr:col>
      <xdr:colOff>0</xdr:colOff>
      <xdr:row>7</xdr:row>
      <xdr:rowOff>182242</xdr:rowOff>
    </xdr:to>
    <xdr:sp macro="" textlink="">
      <xdr:nvSpPr>
        <xdr:cNvPr id="3" name="C_WW_hout">
          <a:extLst>
            <a:ext uri="{FF2B5EF4-FFF2-40B4-BE49-F238E27FC236}">
              <a16:creationId xmlns:a16="http://schemas.microsoft.com/office/drawing/2014/main" id="{00000000-0008-0000-0500-000003000000}"/>
            </a:ext>
          </a:extLst>
        </xdr:cNvPr>
        <xdr:cNvSpPr>
          <a:spLocks/>
        </xdr:cNvSpPr>
      </xdr:nvSpPr>
      <xdr:spPr>
        <a:xfrm>
          <a:off x="10449900" y="1320800"/>
          <a:ext cx="180000" cy="182242"/>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18</xdr:col>
      <xdr:colOff>0</xdr:colOff>
      <xdr:row>30</xdr:row>
      <xdr:rowOff>0</xdr:rowOff>
    </xdr:from>
    <xdr:to>
      <xdr:col>23</xdr:col>
      <xdr:colOff>700</xdr:colOff>
      <xdr:row>33</xdr:row>
      <xdr:rowOff>900</xdr:rowOff>
    </xdr:to>
    <xdr:sp macro="" textlink="">
      <xdr:nvSpPr>
        <xdr:cNvPr id="8206" name="WWFiltration">
          <a:extLst>
            <a:ext uri="{FF2B5EF4-FFF2-40B4-BE49-F238E27FC236}">
              <a16:creationId xmlns:a16="http://schemas.microsoft.com/office/drawing/2014/main" id="{00000000-0008-0000-0500-00000E200000}"/>
            </a:ext>
          </a:extLst>
        </xdr:cNvPr>
        <xdr:cNvSpPr txBox="1"/>
      </xdr:nvSpPr>
      <xdr:spPr>
        <a:xfrm>
          <a:off x="7086600"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WW Filtration</a:t>
          </a:r>
        </a:p>
      </xdr:txBody>
    </xdr:sp>
    <xdr:clientData/>
  </xdr:twoCellAnchor>
  <xdr:twoCellAnchor editAs="oneCell">
    <xdr:from>
      <xdr:col>9</xdr:col>
      <xdr:colOff>380673</xdr:colOff>
      <xdr:row>30</xdr:row>
      <xdr:rowOff>0</xdr:rowOff>
    </xdr:from>
    <xdr:to>
      <xdr:col>14</xdr:col>
      <xdr:colOff>381373</xdr:colOff>
      <xdr:row>33</xdr:row>
      <xdr:rowOff>900</xdr:rowOff>
    </xdr:to>
    <xdr:sp macro="" textlink="">
      <xdr:nvSpPr>
        <xdr:cNvPr id="52" name="UrineProcessing">
          <a:extLst>
            <a:ext uri="{FF2B5EF4-FFF2-40B4-BE49-F238E27FC236}">
              <a16:creationId xmlns:a16="http://schemas.microsoft.com/office/drawing/2014/main" id="{00000000-0008-0000-0500-000034000000}"/>
            </a:ext>
          </a:extLst>
        </xdr:cNvPr>
        <xdr:cNvSpPr txBox="1"/>
      </xdr:nvSpPr>
      <xdr:spPr>
        <a:xfrm>
          <a:off x="3923973"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Urine</a:t>
          </a:r>
          <a:r>
            <a:rPr lang="en-GB" sz="1100" baseline="0"/>
            <a:t> Processing</a:t>
          </a:r>
          <a:endParaRPr lang="en-GB" sz="1100"/>
        </a:p>
      </xdr:txBody>
    </xdr:sp>
    <xdr:clientData/>
  </xdr:twoCellAnchor>
  <xdr:twoCellAnchor editAs="oneCell">
    <xdr:from>
      <xdr:col>18</xdr:col>
      <xdr:colOff>0</xdr:colOff>
      <xdr:row>11</xdr:row>
      <xdr:rowOff>178679</xdr:rowOff>
    </xdr:from>
    <xdr:to>
      <xdr:col>23</xdr:col>
      <xdr:colOff>700</xdr:colOff>
      <xdr:row>14</xdr:row>
      <xdr:rowOff>179579</xdr:rowOff>
    </xdr:to>
    <xdr:sp macro="" textlink="">
      <xdr:nvSpPr>
        <xdr:cNvPr id="67" name="O2Storage">
          <a:extLst>
            <a:ext uri="{FF2B5EF4-FFF2-40B4-BE49-F238E27FC236}">
              <a16:creationId xmlns:a16="http://schemas.microsoft.com/office/drawing/2014/main" id="{00000000-0008-0000-0500-000043000000}"/>
            </a:ext>
          </a:extLst>
        </xdr:cNvPr>
        <xdr:cNvSpPr txBox="1"/>
      </xdr:nvSpPr>
      <xdr:spPr>
        <a:xfrm>
          <a:off x="7086600" y="2261479"/>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O</a:t>
          </a:r>
          <a:r>
            <a:rPr lang="en-GB" sz="1100" baseline="-25000"/>
            <a:t>2</a:t>
          </a:r>
          <a:r>
            <a:rPr lang="en-GB" sz="1100" baseline="0"/>
            <a:t> Storage</a:t>
          </a:r>
          <a:endParaRPr lang="en-GB" sz="1100"/>
        </a:p>
      </xdr:txBody>
    </xdr:sp>
    <xdr:clientData/>
  </xdr:twoCellAnchor>
  <xdr:twoCellAnchor editAs="oneCell">
    <xdr:from>
      <xdr:col>24</xdr:col>
      <xdr:colOff>84838</xdr:colOff>
      <xdr:row>17</xdr:row>
      <xdr:rowOff>177656</xdr:rowOff>
    </xdr:from>
    <xdr:to>
      <xdr:col>29</xdr:col>
      <xdr:colOff>85538</xdr:colOff>
      <xdr:row>20</xdr:row>
      <xdr:rowOff>178556</xdr:rowOff>
    </xdr:to>
    <xdr:sp macro="" textlink="">
      <xdr:nvSpPr>
        <xdr:cNvPr id="72" name="H2Storage">
          <a:extLst>
            <a:ext uri="{FF2B5EF4-FFF2-40B4-BE49-F238E27FC236}">
              <a16:creationId xmlns:a16="http://schemas.microsoft.com/office/drawing/2014/main" id="{00000000-0008-0000-0500-000048000000}"/>
            </a:ext>
          </a:extLst>
        </xdr:cNvPr>
        <xdr:cNvSpPr txBox="1"/>
      </xdr:nvSpPr>
      <xdr:spPr>
        <a:xfrm>
          <a:off x="9533638"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 Storage</a:t>
          </a:r>
        </a:p>
      </xdr:txBody>
    </xdr:sp>
    <xdr:clientData/>
  </xdr:twoCellAnchor>
  <xdr:twoCellAnchor editAs="oneCell">
    <xdr:from>
      <xdr:col>18</xdr:col>
      <xdr:colOff>0</xdr:colOff>
      <xdr:row>17</xdr:row>
      <xdr:rowOff>177656</xdr:rowOff>
    </xdr:from>
    <xdr:to>
      <xdr:col>23</xdr:col>
      <xdr:colOff>700</xdr:colOff>
      <xdr:row>20</xdr:row>
      <xdr:rowOff>178556</xdr:rowOff>
    </xdr:to>
    <xdr:sp macro="" textlink="">
      <xdr:nvSpPr>
        <xdr:cNvPr id="73" name="Electrolysis">
          <a:extLst>
            <a:ext uri="{FF2B5EF4-FFF2-40B4-BE49-F238E27FC236}">
              <a16:creationId xmlns:a16="http://schemas.microsoft.com/office/drawing/2014/main" id="{00000000-0008-0000-0500-000049000000}"/>
            </a:ext>
          </a:extLst>
        </xdr:cNvPr>
        <xdr:cNvSpPr txBox="1"/>
      </xdr:nvSpPr>
      <xdr:spPr>
        <a:xfrm>
          <a:off x="7086600" y="3403456"/>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Electrolysis</a:t>
          </a:r>
        </a:p>
      </xdr:txBody>
    </xdr:sp>
    <xdr:clientData/>
  </xdr:twoCellAnchor>
  <xdr:twoCellAnchor editAs="oneCell">
    <xdr:from>
      <xdr:col>12</xdr:col>
      <xdr:colOff>192709</xdr:colOff>
      <xdr:row>20</xdr:row>
      <xdr:rowOff>178679</xdr:rowOff>
    </xdr:from>
    <xdr:to>
      <xdr:col>12</xdr:col>
      <xdr:colOff>195379</xdr:colOff>
      <xdr:row>24</xdr:row>
      <xdr:rowOff>0</xdr:rowOff>
    </xdr:to>
    <xdr:cxnSp macro="">
      <xdr:nvCxnSpPr>
        <xdr:cNvPr id="75" name="CO2_ProdCrew">
          <a:extLst>
            <a:ext uri="{FF2B5EF4-FFF2-40B4-BE49-F238E27FC236}">
              <a16:creationId xmlns:a16="http://schemas.microsoft.com/office/drawing/2014/main" id="{00000000-0008-0000-0500-00004B000000}"/>
            </a:ext>
          </a:extLst>
        </xdr:cNvPr>
        <xdr:cNvCxnSpPr>
          <a:cxnSpLocks/>
          <a:stCxn id="503" idx="3"/>
          <a:endCxn id="225" idx="5"/>
        </xdr:cNvCxnSpPr>
      </xdr:nvCxnSpPr>
      <xdr:spPr>
        <a:xfrm flipV="1">
          <a:off x="4917109" y="3975979"/>
          <a:ext cx="2670" cy="583321"/>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0</xdr:colOff>
      <xdr:row>24</xdr:row>
      <xdr:rowOff>0</xdr:rowOff>
    </xdr:from>
    <xdr:to>
      <xdr:col>7</xdr:col>
      <xdr:colOff>0</xdr:colOff>
      <xdr:row>27</xdr:row>
      <xdr:rowOff>0</xdr:rowOff>
    </xdr:to>
    <xdr:sp macro="" textlink="">
      <xdr:nvSpPr>
        <xdr:cNvPr id="611" name="Food">
          <a:extLst>
            <a:ext uri="{FF2B5EF4-FFF2-40B4-BE49-F238E27FC236}">
              <a16:creationId xmlns:a16="http://schemas.microsoft.com/office/drawing/2014/main" id="{00000000-0008-0000-0500-000063020000}"/>
            </a:ext>
          </a:extLst>
        </xdr:cNvPr>
        <xdr:cNvSpPr txBox="1"/>
      </xdr:nvSpPr>
      <xdr:spPr>
        <a:xfrm>
          <a:off x="381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Food</a:t>
          </a:r>
        </a:p>
      </xdr:txBody>
    </xdr:sp>
    <xdr:clientData/>
  </xdr:twoCellAnchor>
  <xdr:twoCellAnchor editAs="oneCell">
    <xdr:from>
      <xdr:col>9</xdr:col>
      <xdr:colOff>380673</xdr:colOff>
      <xdr:row>11</xdr:row>
      <xdr:rowOff>178679</xdr:rowOff>
    </xdr:from>
    <xdr:to>
      <xdr:col>15</xdr:col>
      <xdr:colOff>157</xdr:colOff>
      <xdr:row>20</xdr:row>
      <xdr:rowOff>178679</xdr:rowOff>
    </xdr:to>
    <xdr:sp macro="" textlink="">
      <xdr:nvSpPr>
        <xdr:cNvPr id="225" name="Cabin">
          <a:extLst>
            <a:ext uri="{FF2B5EF4-FFF2-40B4-BE49-F238E27FC236}">
              <a16:creationId xmlns:a16="http://schemas.microsoft.com/office/drawing/2014/main" id="{00000000-0008-0000-0500-0000E1000000}"/>
            </a:ext>
          </a:extLst>
        </xdr:cNvPr>
        <xdr:cNvSpPr txBox="1"/>
      </xdr:nvSpPr>
      <xdr:spPr>
        <a:xfrm>
          <a:off x="3923973" y="2261479"/>
          <a:ext cx="1981684" cy="1714500"/>
        </a:xfrm>
        <a:custGeom>
          <a:avLst/>
          <a:gdLst>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90500 h 1714500"/>
            <a:gd name="connsiteX5" fmla="*/ 0 w 1905000"/>
            <a:gd name="connsiteY5"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384402 h 1714500"/>
            <a:gd name="connsiteX5" fmla="*/ 0 w 1905000"/>
            <a:gd name="connsiteY5" fmla="*/ 190500 h 1714500"/>
            <a:gd name="connsiteX6" fmla="*/ 0 w 1905000"/>
            <a:gd name="connsiteY6"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564696 h 1714500"/>
            <a:gd name="connsiteX5" fmla="*/ 0 w 1905000"/>
            <a:gd name="connsiteY5" fmla="*/ 384402 h 1714500"/>
            <a:gd name="connsiteX6" fmla="*/ 0 w 1905000"/>
            <a:gd name="connsiteY6" fmla="*/ 190500 h 1714500"/>
            <a:gd name="connsiteX7" fmla="*/ 0 w 1905000"/>
            <a:gd name="connsiteY7"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0 w 1908402"/>
            <a:gd name="connsiteY4" fmla="*/ 765402 h 1714500"/>
            <a:gd name="connsiteX5" fmla="*/ 3402 w 1908402"/>
            <a:gd name="connsiteY5" fmla="*/ 564696 h 1714500"/>
            <a:gd name="connsiteX6" fmla="*/ 3402 w 1908402"/>
            <a:gd name="connsiteY6" fmla="*/ 384402 h 1714500"/>
            <a:gd name="connsiteX7" fmla="*/ 3402 w 1908402"/>
            <a:gd name="connsiteY7" fmla="*/ 190500 h 1714500"/>
            <a:gd name="connsiteX8" fmla="*/ 3402 w 1908402"/>
            <a:gd name="connsiteY8"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955902 h 1714500"/>
            <a:gd name="connsiteX5" fmla="*/ 0 w 1908402"/>
            <a:gd name="connsiteY5" fmla="*/ 765402 h 1714500"/>
            <a:gd name="connsiteX6" fmla="*/ 3402 w 1908402"/>
            <a:gd name="connsiteY6" fmla="*/ 564696 h 1714500"/>
            <a:gd name="connsiteX7" fmla="*/ 3402 w 1908402"/>
            <a:gd name="connsiteY7" fmla="*/ 384402 h 1714500"/>
            <a:gd name="connsiteX8" fmla="*/ 3402 w 1908402"/>
            <a:gd name="connsiteY8" fmla="*/ 190500 h 1714500"/>
            <a:gd name="connsiteX9" fmla="*/ 3402 w 1908402"/>
            <a:gd name="connsiteY9"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955902 h 1714500"/>
            <a:gd name="connsiteX6" fmla="*/ 0 w 1908402"/>
            <a:gd name="connsiteY6" fmla="*/ 765402 h 1714500"/>
            <a:gd name="connsiteX7" fmla="*/ 3402 w 1908402"/>
            <a:gd name="connsiteY7" fmla="*/ 564696 h 1714500"/>
            <a:gd name="connsiteX8" fmla="*/ 3402 w 1908402"/>
            <a:gd name="connsiteY8" fmla="*/ 384402 h 1714500"/>
            <a:gd name="connsiteX9" fmla="*/ 3402 w 1908402"/>
            <a:gd name="connsiteY9" fmla="*/ 190500 h 1714500"/>
            <a:gd name="connsiteX10" fmla="*/ 3402 w 1908402"/>
            <a:gd name="connsiteY10"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146402 h 1714500"/>
            <a:gd name="connsiteX5" fmla="*/ 3402 w 1908402"/>
            <a:gd name="connsiteY5" fmla="*/ 1330098 h 1714500"/>
            <a:gd name="connsiteX6" fmla="*/ 3402 w 1908402"/>
            <a:gd name="connsiteY6" fmla="*/ 955902 h 1714500"/>
            <a:gd name="connsiteX7" fmla="*/ 0 w 1908402"/>
            <a:gd name="connsiteY7" fmla="*/ 765402 h 1714500"/>
            <a:gd name="connsiteX8" fmla="*/ 3402 w 1908402"/>
            <a:gd name="connsiteY8" fmla="*/ 564696 h 1714500"/>
            <a:gd name="connsiteX9" fmla="*/ 3402 w 1908402"/>
            <a:gd name="connsiteY9" fmla="*/ 384402 h 1714500"/>
            <a:gd name="connsiteX10" fmla="*/ 3402 w 1908402"/>
            <a:gd name="connsiteY10" fmla="*/ 190500 h 1714500"/>
            <a:gd name="connsiteX11" fmla="*/ 3402 w 1908402"/>
            <a:gd name="connsiteY11" fmla="*/ 0 h 1714500"/>
            <a:gd name="connsiteX0" fmla="*/ 3402 w 1908402"/>
            <a:gd name="connsiteY0" fmla="*/ 0 h 1714500"/>
            <a:gd name="connsiteX1" fmla="*/ 1908402 w 1908402"/>
            <a:gd name="connsiteY1" fmla="*/ 0 h 1714500"/>
            <a:gd name="connsiteX2" fmla="*/ 1908402 w 1908402"/>
            <a:gd name="connsiteY2" fmla="*/ 1714500 h 1714500"/>
            <a:gd name="connsiteX3" fmla="*/ 3402 w 1908402"/>
            <a:gd name="connsiteY3" fmla="*/ 1714500 h 1714500"/>
            <a:gd name="connsiteX4" fmla="*/ 3402 w 1908402"/>
            <a:gd name="connsiteY4" fmla="*/ 1517196 h 1714500"/>
            <a:gd name="connsiteX5" fmla="*/ 3402 w 1908402"/>
            <a:gd name="connsiteY5" fmla="*/ 1146402 h 1714500"/>
            <a:gd name="connsiteX6" fmla="*/ 3402 w 1908402"/>
            <a:gd name="connsiteY6" fmla="*/ 1330098 h 1714500"/>
            <a:gd name="connsiteX7" fmla="*/ 3402 w 1908402"/>
            <a:gd name="connsiteY7" fmla="*/ 955902 h 1714500"/>
            <a:gd name="connsiteX8" fmla="*/ 0 w 1908402"/>
            <a:gd name="connsiteY8" fmla="*/ 765402 h 1714500"/>
            <a:gd name="connsiteX9" fmla="*/ 3402 w 1908402"/>
            <a:gd name="connsiteY9" fmla="*/ 564696 h 1714500"/>
            <a:gd name="connsiteX10" fmla="*/ 3402 w 1908402"/>
            <a:gd name="connsiteY10" fmla="*/ 384402 h 1714500"/>
            <a:gd name="connsiteX11" fmla="*/ 3402 w 1908402"/>
            <a:gd name="connsiteY11" fmla="*/ 190500 h 1714500"/>
            <a:gd name="connsiteX12" fmla="*/ 3402 w 1908402"/>
            <a:gd name="connsiteY12" fmla="*/ 0 h 1714500"/>
            <a:gd name="connsiteX0" fmla="*/ 0 w 1905000"/>
            <a:gd name="connsiteY0" fmla="*/ 0 h 1714500"/>
            <a:gd name="connsiteX1" fmla="*/ 1905000 w 1905000"/>
            <a:gd name="connsiteY1" fmla="*/ 0 h 1714500"/>
            <a:gd name="connsiteX2" fmla="*/ 1905000 w 1905000"/>
            <a:gd name="connsiteY2" fmla="*/ 1714500 h 1714500"/>
            <a:gd name="connsiteX3" fmla="*/ 0 w 1905000"/>
            <a:gd name="connsiteY3" fmla="*/ 1714500 h 1714500"/>
            <a:gd name="connsiteX4" fmla="*/ 0 w 1905000"/>
            <a:gd name="connsiteY4" fmla="*/ 1517196 h 1714500"/>
            <a:gd name="connsiteX5" fmla="*/ 0 w 1905000"/>
            <a:gd name="connsiteY5" fmla="*/ 1146402 h 1714500"/>
            <a:gd name="connsiteX6" fmla="*/ 0 w 1905000"/>
            <a:gd name="connsiteY6" fmla="*/ 1330098 h 1714500"/>
            <a:gd name="connsiteX7" fmla="*/ 0 w 1905000"/>
            <a:gd name="connsiteY7" fmla="*/ 955902 h 1714500"/>
            <a:gd name="connsiteX8" fmla="*/ 6803 w 1905000"/>
            <a:gd name="connsiteY8" fmla="*/ 768804 h 1714500"/>
            <a:gd name="connsiteX9" fmla="*/ 0 w 1905000"/>
            <a:gd name="connsiteY9" fmla="*/ 564696 h 1714500"/>
            <a:gd name="connsiteX10" fmla="*/ 0 w 1905000"/>
            <a:gd name="connsiteY10" fmla="*/ 384402 h 1714500"/>
            <a:gd name="connsiteX11" fmla="*/ 0 w 1905000"/>
            <a:gd name="connsiteY11" fmla="*/ 190500 h 1714500"/>
            <a:gd name="connsiteX12" fmla="*/ 0 w 1905000"/>
            <a:gd name="connsiteY12" fmla="*/ 0 h 1714500"/>
            <a:gd name="connsiteX0" fmla="*/ 1 w 1905001"/>
            <a:gd name="connsiteY0" fmla="*/ 0 h 1714500"/>
            <a:gd name="connsiteX1" fmla="*/ 1905001 w 1905001"/>
            <a:gd name="connsiteY1" fmla="*/ 0 h 1714500"/>
            <a:gd name="connsiteX2" fmla="*/ 1905001 w 1905001"/>
            <a:gd name="connsiteY2" fmla="*/ 1714500 h 1714500"/>
            <a:gd name="connsiteX3" fmla="*/ 1 w 1905001"/>
            <a:gd name="connsiteY3" fmla="*/ 1714500 h 1714500"/>
            <a:gd name="connsiteX4" fmla="*/ 1 w 1905001"/>
            <a:gd name="connsiteY4" fmla="*/ 1517196 h 1714500"/>
            <a:gd name="connsiteX5" fmla="*/ 1 w 1905001"/>
            <a:gd name="connsiteY5" fmla="*/ 1146402 h 1714500"/>
            <a:gd name="connsiteX6" fmla="*/ 1 w 1905001"/>
            <a:gd name="connsiteY6" fmla="*/ 1330098 h 1714500"/>
            <a:gd name="connsiteX7" fmla="*/ 1 w 1905001"/>
            <a:gd name="connsiteY7" fmla="*/ 955902 h 1714500"/>
            <a:gd name="connsiteX8" fmla="*/ 0 w 1905001"/>
            <a:gd name="connsiteY8" fmla="*/ 768804 h 1714500"/>
            <a:gd name="connsiteX9" fmla="*/ 1 w 1905001"/>
            <a:gd name="connsiteY9" fmla="*/ 564696 h 1714500"/>
            <a:gd name="connsiteX10" fmla="*/ 1 w 1905001"/>
            <a:gd name="connsiteY10" fmla="*/ 384402 h 1714500"/>
            <a:gd name="connsiteX11" fmla="*/ 1 w 1905001"/>
            <a:gd name="connsiteY11" fmla="*/ 190500 h 1714500"/>
            <a:gd name="connsiteX12" fmla="*/ 1 w 1905001"/>
            <a:gd name="connsiteY12"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1 w 1905001"/>
            <a:gd name="connsiteY4" fmla="*/ 1714500 h 1714500"/>
            <a:gd name="connsiteX5" fmla="*/ 1 w 1905001"/>
            <a:gd name="connsiteY5" fmla="*/ 1517196 h 1714500"/>
            <a:gd name="connsiteX6" fmla="*/ 1 w 1905001"/>
            <a:gd name="connsiteY6" fmla="*/ 1146402 h 1714500"/>
            <a:gd name="connsiteX7" fmla="*/ 1 w 1905001"/>
            <a:gd name="connsiteY7" fmla="*/ 1330098 h 1714500"/>
            <a:gd name="connsiteX8" fmla="*/ 1 w 1905001"/>
            <a:gd name="connsiteY8" fmla="*/ 955902 h 1714500"/>
            <a:gd name="connsiteX9" fmla="*/ 0 w 1905001"/>
            <a:gd name="connsiteY9" fmla="*/ 768804 h 1714500"/>
            <a:gd name="connsiteX10" fmla="*/ 1 w 1905001"/>
            <a:gd name="connsiteY10" fmla="*/ 564696 h 1714500"/>
            <a:gd name="connsiteX11" fmla="*/ 1 w 1905001"/>
            <a:gd name="connsiteY11" fmla="*/ 384402 h 1714500"/>
            <a:gd name="connsiteX12" fmla="*/ 1 w 1905001"/>
            <a:gd name="connsiteY12" fmla="*/ 190500 h 1714500"/>
            <a:gd name="connsiteX13" fmla="*/ 1 w 1905001"/>
            <a:gd name="connsiteY13" fmla="*/ 0 h 1714500"/>
            <a:gd name="connsiteX0" fmla="*/ 1 w 1905001"/>
            <a:gd name="connsiteY0" fmla="*/ 0 h 1714500"/>
            <a:gd name="connsiteX1" fmla="*/ 937463 w 1905001"/>
            <a:gd name="connsiteY1" fmla="*/ 0 h 1714500"/>
            <a:gd name="connsiteX2" fmla="*/ 1905001 w 1905001"/>
            <a:gd name="connsiteY2" fmla="*/ 0 h 1714500"/>
            <a:gd name="connsiteX3" fmla="*/ 1905001 w 1905001"/>
            <a:gd name="connsiteY3" fmla="*/ 1714500 h 1714500"/>
            <a:gd name="connsiteX4" fmla="*/ 957515 w 1905001"/>
            <a:gd name="connsiteY4" fmla="*/ 1714500 h 1714500"/>
            <a:gd name="connsiteX5" fmla="*/ 1 w 1905001"/>
            <a:gd name="connsiteY5" fmla="*/ 1714500 h 1714500"/>
            <a:gd name="connsiteX6" fmla="*/ 1 w 1905001"/>
            <a:gd name="connsiteY6" fmla="*/ 1517196 h 1714500"/>
            <a:gd name="connsiteX7" fmla="*/ 1 w 1905001"/>
            <a:gd name="connsiteY7" fmla="*/ 1146402 h 1714500"/>
            <a:gd name="connsiteX8" fmla="*/ 1 w 1905001"/>
            <a:gd name="connsiteY8" fmla="*/ 1330098 h 1714500"/>
            <a:gd name="connsiteX9" fmla="*/ 1 w 1905001"/>
            <a:gd name="connsiteY9" fmla="*/ 955902 h 1714500"/>
            <a:gd name="connsiteX10" fmla="*/ 0 w 1905001"/>
            <a:gd name="connsiteY10" fmla="*/ 768804 h 1714500"/>
            <a:gd name="connsiteX11" fmla="*/ 1 w 1905001"/>
            <a:gd name="connsiteY11" fmla="*/ 564696 h 1714500"/>
            <a:gd name="connsiteX12" fmla="*/ 1 w 1905001"/>
            <a:gd name="connsiteY12" fmla="*/ 384402 h 1714500"/>
            <a:gd name="connsiteX13" fmla="*/ 1 w 1905001"/>
            <a:gd name="connsiteY13" fmla="*/ 190500 h 1714500"/>
            <a:gd name="connsiteX14" fmla="*/ 1 w 1905001"/>
            <a:gd name="connsiteY14"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001"/>
            <a:gd name="connsiteY0" fmla="*/ 0 h 1714500"/>
            <a:gd name="connsiteX1" fmla="*/ 937463 w 1905001"/>
            <a:gd name="connsiteY1" fmla="*/ 0 h 1714500"/>
            <a:gd name="connsiteX2" fmla="*/ 1905001 w 1905001"/>
            <a:gd name="connsiteY2" fmla="*/ 0 h 1714500"/>
            <a:gd name="connsiteX3" fmla="*/ 1899989 w 1905001"/>
            <a:gd name="connsiteY3" fmla="*/ 285750 h 1714500"/>
            <a:gd name="connsiteX4" fmla="*/ 1905001 w 1905001"/>
            <a:gd name="connsiteY4" fmla="*/ 1714500 h 1714500"/>
            <a:gd name="connsiteX5" fmla="*/ 957515 w 1905001"/>
            <a:gd name="connsiteY5" fmla="*/ 1714500 h 1714500"/>
            <a:gd name="connsiteX6" fmla="*/ 1 w 1905001"/>
            <a:gd name="connsiteY6" fmla="*/ 1714500 h 1714500"/>
            <a:gd name="connsiteX7" fmla="*/ 1 w 1905001"/>
            <a:gd name="connsiteY7" fmla="*/ 1517196 h 1714500"/>
            <a:gd name="connsiteX8" fmla="*/ 1 w 1905001"/>
            <a:gd name="connsiteY8" fmla="*/ 1146402 h 1714500"/>
            <a:gd name="connsiteX9" fmla="*/ 1 w 1905001"/>
            <a:gd name="connsiteY9" fmla="*/ 1330098 h 1714500"/>
            <a:gd name="connsiteX10" fmla="*/ 1 w 1905001"/>
            <a:gd name="connsiteY10" fmla="*/ 955902 h 1714500"/>
            <a:gd name="connsiteX11" fmla="*/ 0 w 1905001"/>
            <a:gd name="connsiteY11" fmla="*/ 768804 h 1714500"/>
            <a:gd name="connsiteX12" fmla="*/ 1 w 1905001"/>
            <a:gd name="connsiteY12" fmla="*/ 564696 h 1714500"/>
            <a:gd name="connsiteX13" fmla="*/ 1 w 1905001"/>
            <a:gd name="connsiteY13" fmla="*/ 384402 h 1714500"/>
            <a:gd name="connsiteX14" fmla="*/ 1 w 1905001"/>
            <a:gd name="connsiteY14" fmla="*/ 190500 h 1714500"/>
            <a:gd name="connsiteX15" fmla="*/ 1 w 1905001"/>
            <a:gd name="connsiteY15" fmla="*/ 0 h 1714500"/>
            <a:gd name="connsiteX0" fmla="*/ 1 w 1905484"/>
            <a:gd name="connsiteY0" fmla="*/ 0 h 1714500"/>
            <a:gd name="connsiteX1" fmla="*/ 937463 w 1905484"/>
            <a:gd name="connsiteY1" fmla="*/ 0 h 1714500"/>
            <a:gd name="connsiteX2" fmla="*/ 1905001 w 1905484"/>
            <a:gd name="connsiteY2" fmla="*/ 0 h 1714500"/>
            <a:gd name="connsiteX3" fmla="*/ 1905002 w 1905484"/>
            <a:gd name="connsiteY3" fmla="*/ 280737 h 1714500"/>
            <a:gd name="connsiteX4" fmla="*/ 1905001 w 1905484"/>
            <a:gd name="connsiteY4" fmla="*/ 1714500 h 1714500"/>
            <a:gd name="connsiteX5" fmla="*/ 957515 w 1905484"/>
            <a:gd name="connsiteY5" fmla="*/ 1714500 h 1714500"/>
            <a:gd name="connsiteX6" fmla="*/ 1 w 1905484"/>
            <a:gd name="connsiteY6" fmla="*/ 1714500 h 1714500"/>
            <a:gd name="connsiteX7" fmla="*/ 1 w 1905484"/>
            <a:gd name="connsiteY7" fmla="*/ 1517196 h 1714500"/>
            <a:gd name="connsiteX8" fmla="*/ 1 w 1905484"/>
            <a:gd name="connsiteY8" fmla="*/ 1146402 h 1714500"/>
            <a:gd name="connsiteX9" fmla="*/ 1 w 1905484"/>
            <a:gd name="connsiteY9" fmla="*/ 1330098 h 1714500"/>
            <a:gd name="connsiteX10" fmla="*/ 1 w 1905484"/>
            <a:gd name="connsiteY10" fmla="*/ 955902 h 1714500"/>
            <a:gd name="connsiteX11" fmla="*/ 0 w 1905484"/>
            <a:gd name="connsiteY11" fmla="*/ 768804 h 1714500"/>
            <a:gd name="connsiteX12" fmla="*/ 1 w 1905484"/>
            <a:gd name="connsiteY12" fmla="*/ 564696 h 1714500"/>
            <a:gd name="connsiteX13" fmla="*/ 1 w 1905484"/>
            <a:gd name="connsiteY13" fmla="*/ 384402 h 1714500"/>
            <a:gd name="connsiteX14" fmla="*/ 1 w 1905484"/>
            <a:gd name="connsiteY14" fmla="*/ 190500 h 1714500"/>
            <a:gd name="connsiteX15" fmla="*/ 1 w 1905484"/>
            <a:gd name="connsiteY15" fmla="*/ 0 h 1714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Lst>
          <a:rect l="l" t="t" r="r" b="b"/>
          <a:pathLst>
            <a:path w="1905484" h="1714500">
              <a:moveTo>
                <a:pt x="1" y="0"/>
              </a:moveTo>
              <a:lnTo>
                <a:pt x="937463" y="0"/>
              </a:lnTo>
              <a:lnTo>
                <a:pt x="1905001" y="0"/>
              </a:lnTo>
              <a:cubicBezTo>
                <a:pt x="1903330" y="95250"/>
                <a:pt x="1906673" y="185487"/>
                <a:pt x="1905002" y="280737"/>
              </a:cubicBezTo>
              <a:cubicBezTo>
                <a:pt x="1906673" y="756987"/>
                <a:pt x="1903330" y="1238250"/>
                <a:pt x="1905001" y="1714500"/>
              </a:cubicBezTo>
              <a:lnTo>
                <a:pt x="957515" y="1714500"/>
              </a:lnTo>
              <a:lnTo>
                <a:pt x="1" y="1714500"/>
              </a:lnTo>
              <a:lnTo>
                <a:pt x="1" y="1517196"/>
              </a:lnTo>
              <a:lnTo>
                <a:pt x="1" y="1146402"/>
              </a:lnTo>
              <a:lnTo>
                <a:pt x="1" y="1330098"/>
              </a:lnTo>
              <a:lnTo>
                <a:pt x="1" y="955902"/>
              </a:lnTo>
              <a:cubicBezTo>
                <a:pt x="1" y="893536"/>
                <a:pt x="0" y="831170"/>
                <a:pt x="0" y="768804"/>
              </a:cubicBezTo>
              <a:cubicBezTo>
                <a:pt x="0" y="700768"/>
                <a:pt x="1" y="632732"/>
                <a:pt x="1" y="564696"/>
              </a:cubicBezTo>
              <a:lnTo>
                <a:pt x="1" y="384402"/>
              </a:lnTo>
              <a:lnTo>
                <a:pt x="1" y="190500"/>
              </a:lnTo>
              <a:lnTo>
                <a:pt x="1" y="0"/>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Cabin</a:t>
          </a:r>
        </a:p>
      </xdr:txBody>
    </xdr:sp>
    <xdr:clientData/>
  </xdr:twoCellAnchor>
  <xdr:twoCellAnchor editAs="oneCell">
    <xdr:from>
      <xdr:col>17</xdr:col>
      <xdr:colOff>391462</xdr:colOff>
      <xdr:row>5</xdr:row>
      <xdr:rowOff>179294</xdr:rowOff>
    </xdr:from>
    <xdr:to>
      <xdr:col>22</xdr:col>
      <xdr:colOff>392162</xdr:colOff>
      <xdr:row>8</xdr:row>
      <xdr:rowOff>180194</xdr:rowOff>
    </xdr:to>
    <xdr:sp macro="" textlink="">
      <xdr:nvSpPr>
        <xdr:cNvPr id="56" name="CO2Removal">
          <a:extLst>
            <a:ext uri="{FF2B5EF4-FFF2-40B4-BE49-F238E27FC236}">
              <a16:creationId xmlns:a16="http://schemas.microsoft.com/office/drawing/2014/main" id="{00000000-0008-0000-0500-000038000000}"/>
            </a:ext>
          </a:extLst>
        </xdr:cNvPr>
        <xdr:cNvSpPr txBox="1"/>
      </xdr:nvSpPr>
      <xdr:spPr>
        <a:xfrm>
          <a:off x="7084362"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Removal</a:t>
          </a:r>
        </a:p>
      </xdr:txBody>
    </xdr:sp>
    <xdr:clientData/>
  </xdr:twoCellAnchor>
  <mc:AlternateContent xmlns:mc="http://schemas.openxmlformats.org/markup-compatibility/2006">
    <mc:Choice xmlns:a14="http://schemas.microsoft.com/office/drawing/2010/main" Requires="a14">
      <xdr:twoCellAnchor editAs="oneCell">
        <xdr:from>
          <xdr:col>18</xdr:col>
          <xdr:colOff>38100</xdr:colOff>
          <xdr:row>7</xdr:row>
          <xdr:rowOff>57150</xdr:rowOff>
        </xdr:from>
        <xdr:to>
          <xdr:col>22</xdr:col>
          <xdr:colOff>355600</xdr:colOff>
          <xdr:row>8</xdr:row>
          <xdr:rowOff>158750</xdr:rowOff>
        </xdr:to>
        <xdr:sp macro="" textlink="">
          <xdr:nvSpPr>
            <xdr:cNvPr id="200976" name="CO2_RemovalList" hidden="1">
              <a:extLst>
                <a:ext uri="{63B3BB69-23CF-44E3-9099-C40C66FF867C}">
                  <a14:compatExt spid="_x0000_s200976"/>
                </a:ext>
                <a:ext uri="{FF2B5EF4-FFF2-40B4-BE49-F238E27FC236}">
                  <a16:creationId xmlns:a16="http://schemas.microsoft.com/office/drawing/2014/main" id="{00000000-0008-0000-0500-000010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5</xdr:row>
      <xdr:rowOff>179294</xdr:rowOff>
    </xdr:from>
    <xdr:to>
      <xdr:col>14</xdr:col>
      <xdr:colOff>381373</xdr:colOff>
      <xdr:row>8</xdr:row>
      <xdr:rowOff>180194</xdr:rowOff>
    </xdr:to>
    <xdr:sp macro="" textlink="">
      <xdr:nvSpPr>
        <xdr:cNvPr id="199" name="HumidityControl">
          <a:extLst>
            <a:ext uri="{FF2B5EF4-FFF2-40B4-BE49-F238E27FC236}">
              <a16:creationId xmlns:a16="http://schemas.microsoft.com/office/drawing/2014/main" id="{00000000-0008-0000-0500-0000C7000000}"/>
            </a:ext>
          </a:extLst>
        </xdr:cNvPr>
        <xdr:cNvSpPr txBox="1"/>
      </xdr:nvSpPr>
      <xdr:spPr>
        <a:xfrm>
          <a:off x="3923973" y="1119094"/>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Humidity Control</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7</xdr:row>
          <xdr:rowOff>69850</xdr:rowOff>
        </xdr:from>
        <xdr:to>
          <xdr:col>14</xdr:col>
          <xdr:colOff>355600</xdr:colOff>
          <xdr:row>8</xdr:row>
          <xdr:rowOff>171450</xdr:rowOff>
        </xdr:to>
        <xdr:sp macro="" textlink="">
          <xdr:nvSpPr>
            <xdr:cNvPr id="200979" name="HumidityControlList" hidden="1">
              <a:extLst>
                <a:ext uri="{63B3BB69-23CF-44E3-9099-C40C66FF867C}">
                  <a14:compatExt spid="_x0000_s200979"/>
                </a:ext>
                <a:ext uri="{FF2B5EF4-FFF2-40B4-BE49-F238E27FC236}">
                  <a16:creationId xmlns:a16="http://schemas.microsoft.com/office/drawing/2014/main" id="{00000000-0008-0000-0500-00001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380673</xdr:colOff>
      <xdr:row>35</xdr:row>
      <xdr:rowOff>101600</xdr:rowOff>
    </xdr:from>
    <xdr:to>
      <xdr:col>14</xdr:col>
      <xdr:colOff>381373</xdr:colOff>
      <xdr:row>38</xdr:row>
      <xdr:rowOff>102500</xdr:rowOff>
    </xdr:to>
    <xdr:sp macro="" textlink="">
      <xdr:nvSpPr>
        <xdr:cNvPr id="298" name="BrineProcessing">
          <a:extLst>
            <a:ext uri="{FF2B5EF4-FFF2-40B4-BE49-F238E27FC236}">
              <a16:creationId xmlns:a16="http://schemas.microsoft.com/office/drawing/2014/main" id="{00000000-0008-0000-0500-00002A010000}"/>
            </a:ext>
          </a:extLst>
        </xdr:cNvPr>
        <xdr:cNvSpPr txBox="1"/>
      </xdr:nvSpPr>
      <xdr:spPr>
        <a:xfrm>
          <a:off x="3923973" y="67564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Brine</a:t>
          </a:r>
          <a:r>
            <a:rPr lang="en-GB" sz="1100" baseline="0"/>
            <a:t> Processing</a:t>
          </a:r>
          <a:endParaRPr lang="en-GB" sz="1100"/>
        </a:p>
      </xdr:txBody>
    </xdr:sp>
    <xdr:clientData/>
  </xdr:twoCellAnchor>
  <xdr:twoCellAnchor editAs="oneCell">
    <xdr:from>
      <xdr:col>10</xdr:col>
      <xdr:colOff>381083</xdr:colOff>
      <xdr:row>20</xdr:row>
      <xdr:rowOff>178679</xdr:rowOff>
    </xdr:from>
    <xdr:to>
      <xdr:col>11</xdr:col>
      <xdr:colOff>1</xdr:colOff>
      <xdr:row>24</xdr:row>
      <xdr:rowOff>475</xdr:rowOff>
    </xdr:to>
    <xdr:cxnSp macro="">
      <xdr:nvCxnSpPr>
        <xdr:cNvPr id="308" name="H2O_ProdCrew">
          <a:extLst>
            <a:ext uri="{FF2B5EF4-FFF2-40B4-BE49-F238E27FC236}">
              <a16:creationId xmlns:a16="http://schemas.microsoft.com/office/drawing/2014/main" id="{00000000-0008-0000-0500-000034010000}"/>
            </a:ext>
          </a:extLst>
        </xdr:cNvPr>
        <xdr:cNvCxnSpPr>
          <a:cxnSpLocks/>
          <a:stCxn id="503" idx="1"/>
        </xdr:cNvCxnSpPr>
      </xdr:nvCxnSpPr>
      <xdr:spPr>
        <a:xfrm flipV="1">
          <a:off x="4318083" y="3975979"/>
          <a:ext cx="12618" cy="583796"/>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381301</xdr:colOff>
      <xdr:row>21</xdr:row>
      <xdr:rowOff>0</xdr:rowOff>
    </xdr:from>
    <xdr:to>
      <xdr:col>14</xdr:col>
      <xdr:colOff>1</xdr:colOff>
      <xdr:row>24</xdr:row>
      <xdr:rowOff>475</xdr:rowOff>
    </xdr:to>
    <xdr:cxnSp macro="">
      <xdr:nvCxnSpPr>
        <xdr:cNvPr id="311" name="O2_ConCrew">
          <a:extLst>
            <a:ext uri="{FF2B5EF4-FFF2-40B4-BE49-F238E27FC236}">
              <a16:creationId xmlns:a16="http://schemas.microsoft.com/office/drawing/2014/main" id="{00000000-0008-0000-0500-000037010000}"/>
            </a:ext>
          </a:extLst>
        </xdr:cNvPr>
        <xdr:cNvCxnSpPr>
          <a:cxnSpLocks/>
          <a:endCxn id="503" idx="5"/>
        </xdr:cNvCxnSpPr>
      </xdr:nvCxnSpPr>
      <xdr:spPr>
        <a:xfrm flipH="1">
          <a:off x="5499401" y="3987800"/>
          <a:ext cx="12400" cy="571975"/>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24</xdr:row>
      <xdr:rowOff>188595</xdr:rowOff>
    </xdr:from>
    <xdr:to>
      <xdr:col>10</xdr:col>
      <xdr:colOff>0</xdr:colOff>
      <xdr:row>25</xdr:row>
      <xdr:rowOff>513</xdr:rowOff>
    </xdr:to>
    <xdr:cxnSp macro="">
      <xdr:nvCxnSpPr>
        <xdr:cNvPr id="314" name="FoodConCrew">
          <a:extLst>
            <a:ext uri="{FF2B5EF4-FFF2-40B4-BE49-F238E27FC236}">
              <a16:creationId xmlns:a16="http://schemas.microsoft.com/office/drawing/2014/main" id="{00000000-0008-0000-0500-00003A010000}"/>
            </a:ext>
          </a:extLst>
        </xdr:cNvPr>
        <xdr:cNvCxnSpPr>
          <a:cxnSpLocks/>
        </xdr:cNvCxnSpPr>
      </xdr:nvCxnSpPr>
      <xdr:spPr>
        <a:xfrm flipV="1">
          <a:off x="1143000" y="4189095"/>
          <a:ext cx="1143000" cy="1906"/>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25</xdr:row>
      <xdr:rowOff>189677</xdr:rowOff>
    </xdr:from>
    <xdr:to>
      <xdr:col>9</xdr:col>
      <xdr:colOff>381012</xdr:colOff>
      <xdr:row>26</xdr:row>
      <xdr:rowOff>1</xdr:rowOff>
    </xdr:to>
    <xdr:cxnSp macro="">
      <xdr:nvCxnSpPr>
        <xdr:cNvPr id="321" name="H2O_FoodConCrew">
          <a:extLst>
            <a:ext uri="{FF2B5EF4-FFF2-40B4-BE49-F238E27FC236}">
              <a16:creationId xmlns:a16="http://schemas.microsoft.com/office/drawing/2014/main" id="{00000000-0008-0000-0500-000041010000}"/>
            </a:ext>
          </a:extLst>
        </xdr:cNvPr>
        <xdr:cNvCxnSpPr>
          <a:cxnSpLocks/>
          <a:endCxn id="503" idx="17"/>
        </xdr:cNvCxnSpPr>
      </xdr:nvCxnSpPr>
      <xdr:spPr>
        <a:xfrm flipV="1">
          <a:off x="2755900" y="4939477"/>
          <a:ext cx="1168412" cy="82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27</xdr:row>
      <xdr:rowOff>900</xdr:rowOff>
    </xdr:from>
    <xdr:to>
      <xdr:col>12</xdr:col>
      <xdr:colOff>194186</xdr:colOff>
      <xdr:row>30</xdr:row>
      <xdr:rowOff>0</xdr:rowOff>
    </xdr:to>
    <xdr:cxnSp macro="">
      <xdr:nvCxnSpPr>
        <xdr:cNvPr id="324" name="Urine_ProdCrew" hidden="1">
          <a:extLst>
            <a:ext uri="{FF2B5EF4-FFF2-40B4-BE49-F238E27FC236}">
              <a16:creationId xmlns:a16="http://schemas.microsoft.com/office/drawing/2014/main" id="{00000000-0008-0000-0500-000044010000}"/>
            </a:ext>
          </a:extLst>
        </xdr:cNvPr>
        <xdr:cNvCxnSpPr>
          <a:cxnSpLocks/>
          <a:stCxn id="503" idx="13"/>
          <a:endCxn id="52" idx="0"/>
        </xdr:cNvCxnSpPr>
      </xdr:nvCxnSpPr>
      <xdr:spPr>
        <a:xfrm flipH="1">
          <a:off x="4908573" y="5131700"/>
          <a:ext cx="10013" cy="5706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95700</xdr:rowOff>
    </xdr:from>
    <xdr:to>
      <xdr:col>18</xdr:col>
      <xdr:colOff>0</xdr:colOff>
      <xdr:row>31</xdr:row>
      <xdr:rowOff>95700</xdr:rowOff>
    </xdr:to>
    <xdr:cxnSp macro="">
      <xdr:nvCxnSpPr>
        <xdr:cNvPr id="327" name="GreyWaterFromUrine" hidden="1">
          <a:extLst>
            <a:ext uri="{FF2B5EF4-FFF2-40B4-BE49-F238E27FC236}">
              <a16:creationId xmlns:a16="http://schemas.microsoft.com/office/drawing/2014/main" id="{00000000-0008-0000-0500-000047010000}"/>
            </a:ext>
          </a:extLst>
        </xdr:cNvPr>
        <xdr:cNvCxnSpPr>
          <a:stCxn id="52" idx="3"/>
          <a:endCxn id="8206" idx="1"/>
        </xdr:cNvCxnSpPr>
      </xdr:nvCxnSpPr>
      <xdr:spPr>
        <a:xfrm>
          <a:off x="5893173" y="5988500"/>
          <a:ext cx="1193427" cy="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184173</xdr:colOff>
      <xdr:row>33</xdr:row>
      <xdr:rowOff>900</xdr:rowOff>
    </xdr:from>
    <xdr:to>
      <xdr:col>12</xdr:col>
      <xdr:colOff>184173</xdr:colOff>
      <xdr:row>35</xdr:row>
      <xdr:rowOff>101600</xdr:rowOff>
    </xdr:to>
    <xdr:cxnSp macro="">
      <xdr:nvCxnSpPr>
        <xdr:cNvPr id="330" name="Brine_Prod" hidden="1">
          <a:extLst>
            <a:ext uri="{FF2B5EF4-FFF2-40B4-BE49-F238E27FC236}">
              <a16:creationId xmlns:a16="http://schemas.microsoft.com/office/drawing/2014/main" id="{00000000-0008-0000-0500-00004A010000}"/>
            </a:ext>
          </a:extLst>
        </xdr:cNvPr>
        <xdr:cNvCxnSpPr>
          <a:stCxn id="52" idx="2"/>
          <a:endCxn id="298" idx="0"/>
        </xdr:cNvCxnSpPr>
      </xdr:nvCxnSpPr>
      <xdr:spPr>
        <a:xfrm>
          <a:off x="4908573" y="6274700"/>
          <a:ext cx="0" cy="481700"/>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699</xdr:colOff>
      <xdr:row>31</xdr:row>
      <xdr:rowOff>95700</xdr:rowOff>
    </xdr:to>
    <xdr:cxnSp macro="">
      <xdr:nvCxnSpPr>
        <xdr:cNvPr id="118" name="HumControlToWWFiltration" hidden="1">
          <a:extLst>
            <a:ext uri="{FF2B5EF4-FFF2-40B4-BE49-F238E27FC236}">
              <a16:creationId xmlns:a16="http://schemas.microsoft.com/office/drawing/2014/main" id="{00000000-0008-0000-0500-000076000000}"/>
            </a:ext>
          </a:extLst>
        </xdr:cNvPr>
        <xdr:cNvCxnSpPr>
          <a:stCxn id="199" idx="1"/>
          <a:endCxn id="8206" idx="3"/>
        </xdr:cNvCxnSpPr>
      </xdr:nvCxnSpPr>
      <xdr:spPr>
        <a:xfrm rot="10800000" flipH="1" flipV="1">
          <a:off x="3923972" y="1405294"/>
          <a:ext cx="5131827" cy="4583206"/>
        </a:xfrm>
        <a:prstGeom prst="bentConnector5">
          <a:avLst>
            <a:gd name="adj1" fmla="val -7301"/>
            <a:gd name="adj2" fmla="val 143659"/>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393356</xdr:colOff>
      <xdr:row>13</xdr:row>
      <xdr:rowOff>78416</xdr:rowOff>
    </xdr:from>
    <xdr:to>
      <xdr:col>18</xdr:col>
      <xdr:colOff>0</xdr:colOff>
      <xdr:row>13</xdr:row>
      <xdr:rowOff>83879</xdr:rowOff>
    </xdr:to>
    <xdr:cxnSp macro="">
      <xdr:nvCxnSpPr>
        <xdr:cNvPr id="341" name="Gerade Verbindung mit Pfeil 340">
          <a:extLst>
            <a:ext uri="{FF2B5EF4-FFF2-40B4-BE49-F238E27FC236}">
              <a16:creationId xmlns:a16="http://schemas.microsoft.com/office/drawing/2014/main" id="{00000000-0008-0000-0500-000055010000}"/>
            </a:ext>
          </a:extLst>
        </xdr:cNvPr>
        <xdr:cNvCxnSpPr>
          <a:stCxn id="67" idx="1"/>
          <a:endCxn id="225" idx="3"/>
        </xdr:cNvCxnSpPr>
      </xdr:nvCxnSpPr>
      <xdr:spPr>
        <a:xfrm flipH="1" flipV="1">
          <a:off x="5905156" y="2542216"/>
          <a:ext cx="1181444" cy="5463"/>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14</xdr:row>
      <xdr:rowOff>179579</xdr:rowOff>
    </xdr:from>
    <xdr:to>
      <xdr:col>20</xdr:col>
      <xdr:colOff>197200</xdr:colOff>
      <xdr:row>17</xdr:row>
      <xdr:rowOff>177656</xdr:rowOff>
    </xdr:to>
    <xdr:cxnSp macro="">
      <xdr:nvCxnSpPr>
        <xdr:cNvPr id="345" name="O2_FromElectrolysis" hidden="1">
          <a:extLst>
            <a:ext uri="{FF2B5EF4-FFF2-40B4-BE49-F238E27FC236}">
              <a16:creationId xmlns:a16="http://schemas.microsoft.com/office/drawing/2014/main" id="{00000000-0008-0000-0500-000059010000}"/>
            </a:ext>
          </a:extLst>
        </xdr:cNvPr>
        <xdr:cNvCxnSpPr>
          <a:stCxn id="73" idx="0"/>
          <a:endCxn id="67" idx="2"/>
        </xdr:cNvCxnSpPr>
      </xdr:nvCxnSpPr>
      <xdr:spPr>
        <a:xfrm flipV="1">
          <a:off x="8071200" y="2833879"/>
          <a:ext cx="0" cy="569577"/>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20</xdr:row>
      <xdr:rowOff>178556</xdr:rowOff>
    </xdr:from>
    <xdr:to>
      <xdr:col>20</xdr:col>
      <xdr:colOff>205736</xdr:colOff>
      <xdr:row>24</xdr:row>
      <xdr:rowOff>0</xdr:rowOff>
    </xdr:to>
    <xdr:cxnSp macro="">
      <xdr:nvCxnSpPr>
        <xdr:cNvPr id="349" name="H2O_ToElectrolysis" hidden="1">
          <a:extLst>
            <a:ext uri="{FF2B5EF4-FFF2-40B4-BE49-F238E27FC236}">
              <a16:creationId xmlns:a16="http://schemas.microsoft.com/office/drawing/2014/main" id="{00000000-0008-0000-0500-00005D010000}"/>
            </a:ext>
          </a:extLst>
        </xdr:cNvPr>
        <xdr:cNvCxnSpPr>
          <a:stCxn id="136" idx="3"/>
          <a:endCxn id="73" idx="2"/>
        </xdr:cNvCxnSpPr>
      </xdr:nvCxnSpPr>
      <xdr:spPr>
        <a:xfrm flipH="1" flipV="1">
          <a:off x="8071200" y="3975856"/>
          <a:ext cx="8536" cy="583444"/>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20</xdr:col>
      <xdr:colOff>197200</xdr:colOff>
      <xdr:row>27</xdr:row>
      <xdr:rowOff>900</xdr:rowOff>
    </xdr:from>
    <xdr:to>
      <xdr:col>20</xdr:col>
      <xdr:colOff>207213</xdr:colOff>
      <xdr:row>30</xdr:row>
      <xdr:rowOff>0</xdr:rowOff>
    </xdr:to>
    <xdr:cxnSp macro="">
      <xdr:nvCxnSpPr>
        <xdr:cNvPr id="352" name="H2O_FromWWFilt" hidden="1">
          <a:extLst>
            <a:ext uri="{FF2B5EF4-FFF2-40B4-BE49-F238E27FC236}">
              <a16:creationId xmlns:a16="http://schemas.microsoft.com/office/drawing/2014/main" id="{00000000-0008-0000-0500-000060010000}"/>
            </a:ext>
          </a:extLst>
        </xdr:cNvPr>
        <xdr:cNvCxnSpPr>
          <a:stCxn id="8206" idx="0"/>
          <a:endCxn id="136" idx="13"/>
        </xdr:cNvCxnSpPr>
      </xdr:nvCxnSpPr>
      <xdr:spPr>
        <a:xfrm flipV="1">
          <a:off x="8071200" y="5131700"/>
          <a:ext cx="10013" cy="57060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381035</xdr:colOff>
      <xdr:row>25</xdr:row>
      <xdr:rowOff>90438</xdr:rowOff>
    </xdr:from>
    <xdr:to>
      <xdr:col>18</xdr:col>
      <xdr:colOff>0</xdr:colOff>
      <xdr:row>25</xdr:row>
      <xdr:rowOff>95786</xdr:rowOff>
    </xdr:to>
    <xdr:cxnSp macro="">
      <xdr:nvCxnSpPr>
        <xdr:cNvPr id="355" name="H2O_ConCrew">
          <a:extLst>
            <a:ext uri="{FF2B5EF4-FFF2-40B4-BE49-F238E27FC236}">
              <a16:creationId xmlns:a16="http://schemas.microsoft.com/office/drawing/2014/main" id="{00000000-0008-0000-0500-000063010000}"/>
            </a:ext>
          </a:extLst>
        </xdr:cNvPr>
        <xdr:cNvCxnSpPr>
          <a:cxnSpLocks/>
          <a:stCxn id="136" idx="18"/>
          <a:endCxn id="503" idx="8"/>
        </xdr:cNvCxnSpPr>
      </xdr:nvCxnSpPr>
      <xdr:spPr>
        <a:xfrm flipH="1" flipV="1">
          <a:off x="5892835" y="4840238"/>
          <a:ext cx="1193765" cy="5348"/>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78617</xdr:rowOff>
    </xdr:from>
    <xdr:to>
      <xdr:col>29</xdr:col>
      <xdr:colOff>85200</xdr:colOff>
      <xdr:row>25</xdr:row>
      <xdr:rowOff>189677</xdr:rowOff>
    </xdr:to>
    <xdr:cxnSp macro="">
      <xdr:nvCxnSpPr>
        <xdr:cNvPr id="358" name="H2O_FromCO2Reduction" hidden="1">
          <a:extLst>
            <a:ext uri="{FF2B5EF4-FFF2-40B4-BE49-F238E27FC236}">
              <a16:creationId xmlns:a16="http://schemas.microsoft.com/office/drawing/2014/main" id="{00000000-0008-0000-0500-000066010000}"/>
            </a:ext>
          </a:extLst>
        </xdr:cNvPr>
        <xdr:cNvCxnSpPr>
          <a:cxnSpLocks/>
          <a:stCxn id="14" idx="8"/>
          <a:endCxn id="136" idx="9"/>
        </xdr:cNvCxnSpPr>
      </xdr:nvCxnSpPr>
      <xdr:spPr>
        <a:xfrm flipH="1">
          <a:off x="9055800" y="2542417"/>
          <a:ext cx="2446700" cy="2397060"/>
        </a:xfrm>
        <a:prstGeom prst="bentConnector3">
          <a:avLst>
            <a:gd name="adj1" fmla="val -9357"/>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282038</xdr:colOff>
      <xdr:row>14</xdr:row>
      <xdr:rowOff>179579</xdr:rowOff>
    </xdr:from>
    <xdr:to>
      <xdr:col>26</xdr:col>
      <xdr:colOff>292051</xdr:colOff>
      <xdr:row>17</xdr:row>
      <xdr:rowOff>177656</xdr:rowOff>
    </xdr:to>
    <xdr:cxnSp macro="">
      <xdr:nvCxnSpPr>
        <xdr:cNvPr id="361" name="H2_ToCO2Reduction" hidden="1">
          <a:extLst>
            <a:ext uri="{FF2B5EF4-FFF2-40B4-BE49-F238E27FC236}">
              <a16:creationId xmlns:a16="http://schemas.microsoft.com/office/drawing/2014/main" id="{00000000-0008-0000-0500-000069010000}"/>
            </a:ext>
          </a:extLst>
        </xdr:cNvPr>
        <xdr:cNvCxnSpPr>
          <a:cxnSpLocks/>
          <a:stCxn id="72" idx="0"/>
          <a:endCxn id="14" idx="13"/>
        </xdr:cNvCxnSpPr>
      </xdr:nvCxnSpPr>
      <xdr:spPr>
        <a:xfrm flipV="1">
          <a:off x="10518238" y="2833879"/>
          <a:ext cx="10013" cy="569577"/>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19</xdr:row>
      <xdr:rowOff>82856</xdr:rowOff>
    </xdr:from>
    <xdr:to>
      <xdr:col>24</xdr:col>
      <xdr:colOff>84838</xdr:colOff>
      <xdr:row>19</xdr:row>
      <xdr:rowOff>82856</xdr:rowOff>
    </xdr:to>
    <xdr:cxnSp macro="">
      <xdr:nvCxnSpPr>
        <xdr:cNvPr id="364" name="H2_FromElectrolysis" hidden="1">
          <a:extLst>
            <a:ext uri="{FF2B5EF4-FFF2-40B4-BE49-F238E27FC236}">
              <a16:creationId xmlns:a16="http://schemas.microsoft.com/office/drawing/2014/main" id="{00000000-0008-0000-0500-00006C010000}"/>
            </a:ext>
          </a:extLst>
        </xdr:cNvPr>
        <xdr:cNvCxnSpPr>
          <a:stCxn id="73" idx="3"/>
          <a:endCxn id="72" idx="1"/>
        </xdr:cNvCxnSpPr>
      </xdr:nvCxnSpPr>
      <xdr:spPr>
        <a:xfrm>
          <a:off x="9055800" y="3689656"/>
          <a:ext cx="477838"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12</xdr:col>
      <xdr:colOff>174525</xdr:colOff>
      <xdr:row>8</xdr:row>
      <xdr:rowOff>180194</xdr:rowOff>
    </xdr:from>
    <xdr:to>
      <xdr:col>12</xdr:col>
      <xdr:colOff>184173</xdr:colOff>
      <xdr:row>11</xdr:row>
      <xdr:rowOff>178679</xdr:rowOff>
    </xdr:to>
    <xdr:cxnSp macro="">
      <xdr:nvCxnSpPr>
        <xdr:cNvPr id="367" name="Gerade Verbindung mit Pfeil 366">
          <a:extLst>
            <a:ext uri="{FF2B5EF4-FFF2-40B4-BE49-F238E27FC236}">
              <a16:creationId xmlns:a16="http://schemas.microsoft.com/office/drawing/2014/main" id="{00000000-0008-0000-0500-00006F010000}"/>
            </a:ext>
          </a:extLst>
        </xdr:cNvPr>
        <xdr:cNvCxnSpPr>
          <a:stCxn id="225" idx="1"/>
          <a:endCxn id="199" idx="2"/>
        </xdr:cNvCxnSpPr>
      </xdr:nvCxnSpPr>
      <xdr:spPr>
        <a:xfrm flipV="1">
          <a:off x="4898925" y="1691494"/>
          <a:ext cx="9648" cy="569985"/>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7</xdr:row>
      <xdr:rowOff>84494</xdr:rowOff>
    </xdr:from>
    <xdr:to>
      <xdr:col>17</xdr:col>
      <xdr:colOff>391462</xdr:colOff>
      <xdr:row>7</xdr:row>
      <xdr:rowOff>84494</xdr:rowOff>
    </xdr:to>
    <xdr:cxnSp macro="">
      <xdr:nvCxnSpPr>
        <xdr:cNvPr id="379" name="HumControlToCO2Removal">
          <a:extLst>
            <a:ext uri="{FF2B5EF4-FFF2-40B4-BE49-F238E27FC236}">
              <a16:creationId xmlns:a16="http://schemas.microsoft.com/office/drawing/2014/main" id="{00000000-0008-0000-0500-00007B010000}"/>
            </a:ext>
          </a:extLst>
        </xdr:cNvPr>
        <xdr:cNvCxnSpPr>
          <a:stCxn id="199" idx="3"/>
          <a:endCxn id="56" idx="1"/>
        </xdr:cNvCxnSpPr>
      </xdr:nvCxnSpPr>
      <xdr:spPr>
        <a:xfrm>
          <a:off x="5893173" y="1405294"/>
          <a:ext cx="1191189"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14</xdr:col>
      <xdr:colOff>0</xdr:colOff>
      <xdr:row>12</xdr:row>
      <xdr:rowOff>0</xdr:rowOff>
    </xdr:to>
    <xdr:cxnSp macro="">
      <xdr:nvCxnSpPr>
        <xdr:cNvPr id="382" name="Gerade Verbindung mit Pfeil 381">
          <a:extLst>
            <a:ext uri="{FF2B5EF4-FFF2-40B4-BE49-F238E27FC236}">
              <a16:creationId xmlns:a16="http://schemas.microsoft.com/office/drawing/2014/main" id="{00000000-0008-0000-0500-00007E010000}"/>
            </a:ext>
          </a:extLst>
        </xdr:cNvPr>
        <xdr:cNvCxnSpPr/>
      </xdr:nvCxnSpPr>
      <xdr:spPr>
        <a:xfrm>
          <a:off x="5511800" y="1701800"/>
          <a:ext cx="0" cy="57150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0</xdr:colOff>
      <xdr:row>9</xdr:row>
      <xdr:rowOff>0</xdr:rowOff>
    </xdr:from>
    <xdr:to>
      <xdr:col>19</xdr:col>
      <xdr:colOff>0</xdr:colOff>
      <xdr:row>10</xdr:row>
      <xdr:rowOff>0</xdr:rowOff>
    </xdr:to>
    <xdr:cxnSp macro="">
      <xdr:nvCxnSpPr>
        <xdr:cNvPr id="168" name="CO2RemovalToCabinAir">
          <a:extLst>
            <a:ext uri="{FF2B5EF4-FFF2-40B4-BE49-F238E27FC236}">
              <a16:creationId xmlns:a16="http://schemas.microsoft.com/office/drawing/2014/main" id="{00000000-0008-0000-0500-0000A8000000}"/>
            </a:ext>
          </a:extLst>
        </xdr:cNvPr>
        <xdr:cNvCxnSpPr/>
      </xdr:nvCxnSpPr>
      <xdr:spPr>
        <a:xfrm rot="10800000" flipV="1">
          <a:off x="3810000" y="1143000"/>
          <a:ext cx="1905000" cy="190500"/>
        </a:xfrm>
        <a:prstGeom prst="bentConnector3">
          <a:avLst>
            <a:gd name="adj1" fmla="val 0"/>
          </a:avLst>
        </a:prstGeom>
        <a:ln w="12700">
          <a:solidFill>
            <a:srgbClr val="4DAF4A"/>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13</xdr:row>
      <xdr:rowOff>83879</xdr:rowOff>
    </xdr:from>
    <xdr:to>
      <xdr:col>24</xdr:col>
      <xdr:colOff>66910</xdr:colOff>
      <xdr:row>13</xdr:row>
      <xdr:rowOff>93907</xdr:rowOff>
    </xdr:to>
    <xdr:cxnSp macro="">
      <xdr:nvCxnSpPr>
        <xdr:cNvPr id="391" name="O2_FromCo2Reduction" hidden="1">
          <a:extLst>
            <a:ext uri="{FF2B5EF4-FFF2-40B4-BE49-F238E27FC236}">
              <a16:creationId xmlns:a16="http://schemas.microsoft.com/office/drawing/2014/main" id="{00000000-0008-0000-0500-000087010000}"/>
            </a:ext>
          </a:extLst>
        </xdr:cNvPr>
        <xdr:cNvCxnSpPr>
          <a:cxnSpLocks/>
          <a:endCxn id="67" idx="3"/>
        </xdr:cNvCxnSpPr>
      </xdr:nvCxnSpPr>
      <xdr:spPr>
        <a:xfrm flipH="1" flipV="1">
          <a:off x="9055800" y="2547679"/>
          <a:ext cx="459910" cy="10028"/>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277906</xdr:colOff>
      <xdr:row>30</xdr:row>
      <xdr:rowOff>0</xdr:rowOff>
    </xdr:from>
    <xdr:to>
      <xdr:col>29</xdr:col>
      <xdr:colOff>278606</xdr:colOff>
      <xdr:row>33</xdr:row>
      <xdr:rowOff>900</xdr:rowOff>
    </xdr:to>
    <xdr:sp macro="" textlink="">
      <xdr:nvSpPr>
        <xdr:cNvPr id="426" name="ISRU">
          <a:extLst>
            <a:ext uri="{FF2B5EF4-FFF2-40B4-BE49-F238E27FC236}">
              <a16:creationId xmlns:a16="http://schemas.microsoft.com/office/drawing/2014/main" id="{00000000-0008-0000-0500-0000AA010000}"/>
            </a:ext>
          </a:extLst>
        </xdr:cNvPr>
        <xdr:cNvSpPr txBox="1"/>
      </xdr:nvSpPr>
      <xdr:spPr>
        <a:xfrm>
          <a:off x="9726706" y="5702300"/>
          <a:ext cx="1969200" cy="5724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ISRU</a:t>
          </a:r>
        </a:p>
      </xdr:txBody>
    </xdr:sp>
    <xdr:clientData/>
  </xdr:twoCellAnchor>
  <xdr:twoCellAnchor editAs="oneCell">
    <xdr:from>
      <xdr:col>14</xdr:col>
      <xdr:colOff>381373</xdr:colOff>
      <xdr:row>37</xdr:row>
      <xdr:rowOff>4595</xdr:rowOff>
    </xdr:from>
    <xdr:to>
      <xdr:col>18</xdr:col>
      <xdr:colOff>0</xdr:colOff>
      <xdr:row>37</xdr:row>
      <xdr:rowOff>6800</xdr:rowOff>
    </xdr:to>
    <xdr:cxnSp macro="">
      <xdr:nvCxnSpPr>
        <xdr:cNvPr id="434" name="BrineSolidWaste" hidden="1">
          <a:extLst>
            <a:ext uri="{FF2B5EF4-FFF2-40B4-BE49-F238E27FC236}">
              <a16:creationId xmlns:a16="http://schemas.microsoft.com/office/drawing/2014/main" id="{00000000-0008-0000-0500-0000B2010000}"/>
            </a:ext>
          </a:extLst>
        </xdr:cNvPr>
        <xdr:cNvCxnSpPr>
          <a:stCxn id="298" idx="3"/>
          <a:endCxn id="500" idx="18"/>
        </xdr:cNvCxnSpPr>
      </xdr:nvCxnSpPr>
      <xdr:spPr>
        <a:xfrm flipV="1">
          <a:off x="5893173" y="7040395"/>
          <a:ext cx="1193427" cy="2205"/>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27</xdr:row>
      <xdr:rowOff>0</xdr:rowOff>
    </xdr:from>
    <xdr:to>
      <xdr:col>20</xdr:col>
      <xdr:colOff>190500</xdr:colOff>
      <xdr:row>39</xdr:row>
      <xdr:rowOff>0</xdr:rowOff>
    </xdr:to>
    <xdr:cxnSp macro="">
      <xdr:nvCxnSpPr>
        <xdr:cNvPr id="227" name="Verbinder: gewinkelt 226">
          <a:extLst>
            <a:ext uri="{FF2B5EF4-FFF2-40B4-BE49-F238E27FC236}">
              <a16:creationId xmlns:a16="http://schemas.microsoft.com/office/drawing/2014/main" id="{00000000-0008-0000-0500-0000E3000000}"/>
            </a:ext>
          </a:extLst>
        </xdr:cNvPr>
        <xdr:cNvCxnSpPr>
          <a:cxnSpLocks/>
          <a:stCxn id="611" idx="2"/>
        </xdr:cNvCxnSpPr>
      </xdr:nvCxnSpPr>
      <xdr:spPr>
        <a:xfrm rot="16200000" flipH="1">
          <a:off x="2381250" y="2952750"/>
          <a:ext cx="2286000" cy="5524500"/>
        </a:xfrm>
        <a:prstGeom prst="bentConnector3">
          <a:avLst>
            <a:gd name="adj1" fmla="val 118908"/>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701</xdr:colOff>
      <xdr:row>13</xdr:row>
      <xdr:rowOff>177856</xdr:rowOff>
    </xdr:from>
    <xdr:to>
      <xdr:col>29</xdr:col>
      <xdr:colOff>85538</xdr:colOff>
      <xdr:row>37</xdr:row>
      <xdr:rowOff>3</xdr:rowOff>
    </xdr:to>
    <xdr:cxnSp macro="">
      <xdr:nvCxnSpPr>
        <xdr:cNvPr id="453" name="CO2_FromReductionToWaste" hidden="1">
          <a:extLst>
            <a:ext uri="{FF2B5EF4-FFF2-40B4-BE49-F238E27FC236}">
              <a16:creationId xmlns:a16="http://schemas.microsoft.com/office/drawing/2014/main" id="{00000000-0008-0000-0500-0000C5010000}"/>
            </a:ext>
          </a:extLst>
        </xdr:cNvPr>
        <xdr:cNvCxnSpPr>
          <a:cxnSpLocks/>
          <a:stCxn id="14" idx="9"/>
        </xdr:cNvCxnSpPr>
      </xdr:nvCxnSpPr>
      <xdr:spPr>
        <a:xfrm flipH="1">
          <a:off x="9055801" y="2641656"/>
          <a:ext cx="2447037" cy="4394147"/>
        </a:xfrm>
        <a:prstGeom prst="bentConnector4">
          <a:avLst>
            <a:gd name="adj1" fmla="val -14532"/>
            <a:gd name="adj2" fmla="val 10016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35</xdr:row>
      <xdr:rowOff>8965</xdr:rowOff>
    </xdr:from>
    <xdr:to>
      <xdr:col>23</xdr:col>
      <xdr:colOff>700</xdr:colOff>
      <xdr:row>39</xdr:row>
      <xdr:rowOff>0</xdr:rowOff>
    </xdr:to>
    <xdr:sp macro="" textlink="">
      <xdr:nvSpPr>
        <xdr:cNvPr id="500" name="WasteStorage">
          <a:extLst>
            <a:ext uri="{FF2B5EF4-FFF2-40B4-BE49-F238E27FC236}">
              <a16:creationId xmlns:a16="http://schemas.microsoft.com/office/drawing/2014/main" id="{00000000-0008-0000-0500-0000F4010000}"/>
            </a:ext>
          </a:extLst>
        </xdr:cNvPr>
        <xdr:cNvSpPr txBox="1"/>
      </xdr:nvSpPr>
      <xdr:spPr>
        <a:xfrm>
          <a:off x="7086600" y="6663765"/>
          <a:ext cx="1969200" cy="753035"/>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Waste Storage</a:t>
          </a:r>
        </a:p>
      </xdr:txBody>
    </xdr:sp>
    <xdr:clientData/>
  </xdr:twoCellAnchor>
  <xdr:twoCellAnchor editAs="oneCell">
    <xdr:from>
      <xdr:col>9</xdr:col>
      <xdr:colOff>380673</xdr:colOff>
      <xdr:row>24</xdr:row>
      <xdr:rowOff>0</xdr:rowOff>
    </xdr:from>
    <xdr:to>
      <xdr:col>14</xdr:col>
      <xdr:colOff>381373</xdr:colOff>
      <xdr:row>27</xdr:row>
      <xdr:rowOff>900</xdr:rowOff>
    </xdr:to>
    <xdr:sp macro="" textlink="">
      <xdr:nvSpPr>
        <xdr:cNvPr id="503" name="Crew">
          <a:extLst>
            <a:ext uri="{FF2B5EF4-FFF2-40B4-BE49-F238E27FC236}">
              <a16:creationId xmlns:a16="http://schemas.microsoft.com/office/drawing/2014/main" id="{00000000-0008-0000-0500-0000F7010000}"/>
            </a:ext>
          </a:extLst>
        </xdr:cNvPr>
        <xdr:cNvSpPr txBox="1"/>
      </xdr:nvSpPr>
      <xdr:spPr>
        <a:xfrm>
          <a:off x="3923973"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Crew</a:t>
          </a:r>
        </a:p>
      </xdr:txBody>
    </xdr:sp>
    <xdr:clientData/>
  </xdr:twoCellAnchor>
  <xdr:twoCellAnchor editAs="oneCell">
    <xdr:from>
      <xdr:col>14</xdr:col>
      <xdr:colOff>381373</xdr:colOff>
      <xdr:row>26</xdr:row>
      <xdr:rowOff>189028</xdr:rowOff>
    </xdr:from>
    <xdr:to>
      <xdr:col>18</xdr:col>
      <xdr:colOff>338</xdr:colOff>
      <xdr:row>36</xdr:row>
      <xdr:rowOff>65731</xdr:rowOff>
    </xdr:to>
    <xdr:cxnSp macro="">
      <xdr:nvCxnSpPr>
        <xdr:cNvPr id="519" name="CrewFeces">
          <a:extLst>
            <a:ext uri="{FF2B5EF4-FFF2-40B4-BE49-F238E27FC236}">
              <a16:creationId xmlns:a16="http://schemas.microsoft.com/office/drawing/2014/main" id="{00000000-0008-0000-0500-000007020000}"/>
            </a:ext>
          </a:extLst>
        </xdr:cNvPr>
        <xdr:cNvCxnSpPr>
          <a:cxnSpLocks/>
          <a:stCxn id="503" idx="10"/>
          <a:endCxn id="500" idx="19"/>
        </xdr:cNvCxnSpPr>
      </xdr:nvCxnSpPr>
      <xdr:spPr>
        <a:xfrm>
          <a:off x="5893173" y="5129328"/>
          <a:ext cx="1193765" cy="1781703"/>
        </a:xfrm>
        <a:prstGeom prst="bentConnector3">
          <a:avLst>
            <a:gd name="adj1" fmla="val 68115"/>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19</xdr:row>
          <xdr:rowOff>44450</xdr:rowOff>
        </xdr:from>
        <xdr:to>
          <xdr:col>22</xdr:col>
          <xdr:colOff>355600</xdr:colOff>
          <xdr:row>20</xdr:row>
          <xdr:rowOff>146050</xdr:rowOff>
        </xdr:to>
        <xdr:sp macro="" textlink="">
          <xdr:nvSpPr>
            <xdr:cNvPr id="200982" name="ElectrolysisList" hidden="1">
              <a:extLst>
                <a:ext uri="{63B3BB69-23CF-44E3-9099-C40C66FF867C}">
                  <a14:compatExt spid="_x0000_s200982"/>
                </a:ext>
                <a:ext uri="{FF2B5EF4-FFF2-40B4-BE49-F238E27FC236}">
                  <a16:creationId xmlns:a16="http://schemas.microsoft.com/office/drawing/2014/main" id="{00000000-0008-0000-0500-00001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31</xdr:row>
          <xdr:rowOff>44450</xdr:rowOff>
        </xdr:from>
        <xdr:to>
          <xdr:col>14</xdr:col>
          <xdr:colOff>355600</xdr:colOff>
          <xdr:row>32</xdr:row>
          <xdr:rowOff>146050</xdr:rowOff>
        </xdr:to>
        <xdr:sp macro="" textlink="">
          <xdr:nvSpPr>
            <xdr:cNvPr id="200983" name="UrineProcessingList" hidden="1">
              <a:extLst>
                <a:ext uri="{63B3BB69-23CF-44E3-9099-C40C66FF867C}">
                  <a14:compatExt spid="_x0000_s200983"/>
                </a:ext>
                <a:ext uri="{FF2B5EF4-FFF2-40B4-BE49-F238E27FC236}">
                  <a16:creationId xmlns:a16="http://schemas.microsoft.com/office/drawing/2014/main" id="{00000000-0008-0000-0500-00001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36</xdr:row>
          <xdr:rowOff>158750</xdr:rowOff>
        </xdr:from>
        <xdr:to>
          <xdr:col>14</xdr:col>
          <xdr:colOff>355600</xdr:colOff>
          <xdr:row>38</xdr:row>
          <xdr:rowOff>69850</xdr:rowOff>
        </xdr:to>
        <xdr:sp macro="" textlink="">
          <xdr:nvSpPr>
            <xdr:cNvPr id="200984" name="BrineProcessingList" hidden="1">
              <a:extLst>
                <a:ext uri="{63B3BB69-23CF-44E3-9099-C40C66FF867C}">
                  <a14:compatExt spid="_x0000_s200984"/>
                </a:ext>
                <a:ext uri="{FF2B5EF4-FFF2-40B4-BE49-F238E27FC236}">
                  <a16:creationId xmlns:a16="http://schemas.microsoft.com/office/drawing/2014/main" id="{00000000-0008-0000-0500-00001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380672</xdr:colOff>
      <xdr:row>17</xdr:row>
      <xdr:rowOff>182082</xdr:rowOff>
    </xdr:from>
    <xdr:to>
      <xdr:col>9</xdr:col>
      <xdr:colOff>380673</xdr:colOff>
      <xdr:row>37</xdr:row>
      <xdr:rowOff>6801</xdr:rowOff>
    </xdr:to>
    <xdr:cxnSp macro="">
      <xdr:nvCxnSpPr>
        <xdr:cNvPr id="541" name="BrineProcToCabin" hidden="1">
          <a:extLst>
            <a:ext uri="{FF2B5EF4-FFF2-40B4-BE49-F238E27FC236}">
              <a16:creationId xmlns:a16="http://schemas.microsoft.com/office/drawing/2014/main" id="{00000000-0008-0000-0500-00001D020000}"/>
            </a:ext>
          </a:extLst>
        </xdr:cNvPr>
        <xdr:cNvCxnSpPr>
          <a:stCxn id="298" idx="1"/>
          <a:endCxn id="225" idx="8"/>
        </xdr:cNvCxnSpPr>
      </xdr:nvCxnSpPr>
      <xdr:spPr>
        <a:xfrm rot="10800000" flipH="1">
          <a:off x="3923972" y="3407882"/>
          <a:ext cx="1" cy="3634719"/>
        </a:xfrm>
        <a:prstGeom prst="bentConnector5">
          <a:avLst>
            <a:gd name="adj1" fmla="val -22860000000"/>
            <a:gd name="adj2" fmla="val 99931"/>
            <a:gd name="adj3" fmla="val 2147483646"/>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18</xdr:col>
          <xdr:colOff>38100</xdr:colOff>
          <xdr:row>31</xdr:row>
          <xdr:rowOff>44450</xdr:rowOff>
        </xdr:from>
        <xdr:to>
          <xdr:col>22</xdr:col>
          <xdr:colOff>355600</xdr:colOff>
          <xdr:row>32</xdr:row>
          <xdr:rowOff>146050</xdr:rowOff>
        </xdr:to>
        <xdr:sp macro="" textlink="">
          <xdr:nvSpPr>
            <xdr:cNvPr id="200985" name="WWFiltrationList" hidden="1">
              <a:extLst>
                <a:ext uri="{63B3BB69-23CF-44E3-9099-C40C66FF867C}">
                  <a14:compatExt spid="_x0000_s200985"/>
                </a:ext>
                <a:ext uri="{FF2B5EF4-FFF2-40B4-BE49-F238E27FC236}">
                  <a16:creationId xmlns:a16="http://schemas.microsoft.com/office/drawing/2014/main" id="{00000000-0008-0000-0500-00001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317500</xdr:colOff>
          <xdr:row>31</xdr:row>
          <xdr:rowOff>44450</xdr:rowOff>
        </xdr:from>
        <xdr:to>
          <xdr:col>29</xdr:col>
          <xdr:colOff>241300</xdr:colOff>
          <xdr:row>32</xdr:row>
          <xdr:rowOff>146050</xdr:rowOff>
        </xdr:to>
        <xdr:sp macro="" textlink="">
          <xdr:nvSpPr>
            <xdr:cNvPr id="200986" name="ISRUList" hidden="1">
              <a:extLst>
                <a:ext uri="{63B3BB69-23CF-44E3-9099-C40C66FF867C}">
                  <a14:compatExt spid="_x0000_s200986"/>
                </a:ext>
                <a:ext uri="{FF2B5EF4-FFF2-40B4-BE49-F238E27FC236}">
                  <a16:creationId xmlns:a16="http://schemas.microsoft.com/office/drawing/2014/main" id="{00000000-0008-0000-0500-00001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38100</xdr:colOff>
          <xdr:row>13</xdr:row>
          <xdr:rowOff>25400</xdr:rowOff>
        </xdr:from>
        <xdr:to>
          <xdr:col>22</xdr:col>
          <xdr:colOff>355600</xdr:colOff>
          <xdr:row>14</xdr:row>
          <xdr:rowOff>127000</xdr:rowOff>
        </xdr:to>
        <xdr:sp macro="" textlink="">
          <xdr:nvSpPr>
            <xdr:cNvPr id="200987" name="O2StorageList" hidden="1">
              <a:extLst>
                <a:ext uri="{63B3BB69-23CF-44E3-9099-C40C66FF867C}">
                  <a14:compatExt spid="_x0000_s200987"/>
                </a:ext>
                <a:ext uri="{FF2B5EF4-FFF2-40B4-BE49-F238E27FC236}">
                  <a16:creationId xmlns:a16="http://schemas.microsoft.com/office/drawing/2014/main" id="{00000000-0008-0000-0500-00001B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127000</xdr:colOff>
          <xdr:row>19</xdr:row>
          <xdr:rowOff>44450</xdr:rowOff>
        </xdr:from>
        <xdr:to>
          <xdr:col>29</xdr:col>
          <xdr:colOff>50800</xdr:colOff>
          <xdr:row>20</xdr:row>
          <xdr:rowOff>146050</xdr:rowOff>
        </xdr:to>
        <xdr:sp macro="" textlink="">
          <xdr:nvSpPr>
            <xdr:cNvPr id="200988" name="H2StorageList" hidden="1">
              <a:extLst>
                <a:ext uri="{63B3BB69-23CF-44E3-9099-C40C66FF867C}">
                  <a14:compatExt spid="_x0000_s200988"/>
                </a:ext>
                <a:ext uri="{FF2B5EF4-FFF2-40B4-BE49-F238E27FC236}">
                  <a16:creationId xmlns:a16="http://schemas.microsoft.com/office/drawing/2014/main" id="{00000000-0008-0000-0500-00001C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22</xdr:col>
      <xdr:colOff>392162</xdr:colOff>
      <xdr:row>7</xdr:row>
      <xdr:rowOff>84494</xdr:rowOff>
    </xdr:from>
    <xdr:to>
      <xdr:col>26</xdr:col>
      <xdr:colOff>213700</xdr:colOff>
      <xdr:row>7</xdr:row>
      <xdr:rowOff>91121</xdr:rowOff>
    </xdr:to>
    <xdr:cxnSp macro="">
      <xdr:nvCxnSpPr>
        <xdr:cNvPr id="552" name="CO2RemovalToCross">
          <a:extLst>
            <a:ext uri="{FF2B5EF4-FFF2-40B4-BE49-F238E27FC236}">
              <a16:creationId xmlns:a16="http://schemas.microsoft.com/office/drawing/2014/main" id="{00000000-0008-0000-0500-000028020000}"/>
            </a:ext>
          </a:extLst>
        </xdr:cNvPr>
        <xdr:cNvCxnSpPr>
          <a:stCxn id="56" idx="3"/>
          <a:endCxn id="3" idx="2"/>
        </xdr:cNvCxnSpPr>
      </xdr:nvCxnSpPr>
      <xdr:spPr>
        <a:xfrm>
          <a:off x="9053562" y="1405294"/>
          <a:ext cx="1396338" cy="662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290574</xdr:colOff>
      <xdr:row>7</xdr:row>
      <xdr:rowOff>182242</xdr:rowOff>
    </xdr:from>
    <xdr:to>
      <xdr:col>26</xdr:col>
      <xdr:colOff>303700</xdr:colOff>
      <xdr:row>11</xdr:row>
      <xdr:rowOff>178679</xdr:rowOff>
    </xdr:to>
    <xdr:cxnSp macro="">
      <xdr:nvCxnSpPr>
        <xdr:cNvPr id="560" name="CO2_ToReduction" hidden="1">
          <a:extLst>
            <a:ext uri="{FF2B5EF4-FFF2-40B4-BE49-F238E27FC236}">
              <a16:creationId xmlns:a16="http://schemas.microsoft.com/office/drawing/2014/main" id="{00000000-0008-0000-0500-000030020000}"/>
            </a:ext>
          </a:extLst>
        </xdr:cNvPr>
        <xdr:cNvCxnSpPr>
          <a:stCxn id="3" idx="4"/>
          <a:endCxn id="14" idx="3"/>
        </xdr:cNvCxnSpPr>
      </xdr:nvCxnSpPr>
      <xdr:spPr>
        <a:xfrm flipH="1">
          <a:off x="10526774" y="1503042"/>
          <a:ext cx="13126" cy="758437"/>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27</xdr:col>
      <xdr:colOff>0</xdr:colOff>
      <xdr:row>7</xdr:row>
      <xdr:rowOff>91121</xdr:rowOff>
    </xdr:from>
    <xdr:to>
      <xdr:col>31</xdr:col>
      <xdr:colOff>0</xdr:colOff>
      <xdr:row>7</xdr:row>
      <xdr:rowOff>102825</xdr:rowOff>
    </xdr:to>
    <xdr:cxnSp macro="">
      <xdr:nvCxnSpPr>
        <xdr:cNvPr id="563" name="CO2ToVent" hidden="1">
          <a:extLst>
            <a:ext uri="{FF2B5EF4-FFF2-40B4-BE49-F238E27FC236}">
              <a16:creationId xmlns:a16="http://schemas.microsoft.com/office/drawing/2014/main" id="{00000000-0008-0000-0500-000033020000}"/>
            </a:ext>
          </a:extLst>
        </xdr:cNvPr>
        <xdr:cNvCxnSpPr>
          <a:cxnSpLocks/>
          <a:stCxn id="3" idx="6"/>
          <a:endCxn id="584" idx="2"/>
        </xdr:cNvCxnSpPr>
      </xdr:nvCxnSpPr>
      <xdr:spPr>
        <a:xfrm>
          <a:off x="10629900" y="1411921"/>
          <a:ext cx="1574800" cy="11704"/>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7</xdr:row>
      <xdr:rowOff>102825</xdr:rowOff>
    </xdr:from>
    <xdr:to>
      <xdr:col>32</xdr:col>
      <xdr:colOff>347218</xdr:colOff>
      <xdr:row>19</xdr:row>
      <xdr:rowOff>82856</xdr:rowOff>
    </xdr:to>
    <xdr:cxnSp macro="">
      <xdr:nvCxnSpPr>
        <xdr:cNvPr id="378" name="H2_ToVent" hidden="1">
          <a:extLst>
            <a:ext uri="{FF2B5EF4-FFF2-40B4-BE49-F238E27FC236}">
              <a16:creationId xmlns:a16="http://schemas.microsoft.com/office/drawing/2014/main" id="{00000000-0008-0000-0500-00007A010000}"/>
            </a:ext>
          </a:extLst>
        </xdr:cNvPr>
        <xdr:cNvCxnSpPr>
          <a:stCxn id="72" idx="3"/>
          <a:endCxn id="584" idx="6"/>
        </xdr:cNvCxnSpPr>
      </xdr:nvCxnSpPr>
      <xdr:spPr>
        <a:xfrm flipV="1">
          <a:off x="11502838" y="1423625"/>
          <a:ext cx="1442780" cy="2266031"/>
        </a:xfrm>
        <a:prstGeom prst="bentConnector3">
          <a:avLst>
            <a:gd name="adj1" fmla="val 206509"/>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31</xdr:col>
      <xdr:colOff>0</xdr:colOff>
      <xdr:row>5</xdr:row>
      <xdr:rowOff>123825</xdr:rowOff>
    </xdr:from>
    <xdr:to>
      <xdr:col>32</xdr:col>
      <xdr:colOff>347218</xdr:colOff>
      <xdr:row>9</xdr:row>
      <xdr:rowOff>81825</xdr:rowOff>
    </xdr:to>
    <xdr:sp macro="" textlink="">
      <xdr:nvSpPr>
        <xdr:cNvPr id="584" name="SpaceVac">
          <a:extLst>
            <a:ext uri="{FF2B5EF4-FFF2-40B4-BE49-F238E27FC236}">
              <a16:creationId xmlns:a16="http://schemas.microsoft.com/office/drawing/2014/main" id="{00000000-0008-0000-0500-000048020000}"/>
            </a:ext>
          </a:extLst>
        </xdr:cNvPr>
        <xdr:cNvSpPr>
          <a:spLocks/>
        </xdr:cNvSpPr>
      </xdr:nvSpPr>
      <xdr:spPr>
        <a:xfrm>
          <a:off x="12204700" y="1063625"/>
          <a:ext cx="740918" cy="720000"/>
        </a:xfrm>
        <a:prstGeom prst="ellipse">
          <a:avLst/>
        </a:prstGeom>
        <a:solidFill>
          <a:schemeClr val="bg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100">
              <a:solidFill>
                <a:schemeClr val="tx1"/>
              </a:solidFill>
            </a:rPr>
            <a:t>Vent</a:t>
          </a:r>
        </a:p>
      </xdr:txBody>
    </xdr:sp>
    <xdr:clientData/>
  </xdr:twoCellAnchor>
  <xdr:twoCellAnchor editAs="oneCell">
    <xdr:from>
      <xdr:col>12</xdr:col>
      <xdr:colOff>184174</xdr:colOff>
      <xdr:row>5</xdr:row>
      <xdr:rowOff>123825</xdr:rowOff>
    </xdr:from>
    <xdr:to>
      <xdr:col>31</xdr:col>
      <xdr:colOff>370460</xdr:colOff>
      <xdr:row>5</xdr:row>
      <xdr:rowOff>179294</xdr:rowOff>
    </xdr:to>
    <xdr:cxnSp macro="">
      <xdr:nvCxnSpPr>
        <xdr:cNvPr id="63" name="HumControlToVent" hidden="1">
          <a:extLst>
            <a:ext uri="{FF2B5EF4-FFF2-40B4-BE49-F238E27FC236}">
              <a16:creationId xmlns:a16="http://schemas.microsoft.com/office/drawing/2014/main" id="{00000000-0008-0000-0500-00003F000000}"/>
            </a:ext>
          </a:extLst>
        </xdr:cNvPr>
        <xdr:cNvCxnSpPr>
          <a:stCxn id="199" idx="0"/>
          <a:endCxn id="584" idx="0"/>
        </xdr:cNvCxnSpPr>
      </xdr:nvCxnSpPr>
      <xdr:spPr>
        <a:xfrm rot="5400000" flipH="1" flipV="1">
          <a:off x="8714132" y="-2741933"/>
          <a:ext cx="55469" cy="7666586"/>
        </a:xfrm>
        <a:prstGeom prst="bentConnector3">
          <a:avLst>
            <a:gd name="adj1" fmla="val 51212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40</xdr:row>
      <xdr:rowOff>100260</xdr:rowOff>
    </xdr:from>
    <xdr:to>
      <xdr:col>27</xdr:col>
      <xdr:colOff>0</xdr:colOff>
      <xdr:row>40</xdr:row>
      <xdr:rowOff>100260</xdr:rowOff>
    </xdr:to>
    <xdr:cxnSp macro="">
      <xdr:nvCxnSpPr>
        <xdr:cNvPr id="66" name="H2O_LegendArrow">
          <a:extLst>
            <a:ext uri="{FF2B5EF4-FFF2-40B4-BE49-F238E27FC236}">
              <a16:creationId xmlns:a16="http://schemas.microsoft.com/office/drawing/2014/main" id="{00000000-0008-0000-0500-000042000000}"/>
            </a:ext>
          </a:extLst>
        </xdr:cNvPr>
        <xdr:cNvCxnSpPr>
          <a:cxnSpLocks/>
        </xdr:cNvCxnSpPr>
      </xdr:nvCxnSpPr>
      <xdr:spPr>
        <a:xfrm>
          <a:off x="8382000" y="7148760"/>
          <a:ext cx="381000" cy="0"/>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41</xdr:row>
      <xdr:rowOff>100260</xdr:rowOff>
    </xdr:from>
    <xdr:to>
      <xdr:col>27</xdr:col>
      <xdr:colOff>0</xdr:colOff>
      <xdr:row>41</xdr:row>
      <xdr:rowOff>100260</xdr:rowOff>
    </xdr:to>
    <xdr:cxnSp macro="">
      <xdr:nvCxnSpPr>
        <xdr:cNvPr id="69" name="CO2_LegendArrow">
          <a:extLst>
            <a:ext uri="{FF2B5EF4-FFF2-40B4-BE49-F238E27FC236}">
              <a16:creationId xmlns:a16="http://schemas.microsoft.com/office/drawing/2014/main" id="{00000000-0008-0000-0500-000045000000}"/>
            </a:ext>
          </a:extLst>
        </xdr:cNvPr>
        <xdr:cNvCxnSpPr>
          <a:cxnSpLocks/>
        </xdr:cNvCxnSpPr>
      </xdr:nvCxnSpPr>
      <xdr:spPr>
        <a:xfrm>
          <a:off x="8382000" y="7339260"/>
          <a:ext cx="381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26</xdr:col>
      <xdr:colOff>0</xdr:colOff>
      <xdr:row>42</xdr:row>
      <xdr:rowOff>105273</xdr:rowOff>
    </xdr:from>
    <xdr:to>
      <xdr:col>27</xdr:col>
      <xdr:colOff>0</xdr:colOff>
      <xdr:row>42</xdr:row>
      <xdr:rowOff>105273</xdr:rowOff>
    </xdr:to>
    <xdr:cxnSp macro="">
      <xdr:nvCxnSpPr>
        <xdr:cNvPr id="70" name="O2_LegendArrow">
          <a:extLst>
            <a:ext uri="{FF2B5EF4-FFF2-40B4-BE49-F238E27FC236}">
              <a16:creationId xmlns:a16="http://schemas.microsoft.com/office/drawing/2014/main" id="{00000000-0008-0000-0500-000046000000}"/>
            </a:ext>
          </a:extLst>
        </xdr:cNvPr>
        <xdr:cNvCxnSpPr>
          <a:cxnSpLocks/>
        </xdr:cNvCxnSpPr>
      </xdr:nvCxnSpPr>
      <xdr:spPr>
        <a:xfrm>
          <a:off x="8382000" y="7534773"/>
          <a:ext cx="381000" cy="0"/>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40</xdr:row>
      <xdr:rowOff>100260</xdr:rowOff>
    </xdr:from>
    <xdr:to>
      <xdr:col>30</xdr:col>
      <xdr:colOff>0</xdr:colOff>
      <xdr:row>40</xdr:row>
      <xdr:rowOff>100261</xdr:rowOff>
    </xdr:to>
    <xdr:cxnSp macro="">
      <xdr:nvCxnSpPr>
        <xdr:cNvPr id="71" name="WasteWater_LegendArrow">
          <a:extLst>
            <a:ext uri="{FF2B5EF4-FFF2-40B4-BE49-F238E27FC236}">
              <a16:creationId xmlns:a16="http://schemas.microsoft.com/office/drawing/2014/main" id="{00000000-0008-0000-0500-000047000000}"/>
            </a:ext>
          </a:extLst>
        </xdr:cNvPr>
        <xdr:cNvCxnSpPr>
          <a:cxnSpLocks/>
        </xdr:cNvCxnSpPr>
      </xdr:nvCxnSpPr>
      <xdr:spPr>
        <a:xfrm flipV="1">
          <a:off x="9525000" y="7148760"/>
          <a:ext cx="381000" cy="1"/>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41</xdr:row>
      <xdr:rowOff>100260</xdr:rowOff>
    </xdr:from>
    <xdr:to>
      <xdr:col>30</xdr:col>
      <xdr:colOff>0</xdr:colOff>
      <xdr:row>41</xdr:row>
      <xdr:rowOff>100260</xdr:rowOff>
    </xdr:to>
    <xdr:cxnSp macro="">
      <xdr:nvCxnSpPr>
        <xdr:cNvPr id="74" name="H2_LegendArrow">
          <a:extLst>
            <a:ext uri="{FF2B5EF4-FFF2-40B4-BE49-F238E27FC236}">
              <a16:creationId xmlns:a16="http://schemas.microsoft.com/office/drawing/2014/main" id="{00000000-0008-0000-0500-00004A000000}"/>
            </a:ext>
          </a:extLst>
        </xdr:cNvPr>
        <xdr:cNvCxnSpPr>
          <a:cxnSpLocks/>
        </xdr:cNvCxnSpPr>
      </xdr:nvCxnSpPr>
      <xdr:spPr>
        <a:xfrm>
          <a:off x="9525000" y="7339260"/>
          <a:ext cx="381000" cy="0"/>
        </a:xfrm>
        <a:prstGeom prst="straightConnector1">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0</xdr:colOff>
      <xdr:row>42</xdr:row>
      <xdr:rowOff>100260</xdr:rowOff>
    </xdr:from>
    <xdr:to>
      <xdr:col>30</xdr:col>
      <xdr:colOff>0</xdr:colOff>
      <xdr:row>42</xdr:row>
      <xdr:rowOff>100260</xdr:rowOff>
    </xdr:to>
    <xdr:cxnSp macro="">
      <xdr:nvCxnSpPr>
        <xdr:cNvPr id="76" name="Air_LegendArrow">
          <a:extLst>
            <a:ext uri="{FF2B5EF4-FFF2-40B4-BE49-F238E27FC236}">
              <a16:creationId xmlns:a16="http://schemas.microsoft.com/office/drawing/2014/main" id="{00000000-0008-0000-0500-00004C000000}"/>
            </a:ext>
          </a:extLst>
        </xdr:cNvPr>
        <xdr:cNvCxnSpPr>
          <a:cxnSpLocks/>
        </xdr:cNvCxnSpPr>
      </xdr:nvCxnSpPr>
      <xdr:spPr>
        <a:xfrm>
          <a:off x="9525000" y="752976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33</xdr:col>
      <xdr:colOff>0</xdr:colOff>
      <xdr:row>40</xdr:row>
      <xdr:rowOff>100260</xdr:rowOff>
    </xdr:from>
    <xdr:to>
      <xdr:col>34</xdr:col>
      <xdr:colOff>0</xdr:colOff>
      <xdr:row>40</xdr:row>
      <xdr:rowOff>100260</xdr:rowOff>
    </xdr:to>
    <xdr:cxnSp macro="">
      <xdr:nvCxnSpPr>
        <xdr:cNvPr id="77" name="Misc_LegendArrow">
          <a:extLst>
            <a:ext uri="{FF2B5EF4-FFF2-40B4-BE49-F238E27FC236}">
              <a16:creationId xmlns:a16="http://schemas.microsoft.com/office/drawing/2014/main" id="{00000000-0008-0000-0500-00004D000000}"/>
            </a:ext>
          </a:extLst>
        </xdr:cNvPr>
        <xdr:cNvCxnSpPr>
          <a:cxnSpLocks/>
        </xdr:cNvCxnSpPr>
      </xdr:nvCxnSpPr>
      <xdr:spPr>
        <a:xfrm>
          <a:off x="11049000" y="7148760"/>
          <a:ext cx="381000" cy="0"/>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29</xdr:col>
      <xdr:colOff>85538</xdr:colOff>
      <xdr:row>9</xdr:row>
      <xdr:rowOff>81825</xdr:rowOff>
    </xdr:from>
    <xdr:to>
      <xdr:col>31</xdr:col>
      <xdr:colOff>370459</xdr:colOff>
      <xdr:row>12</xdr:row>
      <xdr:rowOff>178505</xdr:rowOff>
    </xdr:to>
    <xdr:cxnSp macro="">
      <xdr:nvCxnSpPr>
        <xdr:cNvPr id="26" name="CO2_FromReductionToVent" hidden="1">
          <a:extLst>
            <a:ext uri="{FF2B5EF4-FFF2-40B4-BE49-F238E27FC236}">
              <a16:creationId xmlns:a16="http://schemas.microsoft.com/office/drawing/2014/main" id="{00000000-0008-0000-0500-00001A000000}"/>
            </a:ext>
          </a:extLst>
        </xdr:cNvPr>
        <xdr:cNvCxnSpPr>
          <a:cxnSpLocks/>
          <a:stCxn id="14" idx="7"/>
          <a:endCxn id="584" idx="4"/>
        </xdr:cNvCxnSpPr>
      </xdr:nvCxnSpPr>
      <xdr:spPr>
        <a:xfrm flipV="1">
          <a:off x="11502838" y="1783625"/>
          <a:ext cx="1072321" cy="668180"/>
        </a:xfrm>
        <a:prstGeom prst="bentConnector2">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25</xdr:row>
      <xdr:rowOff>189677</xdr:rowOff>
    </xdr:from>
    <xdr:to>
      <xdr:col>18</xdr:col>
      <xdr:colOff>339</xdr:colOff>
      <xdr:row>31</xdr:row>
      <xdr:rowOff>95700</xdr:rowOff>
    </xdr:to>
    <xdr:cxnSp macro="">
      <xdr:nvCxnSpPr>
        <xdr:cNvPr id="29" name="H2O_FromUrineProcessing">
          <a:extLst>
            <a:ext uri="{FF2B5EF4-FFF2-40B4-BE49-F238E27FC236}">
              <a16:creationId xmlns:a16="http://schemas.microsoft.com/office/drawing/2014/main" id="{00000000-0008-0000-0500-00001D000000}"/>
            </a:ext>
          </a:extLst>
        </xdr:cNvPr>
        <xdr:cNvCxnSpPr>
          <a:stCxn id="52" idx="3"/>
          <a:endCxn id="136" idx="17"/>
        </xdr:cNvCxnSpPr>
      </xdr:nvCxnSpPr>
      <xdr:spPr>
        <a:xfrm flipV="1">
          <a:off x="5893173" y="4939477"/>
          <a:ext cx="1193766" cy="1049023"/>
        </a:xfrm>
        <a:prstGeom prst="bentConnector3">
          <a:avLst>
            <a:gd name="adj1" fmla="val 8726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358588</xdr:colOff>
      <xdr:row>11</xdr:row>
      <xdr:rowOff>179294</xdr:rowOff>
    </xdr:from>
    <xdr:to>
      <xdr:col>6</xdr:col>
      <xdr:colOff>359288</xdr:colOff>
      <xdr:row>17</xdr:row>
      <xdr:rowOff>179294</xdr:rowOff>
    </xdr:to>
    <xdr:sp macro="" textlink="">
      <xdr:nvSpPr>
        <xdr:cNvPr id="112" name="HumidityControl">
          <a:extLst>
            <a:ext uri="{FF2B5EF4-FFF2-40B4-BE49-F238E27FC236}">
              <a16:creationId xmlns:a16="http://schemas.microsoft.com/office/drawing/2014/main" id="{00000000-0008-0000-0500-000070000000}"/>
            </a:ext>
          </a:extLst>
        </xdr:cNvPr>
        <xdr:cNvSpPr txBox="1"/>
      </xdr:nvSpPr>
      <xdr:spPr>
        <a:xfrm>
          <a:off x="752288" y="2262094"/>
          <a:ext cx="1969200" cy="11430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Plant Growth Chamber</a:t>
          </a:r>
        </a:p>
      </xdr:txBody>
    </xdr:sp>
    <xdr:clientData/>
  </xdr:twoCellAnchor>
  <xdr:twoCellAnchor editAs="oneCell">
    <xdr:from>
      <xdr:col>7</xdr:col>
      <xdr:colOff>0</xdr:colOff>
      <xdr:row>13</xdr:row>
      <xdr:rowOff>0</xdr:rowOff>
    </xdr:from>
    <xdr:to>
      <xdr:col>10</xdr:col>
      <xdr:colOff>0</xdr:colOff>
      <xdr:row>13</xdr:row>
      <xdr:rowOff>0</xdr:rowOff>
    </xdr:to>
    <xdr:cxnSp macro="">
      <xdr:nvCxnSpPr>
        <xdr:cNvPr id="117" name="CO2_ToPlants" hidden="1">
          <a:extLst>
            <a:ext uri="{FF2B5EF4-FFF2-40B4-BE49-F238E27FC236}">
              <a16:creationId xmlns:a16="http://schemas.microsoft.com/office/drawing/2014/main" id="{00000000-0008-0000-0500-000075000000}"/>
            </a:ext>
          </a:extLst>
        </xdr:cNvPr>
        <xdr:cNvCxnSpPr>
          <a:cxnSpLocks/>
        </xdr:cNvCxnSpPr>
      </xdr:nvCxnSpPr>
      <xdr:spPr>
        <a:xfrm flipH="1">
          <a:off x="2667000" y="1905000"/>
          <a:ext cx="1143000" cy="0"/>
        </a:xfrm>
        <a:prstGeom prst="straightConnector1">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16</xdr:row>
      <xdr:rowOff>183696</xdr:rowOff>
    </xdr:from>
    <xdr:to>
      <xdr:col>10</xdr:col>
      <xdr:colOff>0</xdr:colOff>
      <xdr:row>17</xdr:row>
      <xdr:rowOff>0</xdr:rowOff>
    </xdr:to>
    <xdr:cxnSp macro="">
      <xdr:nvCxnSpPr>
        <xdr:cNvPr id="120" name="O2_FromPlants" hidden="1">
          <a:extLst>
            <a:ext uri="{FF2B5EF4-FFF2-40B4-BE49-F238E27FC236}">
              <a16:creationId xmlns:a16="http://schemas.microsoft.com/office/drawing/2014/main" id="{00000000-0008-0000-0500-000078000000}"/>
            </a:ext>
          </a:extLst>
        </xdr:cNvPr>
        <xdr:cNvCxnSpPr>
          <a:cxnSpLocks/>
        </xdr:cNvCxnSpPr>
      </xdr:nvCxnSpPr>
      <xdr:spPr>
        <a:xfrm flipV="1">
          <a:off x="2667000" y="2660196"/>
          <a:ext cx="1143000" cy="6804"/>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359288</xdr:colOff>
      <xdr:row>14</xdr:row>
      <xdr:rowOff>171875</xdr:rowOff>
    </xdr:from>
    <xdr:to>
      <xdr:col>9</xdr:col>
      <xdr:colOff>380674</xdr:colOff>
      <xdr:row>14</xdr:row>
      <xdr:rowOff>179294</xdr:rowOff>
    </xdr:to>
    <xdr:cxnSp macro="">
      <xdr:nvCxnSpPr>
        <xdr:cNvPr id="123" name="H2O_FromPlants" hidden="1">
          <a:extLst>
            <a:ext uri="{FF2B5EF4-FFF2-40B4-BE49-F238E27FC236}">
              <a16:creationId xmlns:a16="http://schemas.microsoft.com/office/drawing/2014/main" id="{00000000-0008-0000-0500-00007B000000}"/>
            </a:ext>
          </a:extLst>
        </xdr:cNvPr>
        <xdr:cNvCxnSpPr>
          <a:cxnSpLocks/>
          <a:stCxn id="112" idx="3"/>
          <a:endCxn id="225" idx="12"/>
        </xdr:cNvCxnSpPr>
      </xdr:nvCxnSpPr>
      <xdr:spPr>
        <a:xfrm flipV="1">
          <a:off x="2721488" y="2826175"/>
          <a:ext cx="1202486" cy="7419"/>
        </a:xfrm>
        <a:prstGeom prst="straightConnector1">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0</xdr:colOff>
      <xdr:row>18</xdr:row>
      <xdr:rowOff>0</xdr:rowOff>
    </xdr:from>
    <xdr:to>
      <xdr:col>6</xdr:col>
      <xdr:colOff>0</xdr:colOff>
      <xdr:row>24</xdr:row>
      <xdr:rowOff>0</xdr:rowOff>
    </xdr:to>
    <xdr:cxnSp macro="">
      <xdr:nvCxnSpPr>
        <xdr:cNvPr id="127" name="EdibleFromPlants" hidden="1">
          <a:extLst>
            <a:ext uri="{FF2B5EF4-FFF2-40B4-BE49-F238E27FC236}">
              <a16:creationId xmlns:a16="http://schemas.microsoft.com/office/drawing/2014/main" id="{00000000-0008-0000-0500-00007F000000}"/>
            </a:ext>
          </a:extLst>
        </xdr:cNvPr>
        <xdr:cNvCxnSpPr>
          <a:cxnSpLocks/>
          <a:endCxn id="611" idx="0"/>
        </xdr:cNvCxnSpPr>
      </xdr:nvCxnSpPr>
      <xdr:spPr>
        <a:xfrm>
          <a:off x="2312894" y="3370729"/>
          <a:ext cx="0" cy="1129553"/>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14</xdr:row>
      <xdr:rowOff>179294</xdr:rowOff>
    </xdr:from>
    <xdr:to>
      <xdr:col>23</xdr:col>
      <xdr:colOff>700</xdr:colOff>
      <xdr:row>24</xdr:row>
      <xdr:rowOff>474</xdr:rowOff>
    </xdr:to>
    <xdr:cxnSp macro="">
      <xdr:nvCxnSpPr>
        <xdr:cNvPr id="60" name="H2O_ConPlants" hidden="1">
          <a:extLst>
            <a:ext uri="{FF2B5EF4-FFF2-40B4-BE49-F238E27FC236}">
              <a16:creationId xmlns:a16="http://schemas.microsoft.com/office/drawing/2014/main" id="{00000000-0008-0000-0500-00003C000000}"/>
            </a:ext>
          </a:extLst>
        </xdr:cNvPr>
        <xdr:cNvCxnSpPr>
          <a:stCxn id="136" idx="6"/>
          <a:endCxn id="112" idx="1"/>
        </xdr:cNvCxnSpPr>
      </xdr:nvCxnSpPr>
      <xdr:spPr>
        <a:xfrm flipH="1" flipV="1">
          <a:off x="752288" y="2833594"/>
          <a:ext cx="8303512" cy="1726180"/>
        </a:xfrm>
        <a:prstGeom prst="bentConnector5">
          <a:avLst>
            <a:gd name="adj1" fmla="val -4818"/>
            <a:gd name="adj2" fmla="val -205284"/>
            <a:gd name="adj3" fmla="val 102753"/>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18</xdr:col>
      <xdr:colOff>0</xdr:colOff>
      <xdr:row>24</xdr:row>
      <xdr:rowOff>0</xdr:rowOff>
    </xdr:from>
    <xdr:to>
      <xdr:col>23</xdr:col>
      <xdr:colOff>700</xdr:colOff>
      <xdr:row>27</xdr:row>
      <xdr:rowOff>900</xdr:rowOff>
    </xdr:to>
    <xdr:sp macro="" textlink="">
      <xdr:nvSpPr>
        <xdr:cNvPr id="136" name="H2O_Storage">
          <a:extLst>
            <a:ext uri="{FF2B5EF4-FFF2-40B4-BE49-F238E27FC236}">
              <a16:creationId xmlns:a16="http://schemas.microsoft.com/office/drawing/2014/main" id="{00000000-0008-0000-0500-000088000000}"/>
            </a:ext>
          </a:extLst>
        </xdr:cNvPr>
        <xdr:cNvSpPr txBox="1"/>
      </xdr:nvSpPr>
      <xdr:spPr>
        <a:xfrm>
          <a:off x="7086600" y="4559300"/>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H</a:t>
          </a:r>
          <a:r>
            <a:rPr lang="en-GB" sz="1100" baseline="-25000"/>
            <a:t>2</a:t>
          </a:r>
          <a:r>
            <a:rPr lang="en-GB" sz="1100"/>
            <a:t>O Storage</a:t>
          </a:r>
        </a:p>
      </xdr:txBody>
    </xdr:sp>
    <xdr:clientData/>
  </xdr:twoCellAnchor>
  <xdr:twoCellAnchor editAs="oneCell">
    <xdr:from>
      <xdr:col>2</xdr:col>
      <xdr:colOff>0</xdr:colOff>
      <xdr:row>24</xdr:row>
      <xdr:rowOff>0</xdr:rowOff>
    </xdr:from>
    <xdr:to>
      <xdr:col>4</xdr:col>
      <xdr:colOff>0</xdr:colOff>
      <xdr:row>27</xdr:row>
      <xdr:rowOff>0</xdr:rowOff>
    </xdr:to>
    <xdr:sp macro="" textlink="">
      <xdr:nvSpPr>
        <xdr:cNvPr id="152" name="Nutrients" hidden="1">
          <a:extLst>
            <a:ext uri="{FF2B5EF4-FFF2-40B4-BE49-F238E27FC236}">
              <a16:creationId xmlns:a16="http://schemas.microsoft.com/office/drawing/2014/main" id="{00000000-0008-0000-0500-000098000000}"/>
            </a:ext>
          </a:extLst>
        </xdr:cNvPr>
        <xdr:cNvSpPr txBox="1"/>
      </xdr:nvSpPr>
      <xdr:spPr>
        <a:xfrm>
          <a:off x="762000" y="4000500"/>
          <a:ext cx="762000" cy="5715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a:t>Nutrients</a:t>
          </a:r>
        </a:p>
      </xdr:txBody>
    </xdr:sp>
    <xdr:clientData/>
  </xdr:twoCellAnchor>
  <xdr:twoCellAnchor editAs="oneCell">
    <xdr:from>
      <xdr:col>3</xdr:col>
      <xdr:colOff>0</xdr:colOff>
      <xdr:row>18</xdr:row>
      <xdr:rowOff>0</xdr:rowOff>
    </xdr:from>
    <xdr:to>
      <xdr:col>3</xdr:col>
      <xdr:colOff>0</xdr:colOff>
      <xdr:row>24</xdr:row>
      <xdr:rowOff>0</xdr:rowOff>
    </xdr:to>
    <xdr:cxnSp macro="">
      <xdr:nvCxnSpPr>
        <xdr:cNvPr id="153" name="NutrientsToPlants" hidden="1">
          <a:extLst>
            <a:ext uri="{FF2B5EF4-FFF2-40B4-BE49-F238E27FC236}">
              <a16:creationId xmlns:a16="http://schemas.microsoft.com/office/drawing/2014/main" id="{00000000-0008-0000-0500-000099000000}"/>
            </a:ext>
          </a:extLst>
        </xdr:cNvPr>
        <xdr:cNvCxnSpPr>
          <a:cxnSpLocks/>
          <a:stCxn id="152" idx="0"/>
        </xdr:cNvCxnSpPr>
      </xdr:nvCxnSpPr>
      <xdr:spPr>
        <a:xfrm flipV="1">
          <a:off x="1143000" y="2857500"/>
          <a:ext cx="0" cy="1143000"/>
        </a:xfrm>
        <a:prstGeom prst="straightConnector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6350</xdr:colOff>
          <xdr:row>13</xdr:row>
          <xdr:rowOff>82550</xdr:rowOff>
        </xdr:from>
        <xdr:to>
          <xdr:col>6</xdr:col>
          <xdr:colOff>323850</xdr:colOff>
          <xdr:row>14</xdr:row>
          <xdr:rowOff>184150</xdr:rowOff>
        </xdr:to>
        <xdr:sp macro="" textlink="">
          <xdr:nvSpPr>
            <xdr:cNvPr id="200989" name="PlantGrowthChamberList" hidden="1">
              <a:extLst>
                <a:ext uri="{63B3BB69-23CF-44E3-9099-C40C66FF867C}">
                  <a14:compatExt spid="_x0000_s200989"/>
                </a:ext>
                <a:ext uri="{FF2B5EF4-FFF2-40B4-BE49-F238E27FC236}">
                  <a16:creationId xmlns:a16="http://schemas.microsoft.com/office/drawing/2014/main" id="{00000000-0008-0000-0500-00001D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184150</xdr:colOff>
          <xdr:row>15</xdr:row>
          <xdr:rowOff>25400</xdr:rowOff>
        </xdr:from>
        <xdr:to>
          <xdr:col>6</xdr:col>
          <xdr:colOff>311150</xdr:colOff>
          <xdr:row>16</xdr:row>
          <xdr:rowOff>107950</xdr:rowOff>
        </xdr:to>
        <xdr:sp macro="" textlink="">
          <xdr:nvSpPr>
            <xdr:cNvPr id="200990" name="PGC_NumberOfUnits" hidden="1">
              <a:extLst>
                <a:ext uri="{63B3BB69-23CF-44E3-9099-C40C66FF867C}">
                  <a14:compatExt spid="_x0000_s200990"/>
                </a:ext>
                <a:ext uri="{FF2B5EF4-FFF2-40B4-BE49-F238E27FC236}">
                  <a16:creationId xmlns:a16="http://schemas.microsoft.com/office/drawing/2014/main" id="{00000000-0008-0000-0500-00001E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15</xdr:row>
          <xdr:rowOff>44450</xdr:rowOff>
        </xdr:from>
        <xdr:to>
          <xdr:col>5</xdr:col>
          <xdr:colOff>31750</xdr:colOff>
          <xdr:row>16</xdr:row>
          <xdr:rowOff>6350</xdr:rowOff>
        </xdr:to>
        <xdr:sp macro="" textlink="">
          <xdr:nvSpPr>
            <xdr:cNvPr id="200991" name="PGC_LabelNumberOfUnits" hidden="1">
              <a:extLst>
                <a:ext uri="{63B3BB69-23CF-44E3-9099-C40C66FF867C}">
                  <a14:compatExt spid="_x0000_s200991"/>
                </a:ext>
                <a:ext uri="{FF2B5EF4-FFF2-40B4-BE49-F238E27FC236}">
                  <a16:creationId xmlns:a16="http://schemas.microsoft.com/office/drawing/2014/main" id="{00000000-0008-0000-0500-00001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14</xdr:col>
      <xdr:colOff>381373</xdr:colOff>
      <xdr:row>25</xdr:row>
      <xdr:rowOff>189677</xdr:rowOff>
    </xdr:from>
    <xdr:to>
      <xdr:col>18</xdr:col>
      <xdr:colOff>0</xdr:colOff>
      <xdr:row>30</xdr:row>
      <xdr:rowOff>95250</xdr:rowOff>
    </xdr:to>
    <xdr:cxnSp macro="">
      <xdr:nvCxnSpPr>
        <xdr:cNvPr id="91" name="HygieneH2O_ProdCrew" hidden="1">
          <a:extLst>
            <a:ext uri="{FF2B5EF4-FFF2-40B4-BE49-F238E27FC236}">
              <a16:creationId xmlns:a16="http://schemas.microsoft.com/office/drawing/2014/main" id="{00000000-0008-0000-0500-00005B000000}"/>
            </a:ext>
          </a:extLst>
        </xdr:cNvPr>
        <xdr:cNvCxnSpPr>
          <a:cxnSpLocks/>
          <a:stCxn id="503" idx="9"/>
        </xdr:cNvCxnSpPr>
      </xdr:nvCxnSpPr>
      <xdr:spPr>
        <a:xfrm>
          <a:off x="5893173" y="4939477"/>
          <a:ext cx="1193427" cy="858073"/>
        </a:xfrm>
        <a:prstGeom prst="bentConnector3">
          <a:avLst>
            <a:gd name="adj1" fmla="val 70751"/>
          </a:avLst>
        </a:prstGeom>
        <a:ln w="12700">
          <a:solidFill>
            <a:srgbClr val="6C8EBF"/>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23</xdr:col>
      <xdr:colOff>700</xdr:colOff>
      <xdr:row>14</xdr:row>
      <xdr:rowOff>185916</xdr:rowOff>
    </xdr:from>
    <xdr:to>
      <xdr:col>29</xdr:col>
      <xdr:colOff>71718</xdr:colOff>
      <xdr:row>24</xdr:row>
      <xdr:rowOff>190326</xdr:rowOff>
    </xdr:to>
    <xdr:cxnSp macro="">
      <xdr:nvCxnSpPr>
        <xdr:cNvPr id="119" name="H2O_ToCO2Reduction" hidden="1">
          <a:extLst>
            <a:ext uri="{FF2B5EF4-FFF2-40B4-BE49-F238E27FC236}">
              <a16:creationId xmlns:a16="http://schemas.microsoft.com/office/drawing/2014/main" id="{00000000-0008-0000-0500-000077000000}"/>
            </a:ext>
          </a:extLst>
        </xdr:cNvPr>
        <xdr:cNvCxnSpPr>
          <a:cxnSpLocks/>
          <a:stCxn id="136" idx="7"/>
        </xdr:cNvCxnSpPr>
      </xdr:nvCxnSpPr>
      <xdr:spPr>
        <a:xfrm flipV="1">
          <a:off x="9055800" y="2840216"/>
          <a:ext cx="2433218" cy="1909410"/>
        </a:xfrm>
        <a:prstGeom prst="bentConnector3">
          <a:avLst>
            <a:gd name="adj1" fmla="val 5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9</xdr:col>
      <xdr:colOff>380672</xdr:colOff>
      <xdr:row>7</xdr:row>
      <xdr:rowOff>84494</xdr:rowOff>
    </xdr:from>
    <xdr:to>
      <xdr:col>23</xdr:col>
      <xdr:colOff>361</xdr:colOff>
      <xdr:row>36</xdr:row>
      <xdr:rowOff>188060</xdr:rowOff>
    </xdr:to>
    <xdr:cxnSp macro="">
      <xdr:nvCxnSpPr>
        <xdr:cNvPr id="130" name="HumControlToWaste">
          <a:extLst>
            <a:ext uri="{FF2B5EF4-FFF2-40B4-BE49-F238E27FC236}">
              <a16:creationId xmlns:a16="http://schemas.microsoft.com/office/drawing/2014/main" id="{00000000-0008-0000-0500-000082000000}"/>
            </a:ext>
          </a:extLst>
        </xdr:cNvPr>
        <xdr:cNvCxnSpPr>
          <a:stCxn id="199" idx="1"/>
          <a:endCxn id="500" idx="8"/>
        </xdr:cNvCxnSpPr>
      </xdr:nvCxnSpPr>
      <xdr:spPr>
        <a:xfrm rot="10800000" flipH="1" flipV="1">
          <a:off x="3923972" y="1405294"/>
          <a:ext cx="5131489" cy="5628066"/>
        </a:xfrm>
        <a:prstGeom prst="bentConnector5">
          <a:avLst>
            <a:gd name="adj1" fmla="val -7177"/>
            <a:gd name="adj2" fmla="val 116843"/>
            <a:gd name="adj3" fmla="val 104455"/>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4</xdr:col>
      <xdr:colOff>162089</xdr:colOff>
      <xdr:row>17</xdr:row>
      <xdr:rowOff>179293</xdr:rowOff>
    </xdr:from>
    <xdr:to>
      <xdr:col>22</xdr:col>
      <xdr:colOff>7661</xdr:colOff>
      <xdr:row>38</xdr:row>
      <xdr:rowOff>187380</xdr:rowOff>
    </xdr:to>
    <xdr:cxnSp macro="">
      <xdr:nvCxnSpPr>
        <xdr:cNvPr id="84" name="Waste_FromPlants" hidden="1">
          <a:extLst>
            <a:ext uri="{FF2B5EF4-FFF2-40B4-BE49-F238E27FC236}">
              <a16:creationId xmlns:a16="http://schemas.microsoft.com/office/drawing/2014/main" id="{00000000-0008-0000-0500-000054000000}"/>
            </a:ext>
          </a:extLst>
        </xdr:cNvPr>
        <xdr:cNvCxnSpPr>
          <a:cxnSpLocks/>
          <a:stCxn id="112" idx="2"/>
          <a:endCxn id="500" idx="11"/>
        </xdr:cNvCxnSpPr>
      </xdr:nvCxnSpPr>
      <xdr:spPr>
        <a:xfrm rot="16200000" flipH="1">
          <a:off x="3198681" y="1943301"/>
          <a:ext cx="4008587" cy="6932172"/>
        </a:xfrm>
        <a:prstGeom prst="bentConnector4">
          <a:avLst>
            <a:gd name="adj1" fmla="val 115732"/>
            <a:gd name="adj2" fmla="val 99992"/>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7</xdr:row>
      <xdr:rowOff>84494</xdr:rowOff>
    </xdr:from>
    <xdr:to>
      <xdr:col>9</xdr:col>
      <xdr:colOff>380674</xdr:colOff>
      <xdr:row>11</xdr:row>
      <xdr:rowOff>179294</xdr:rowOff>
    </xdr:to>
    <xdr:cxnSp macro="">
      <xdr:nvCxnSpPr>
        <xdr:cNvPr id="16" name="HumControlToPlants" hidden="1">
          <a:extLst>
            <a:ext uri="{FF2B5EF4-FFF2-40B4-BE49-F238E27FC236}">
              <a16:creationId xmlns:a16="http://schemas.microsoft.com/office/drawing/2014/main" id="{00000000-0008-0000-0500-000010000000}"/>
            </a:ext>
          </a:extLst>
        </xdr:cNvPr>
        <xdr:cNvCxnSpPr>
          <a:stCxn id="199" idx="1"/>
          <a:endCxn id="112" idx="0"/>
        </xdr:cNvCxnSpPr>
      </xdr:nvCxnSpPr>
      <xdr:spPr>
        <a:xfrm rot="10800000" flipV="1">
          <a:off x="1736889" y="1405294"/>
          <a:ext cx="2187085" cy="856800"/>
        </a:xfrm>
        <a:prstGeom prst="bentConnector2">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197200</xdr:colOff>
      <xdr:row>33</xdr:row>
      <xdr:rowOff>900</xdr:rowOff>
    </xdr:from>
    <xdr:to>
      <xdr:col>20</xdr:col>
      <xdr:colOff>205736</xdr:colOff>
      <xdr:row>35</xdr:row>
      <xdr:rowOff>8965</xdr:rowOff>
    </xdr:to>
    <xdr:cxnSp macro="">
      <xdr:nvCxnSpPr>
        <xdr:cNvPr id="20" name="WWFiltrationToWaste">
          <a:extLst>
            <a:ext uri="{FF2B5EF4-FFF2-40B4-BE49-F238E27FC236}">
              <a16:creationId xmlns:a16="http://schemas.microsoft.com/office/drawing/2014/main" id="{00000000-0008-0000-0500-000014000000}"/>
            </a:ext>
          </a:extLst>
        </xdr:cNvPr>
        <xdr:cNvCxnSpPr>
          <a:stCxn id="8206" idx="2"/>
          <a:endCxn id="500" idx="3"/>
        </xdr:cNvCxnSpPr>
      </xdr:nvCxnSpPr>
      <xdr:spPr>
        <a:xfrm>
          <a:off x="8071200" y="6274700"/>
          <a:ext cx="8536" cy="389065"/>
        </a:xfrm>
        <a:prstGeom prst="straightConnector1">
          <a:avLst/>
        </a:prstGeom>
        <a:ln w="12700">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362</xdr:colOff>
      <xdr:row>7</xdr:row>
      <xdr:rowOff>0</xdr:rowOff>
    </xdr:from>
    <xdr:to>
      <xdr:col>26</xdr:col>
      <xdr:colOff>303700</xdr:colOff>
      <xdr:row>36</xdr:row>
      <xdr:rowOff>188060</xdr:rowOff>
    </xdr:to>
    <xdr:cxnSp macro="">
      <xdr:nvCxnSpPr>
        <xdr:cNvPr id="4" name="CO2_RemovalToWaste" hidden="1">
          <a:extLst>
            <a:ext uri="{FF2B5EF4-FFF2-40B4-BE49-F238E27FC236}">
              <a16:creationId xmlns:a16="http://schemas.microsoft.com/office/drawing/2014/main" id="{00000000-0008-0000-0500-000004000000}"/>
            </a:ext>
          </a:extLst>
        </xdr:cNvPr>
        <xdr:cNvCxnSpPr>
          <a:stCxn id="3" idx="0"/>
          <a:endCxn id="500" idx="8"/>
        </xdr:cNvCxnSpPr>
      </xdr:nvCxnSpPr>
      <xdr:spPr>
        <a:xfrm rot="16200000" flipH="1" flipV="1">
          <a:off x="6941401" y="3434861"/>
          <a:ext cx="5712560" cy="1484438"/>
        </a:xfrm>
        <a:prstGeom prst="bentConnector4">
          <a:avLst>
            <a:gd name="adj1" fmla="val -4002"/>
            <a:gd name="adj2" fmla="val 79114"/>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205880</xdr:colOff>
      <xdr:row>9</xdr:row>
      <xdr:rowOff>0</xdr:rowOff>
    </xdr:from>
    <xdr:to>
      <xdr:col>23</xdr:col>
      <xdr:colOff>700</xdr:colOff>
      <xdr:row>24</xdr:row>
      <xdr:rowOff>190326</xdr:rowOff>
    </xdr:to>
    <xdr:cxnSp macro="">
      <xdr:nvCxnSpPr>
        <xdr:cNvPr id="13" name="H2O_ToCO2Removal" hidden="1">
          <a:extLst>
            <a:ext uri="{FF2B5EF4-FFF2-40B4-BE49-F238E27FC236}">
              <a16:creationId xmlns:a16="http://schemas.microsoft.com/office/drawing/2014/main" id="{00000000-0008-0000-0500-00000D000000}"/>
            </a:ext>
          </a:extLst>
        </xdr:cNvPr>
        <xdr:cNvCxnSpPr>
          <a:stCxn id="136" idx="7"/>
        </xdr:cNvCxnSpPr>
      </xdr:nvCxnSpPr>
      <xdr:spPr>
        <a:xfrm flipH="1" flipV="1">
          <a:off x="8079880" y="1701800"/>
          <a:ext cx="975920" cy="3047826"/>
        </a:xfrm>
        <a:prstGeom prst="bentConnector4">
          <a:avLst>
            <a:gd name="adj1" fmla="val -29280"/>
            <a:gd name="adj2" fmla="val 88124"/>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190522</xdr:colOff>
      <xdr:row>5</xdr:row>
      <xdr:rowOff>172945</xdr:rowOff>
    </xdr:from>
    <xdr:to>
      <xdr:col>20</xdr:col>
      <xdr:colOff>201311</xdr:colOff>
      <xdr:row>5</xdr:row>
      <xdr:rowOff>185645</xdr:rowOff>
    </xdr:to>
    <xdr:cxnSp macro="">
      <xdr:nvCxnSpPr>
        <xdr:cNvPr id="110" name="H2O_FromHumControlToCO2Removal" hidden="1">
          <a:extLst>
            <a:ext uri="{FF2B5EF4-FFF2-40B4-BE49-F238E27FC236}">
              <a16:creationId xmlns:a16="http://schemas.microsoft.com/office/drawing/2014/main" id="{00000000-0008-0000-0500-00006E000000}"/>
            </a:ext>
          </a:extLst>
        </xdr:cNvPr>
        <xdr:cNvCxnSpPr>
          <a:stCxn id="199" idx="0"/>
          <a:endCxn id="56" idx="0"/>
        </xdr:cNvCxnSpPr>
      </xdr:nvCxnSpPr>
      <xdr:spPr>
        <a:xfrm rot="5400000" flipH="1" flipV="1">
          <a:off x="6488767" y="-461100"/>
          <a:ext cx="12700" cy="3160389"/>
        </a:xfrm>
        <a:prstGeom prst="bentConnector3">
          <a:avLst>
            <a:gd name="adj1" fmla="val 1800000"/>
          </a:avLst>
        </a:prstGeom>
        <a:ln w="12700">
          <a:solidFill>
            <a:srgbClr val="6C8EBF"/>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14</xdr:col>
      <xdr:colOff>381373</xdr:colOff>
      <xdr:row>31</xdr:row>
      <xdr:rowOff>94258</xdr:rowOff>
    </xdr:from>
    <xdr:to>
      <xdr:col>16</xdr:col>
      <xdr:colOff>0</xdr:colOff>
      <xdr:row>31</xdr:row>
      <xdr:rowOff>95700</xdr:rowOff>
    </xdr:to>
    <xdr:cxnSp macro="">
      <xdr:nvCxnSpPr>
        <xdr:cNvPr id="121" name="GreyWaterFromUrineToWaste" hidden="1">
          <a:extLst>
            <a:ext uri="{FF2B5EF4-FFF2-40B4-BE49-F238E27FC236}">
              <a16:creationId xmlns:a16="http://schemas.microsoft.com/office/drawing/2014/main" id="{00000000-0008-0000-0500-000079000000}"/>
            </a:ext>
          </a:extLst>
        </xdr:cNvPr>
        <xdr:cNvCxnSpPr>
          <a:stCxn id="52" idx="3"/>
        </xdr:cNvCxnSpPr>
      </xdr:nvCxnSpPr>
      <xdr:spPr>
        <a:xfrm flipV="1">
          <a:off x="5893173" y="5987058"/>
          <a:ext cx="406027" cy="1442"/>
        </a:xfrm>
        <a:prstGeom prst="straightConnector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18</xdr:row>
      <xdr:rowOff>0</xdr:rowOff>
    </xdr:from>
    <xdr:to>
      <xdr:col>16</xdr:col>
      <xdr:colOff>0</xdr:colOff>
      <xdr:row>18</xdr:row>
      <xdr:rowOff>1</xdr:rowOff>
    </xdr:to>
    <xdr:cxnSp macro="">
      <xdr:nvCxnSpPr>
        <xdr:cNvPr id="96" name="Gerade Verbindung mit Pfeil 95">
          <a:extLst>
            <a:ext uri="{FF2B5EF4-FFF2-40B4-BE49-F238E27FC236}">
              <a16:creationId xmlns:a16="http://schemas.microsoft.com/office/drawing/2014/main" id="{00000000-0008-0000-0500-000060000000}"/>
            </a:ext>
          </a:extLst>
        </xdr:cNvPr>
        <xdr:cNvCxnSpPr/>
      </xdr:nvCxnSpPr>
      <xdr:spPr>
        <a:xfrm flipV="1">
          <a:off x="5715000" y="3048000"/>
          <a:ext cx="381000" cy="1"/>
        </a:xfrm>
        <a:prstGeom prst="straightConnector1">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15</xdr:col>
      <xdr:colOff>0</xdr:colOff>
      <xdr:row>19</xdr:row>
      <xdr:rowOff>0</xdr:rowOff>
    </xdr:from>
    <xdr:to>
      <xdr:col>16</xdr:col>
      <xdr:colOff>0</xdr:colOff>
      <xdr:row>19</xdr:row>
      <xdr:rowOff>0</xdr:rowOff>
    </xdr:to>
    <xdr:cxnSp macro="">
      <xdr:nvCxnSpPr>
        <xdr:cNvPr id="102" name="Gerade Verbindung mit Pfeil 101">
          <a:extLst>
            <a:ext uri="{FF2B5EF4-FFF2-40B4-BE49-F238E27FC236}">
              <a16:creationId xmlns:a16="http://schemas.microsoft.com/office/drawing/2014/main" id="{00000000-0008-0000-0500-000066000000}"/>
            </a:ext>
          </a:extLst>
        </xdr:cNvPr>
        <xdr:cNvCxnSpPr/>
      </xdr:nvCxnSpPr>
      <xdr:spPr>
        <a:xfrm>
          <a:off x="5715000" y="3238500"/>
          <a:ext cx="381000" cy="0"/>
        </a:xfrm>
        <a:prstGeom prst="straightConnector1">
          <a:avLst/>
        </a:prstGeom>
        <a:ln w="12700">
          <a:solidFill>
            <a:srgbClr val="4DAF4A"/>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31</xdr:col>
          <xdr:colOff>0</xdr:colOff>
          <xdr:row>0</xdr:row>
          <xdr:rowOff>139700</xdr:rowOff>
        </xdr:from>
        <xdr:to>
          <xdr:col>34</xdr:col>
          <xdr:colOff>342900</xdr:colOff>
          <xdr:row>2</xdr:row>
          <xdr:rowOff>25400</xdr:rowOff>
        </xdr:to>
        <xdr:sp macro="" textlink="">
          <xdr:nvSpPr>
            <xdr:cNvPr id="200999" name="AtmosphereMonitoringList" hidden="1">
              <a:extLst>
                <a:ext uri="{63B3BB69-23CF-44E3-9099-C40C66FF867C}">
                  <a14:compatExt spid="_x0000_s200999"/>
                </a:ext>
                <a:ext uri="{FF2B5EF4-FFF2-40B4-BE49-F238E27FC236}">
                  <a16:creationId xmlns:a16="http://schemas.microsoft.com/office/drawing/2014/main" id="{00000000-0008-0000-0500-000027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2</xdr:row>
          <xdr:rowOff>0</xdr:rowOff>
        </xdr:from>
        <xdr:to>
          <xdr:col>34</xdr:col>
          <xdr:colOff>342900</xdr:colOff>
          <xdr:row>3</xdr:row>
          <xdr:rowOff>63500</xdr:rowOff>
        </xdr:to>
        <xdr:sp macro="" textlink="">
          <xdr:nvSpPr>
            <xdr:cNvPr id="201002" name="TraceContaminantControlList" hidden="1">
              <a:extLst>
                <a:ext uri="{63B3BB69-23CF-44E3-9099-C40C66FF867C}">
                  <a14:compatExt spid="_x0000_s201002"/>
                </a:ext>
                <a:ext uri="{FF2B5EF4-FFF2-40B4-BE49-F238E27FC236}">
                  <a16:creationId xmlns:a16="http://schemas.microsoft.com/office/drawing/2014/main" id="{00000000-0008-0000-0500-00002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25400</xdr:colOff>
          <xdr:row>25</xdr:row>
          <xdr:rowOff>107950</xdr:rowOff>
        </xdr:from>
        <xdr:to>
          <xdr:col>22</xdr:col>
          <xdr:colOff>355600</xdr:colOff>
          <xdr:row>26</xdr:row>
          <xdr:rowOff>152400</xdr:rowOff>
        </xdr:to>
        <xdr:sp macro="" textlink="">
          <xdr:nvSpPr>
            <xdr:cNvPr id="201007" name="WaterBalance" hidden="1">
              <a:extLst>
                <a:ext uri="{63B3BB69-23CF-44E3-9099-C40C66FF867C}">
                  <a14:compatExt spid="_x0000_s201007"/>
                </a:ext>
                <a:ext uri="{FF2B5EF4-FFF2-40B4-BE49-F238E27FC236}">
                  <a16:creationId xmlns:a16="http://schemas.microsoft.com/office/drawing/2014/main" id="{00000000-0008-0000-0500-00002F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212912</xdr:colOff>
      <xdr:row>19</xdr:row>
      <xdr:rowOff>171876</xdr:rowOff>
    </xdr:from>
    <xdr:to>
      <xdr:col>9</xdr:col>
      <xdr:colOff>380673</xdr:colOff>
      <xdr:row>39</xdr:row>
      <xdr:rowOff>168090</xdr:rowOff>
    </xdr:to>
    <xdr:cxnSp macro="">
      <xdr:nvCxnSpPr>
        <xdr:cNvPr id="6" name="CO2_FromWasteToCabin1" hidden="1">
          <a:extLst>
            <a:ext uri="{FF2B5EF4-FFF2-40B4-BE49-F238E27FC236}">
              <a16:creationId xmlns:a16="http://schemas.microsoft.com/office/drawing/2014/main" id="{00000000-0008-0000-0500-000006000000}"/>
            </a:ext>
          </a:extLst>
        </xdr:cNvPr>
        <xdr:cNvCxnSpPr>
          <a:endCxn id="225" idx="7"/>
        </xdr:cNvCxnSpPr>
      </xdr:nvCxnSpPr>
      <xdr:spPr>
        <a:xfrm rot="5400000" flipH="1" flipV="1">
          <a:off x="1936986" y="5597902"/>
          <a:ext cx="3806214" cy="167761"/>
        </a:xfrm>
        <a:prstGeom prst="bentConnector4">
          <a:avLst>
            <a:gd name="adj1" fmla="val 47408"/>
            <a:gd name="adj2" fmla="val -2200"/>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212273</xdr:colOff>
      <xdr:row>38</xdr:row>
      <xdr:rowOff>187380</xdr:rowOff>
    </xdr:from>
    <xdr:to>
      <xdr:col>19</xdr:col>
      <xdr:colOff>7442</xdr:colOff>
      <xdr:row>39</xdr:row>
      <xdr:rowOff>163286</xdr:rowOff>
    </xdr:to>
    <xdr:cxnSp macro="">
      <xdr:nvCxnSpPr>
        <xdr:cNvPr id="24" name="CO2_FromWasteToCabin2" hidden="1">
          <a:extLst>
            <a:ext uri="{FF2B5EF4-FFF2-40B4-BE49-F238E27FC236}">
              <a16:creationId xmlns:a16="http://schemas.microsoft.com/office/drawing/2014/main" id="{00000000-0008-0000-0500-000018000000}"/>
            </a:ext>
          </a:extLst>
        </xdr:cNvPr>
        <xdr:cNvCxnSpPr>
          <a:stCxn id="500" idx="15"/>
        </xdr:cNvCxnSpPr>
      </xdr:nvCxnSpPr>
      <xdr:spPr>
        <a:xfrm flipH="1">
          <a:off x="3755573" y="7413680"/>
          <a:ext cx="3732169" cy="166406"/>
        </a:xfrm>
        <a:prstGeom prst="bentConnector3">
          <a:avLst>
            <a:gd name="adj1" fmla="val -48140"/>
          </a:avLst>
        </a:prstGeom>
        <a:ln w="12700">
          <a:solidFill>
            <a:srgbClr val="999999"/>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87923</xdr:colOff>
      <xdr:row>27</xdr:row>
      <xdr:rowOff>7327</xdr:rowOff>
    </xdr:from>
    <xdr:to>
      <xdr:col>11</xdr:col>
      <xdr:colOff>94727</xdr:colOff>
      <xdr:row>27</xdr:row>
      <xdr:rowOff>7803</xdr:rowOff>
    </xdr:to>
    <xdr:cxnSp macro="">
      <xdr:nvCxnSpPr>
        <xdr:cNvPr id="36" name="CrewUrineToPlants" hidden="1">
          <a:extLst>
            <a:ext uri="{FF2B5EF4-FFF2-40B4-BE49-F238E27FC236}">
              <a16:creationId xmlns:a16="http://schemas.microsoft.com/office/drawing/2014/main" id="{00000000-0008-0000-0500-000024000000}"/>
            </a:ext>
          </a:extLst>
        </xdr:cNvPr>
        <xdr:cNvCxnSpPr/>
      </xdr:nvCxnSpPr>
      <xdr:spPr>
        <a:xfrm flipH="1" flipV="1">
          <a:off x="1230923" y="5150827"/>
          <a:ext cx="3054804" cy="476"/>
        </a:xfrm>
        <a:prstGeom prst="bentConnector4">
          <a:avLst>
            <a:gd name="adj1" fmla="val -65"/>
            <a:gd name="adj2" fmla="val -73153571"/>
          </a:avLst>
        </a:prstGeom>
        <a:ln w="12700">
          <a:solidFill>
            <a:srgbClr val="FF7F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44450</xdr:colOff>
          <xdr:row>16</xdr:row>
          <xdr:rowOff>114300</xdr:rowOff>
        </xdr:from>
        <xdr:to>
          <xdr:col>6</xdr:col>
          <xdr:colOff>273050</xdr:colOff>
          <xdr:row>17</xdr:row>
          <xdr:rowOff>127000</xdr:rowOff>
        </xdr:to>
        <xdr:sp macro="" textlink="">
          <xdr:nvSpPr>
            <xdr:cNvPr id="201010" name="PGCurineTreatmentOption" hidden="1">
              <a:extLst>
                <a:ext uri="{63B3BB69-23CF-44E3-9099-C40C66FF867C}">
                  <a14:compatExt spid="_x0000_s201010"/>
                </a:ext>
                <a:ext uri="{FF2B5EF4-FFF2-40B4-BE49-F238E27FC236}">
                  <a16:creationId xmlns:a16="http://schemas.microsoft.com/office/drawing/2014/main" id="{00000000-0008-0000-0500-000032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254000</xdr:colOff>
          <xdr:row>37</xdr:row>
          <xdr:rowOff>101600</xdr:rowOff>
        </xdr:from>
        <xdr:to>
          <xdr:col>22</xdr:col>
          <xdr:colOff>133350</xdr:colOff>
          <xdr:row>38</xdr:row>
          <xdr:rowOff>107950</xdr:rowOff>
        </xdr:to>
        <xdr:sp macro="" textlink="">
          <xdr:nvSpPr>
            <xdr:cNvPr id="201011" name="OptionIncinerateInedible" hidden="1">
              <a:extLst>
                <a:ext uri="{63B3BB69-23CF-44E3-9099-C40C66FF867C}">
                  <a14:compatExt spid="_x0000_s201011"/>
                </a:ext>
                <a:ext uri="{FF2B5EF4-FFF2-40B4-BE49-F238E27FC236}">
                  <a16:creationId xmlns:a16="http://schemas.microsoft.com/office/drawing/2014/main" id="{00000000-0008-0000-0500-000033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358588</xdr:colOff>
      <xdr:row>2</xdr:row>
      <xdr:rowOff>134471</xdr:rowOff>
    </xdr:from>
    <xdr:to>
      <xdr:col>6</xdr:col>
      <xdr:colOff>359288</xdr:colOff>
      <xdr:row>8</xdr:row>
      <xdr:rowOff>44824</xdr:rowOff>
    </xdr:to>
    <xdr:sp macro="" textlink="">
      <xdr:nvSpPr>
        <xdr:cNvPr id="2" name="CO2Removal">
          <a:extLst>
            <a:ext uri="{FF2B5EF4-FFF2-40B4-BE49-F238E27FC236}">
              <a16:creationId xmlns:a16="http://schemas.microsoft.com/office/drawing/2014/main" id="{00000000-0008-0000-0500-000002000000}"/>
            </a:ext>
          </a:extLst>
        </xdr:cNvPr>
        <xdr:cNvSpPr txBox="1"/>
      </xdr:nvSpPr>
      <xdr:spPr>
        <a:xfrm>
          <a:off x="752288" y="502771"/>
          <a:ext cx="1969200" cy="1053353"/>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PBR</a:t>
          </a:r>
        </a:p>
      </xdr:txBody>
    </xdr:sp>
    <xdr:clientData/>
  </xdr:twoCellAnchor>
  <mc:AlternateContent xmlns:mc="http://schemas.openxmlformats.org/markup-compatibility/2006">
    <mc:Choice xmlns:a14="http://schemas.microsoft.com/office/drawing/2010/main" Requires="a14">
      <xdr:twoCellAnchor editAs="oneCell">
        <xdr:from>
          <xdr:col>1</xdr:col>
          <xdr:colOff>387350</xdr:colOff>
          <xdr:row>4</xdr:row>
          <xdr:rowOff>31750</xdr:rowOff>
        </xdr:from>
        <xdr:to>
          <xdr:col>6</xdr:col>
          <xdr:colOff>311150</xdr:colOff>
          <xdr:row>5</xdr:row>
          <xdr:rowOff>133350</xdr:rowOff>
        </xdr:to>
        <xdr:sp macro="" textlink="">
          <xdr:nvSpPr>
            <xdr:cNvPr id="201014" name="PBRList" hidden="1">
              <a:extLst>
                <a:ext uri="{63B3BB69-23CF-44E3-9099-C40C66FF867C}">
                  <a14:compatExt spid="_x0000_s201014"/>
                </a:ext>
                <a:ext uri="{FF2B5EF4-FFF2-40B4-BE49-F238E27FC236}">
                  <a16:creationId xmlns:a16="http://schemas.microsoft.com/office/drawing/2014/main" id="{00000000-0008-0000-0500-000036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162089</xdr:colOff>
      <xdr:row>2</xdr:row>
      <xdr:rowOff>134471</xdr:rowOff>
    </xdr:from>
    <xdr:to>
      <xdr:col>26</xdr:col>
      <xdr:colOff>303701</xdr:colOff>
      <xdr:row>7</xdr:row>
      <xdr:rowOff>0</xdr:rowOff>
    </xdr:to>
    <xdr:cxnSp macro="">
      <xdr:nvCxnSpPr>
        <xdr:cNvPr id="17" name="CO2ToPBR" hidden="1">
          <a:extLst>
            <a:ext uri="{FF2B5EF4-FFF2-40B4-BE49-F238E27FC236}">
              <a16:creationId xmlns:a16="http://schemas.microsoft.com/office/drawing/2014/main" id="{00000000-0008-0000-0500-000011000000}"/>
            </a:ext>
          </a:extLst>
        </xdr:cNvPr>
        <xdr:cNvCxnSpPr>
          <a:stCxn id="3" idx="0"/>
          <a:endCxn id="2" idx="0"/>
        </xdr:cNvCxnSpPr>
      </xdr:nvCxnSpPr>
      <xdr:spPr>
        <a:xfrm rot="16200000" flipV="1">
          <a:off x="5729380" y="-3489720"/>
          <a:ext cx="818029" cy="8803012"/>
        </a:xfrm>
        <a:prstGeom prst="bentConnector3">
          <a:avLst>
            <a:gd name="adj1" fmla="val 110867"/>
          </a:avLst>
        </a:prstGeom>
        <a:ln w="12700">
          <a:solidFill>
            <a:srgbClr val="999999"/>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5</xdr:row>
      <xdr:rowOff>89648</xdr:rowOff>
    </xdr:from>
    <xdr:to>
      <xdr:col>6</xdr:col>
      <xdr:colOff>359288</xdr:colOff>
      <xdr:row>24</xdr:row>
      <xdr:rowOff>0</xdr:rowOff>
    </xdr:to>
    <xdr:cxnSp macro="">
      <xdr:nvCxnSpPr>
        <xdr:cNvPr id="27" name="FoodFromPBR" hidden="1">
          <a:extLst>
            <a:ext uri="{FF2B5EF4-FFF2-40B4-BE49-F238E27FC236}">
              <a16:creationId xmlns:a16="http://schemas.microsoft.com/office/drawing/2014/main" id="{00000000-0008-0000-0500-00001B000000}"/>
            </a:ext>
          </a:extLst>
        </xdr:cNvPr>
        <xdr:cNvCxnSpPr>
          <a:stCxn id="2" idx="3"/>
          <a:endCxn id="611" idx="0"/>
        </xdr:cNvCxnSpPr>
      </xdr:nvCxnSpPr>
      <xdr:spPr>
        <a:xfrm flipH="1">
          <a:off x="2362200" y="1029448"/>
          <a:ext cx="359288" cy="3529852"/>
        </a:xfrm>
        <a:prstGeom prst="bentConnector4">
          <a:avLst>
            <a:gd name="adj1" fmla="val -63626"/>
            <a:gd name="adj2" fmla="val 73291"/>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162089</xdr:colOff>
      <xdr:row>8</xdr:row>
      <xdr:rowOff>44823</xdr:rowOff>
    </xdr:from>
    <xdr:to>
      <xdr:col>20</xdr:col>
      <xdr:colOff>197201</xdr:colOff>
      <xdr:row>11</xdr:row>
      <xdr:rowOff>178678</xdr:rowOff>
    </xdr:to>
    <xdr:cxnSp macro="">
      <xdr:nvCxnSpPr>
        <xdr:cNvPr id="39" name="O2FromPBR" hidden="1">
          <a:extLst>
            <a:ext uri="{FF2B5EF4-FFF2-40B4-BE49-F238E27FC236}">
              <a16:creationId xmlns:a16="http://schemas.microsoft.com/office/drawing/2014/main" id="{00000000-0008-0000-0500-000027000000}"/>
            </a:ext>
          </a:extLst>
        </xdr:cNvPr>
        <xdr:cNvCxnSpPr>
          <a:stCxn id="2" idx="2"/>
          <a:endCxn id="67" idx="0"/>
        </xdr:cNvCxnSpPr>
      </xdr:nvCxnSpPr>
      <xdr:spPr>
        <a:xfrm rot="16200000" flipH="1">
          <a:off x="4551367" y="-1258355"/>
          <a:ext cx="705355" cy="6334312"/>
        </a:xfrm>
        <a:prstGeom prst="bentConnector3">
          <a:avLst>
            <a:gd name="adj1" fmla="val 59903"/>
          </a:avLst>
        </a:prstGeom>
        <a:ln w="12700">
          <a:solidFill>
            <a:srgbClr val="984EA3"/>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358588</xdr:colOff>
      <xdr:row>5</xdr:row>
      <xdr:rowOff>89647</xdr:rowOff>
    </xdr:from>
    <xdr:to>
      <xdr:col>22</xdr:col>
      <xdr:colOff>7660</xdr:colOff>
      <xdr:row>38</xdr:row>
      <xdr:rowOff>187380</xdr:rowOff>
    </xdr:to>
    <xdr:cxnSp macro="">
      <xdr:nvCxnSpPr>
        <xdr:cNvPr id="44" name="InedibleBiomassPBR" hidden="1">
          <a:extLst>
            <a:ext uri="{FF2B5EF4-FFF2-40B4-BE49-F238E27FC236}">
              <a16:creationId xmlns:a16="http://schemas.microsoft.com/office/drawing/2014/main" id="{00000000-0008-0000-0500-00002C000000}"/>
            </a:ext>
          </a:extLst>
        </xdr:cNvPr>
        <xdr:cNvCxnSpPr>
          <a:stCxn id="2" idx="1"/>
          <a:endCxn id="500" idx="11"/>
        </xdr:cNvCxnSpPr>
      </xdr:nvCxnSpPr>
      <xdr:spPr>
        <a:xfrm rot="10800000" flipH="1" flipV="1">
          <a:off x="752288" y="1029447"/>
          <a:ext cx="7916772" cy="6384233"/>
        </a:xfrm>
        <a:prstGeom prst="bentConnector5">
          <a:avLst>
            <a:gd name="adj1" fmla="val -2888"/>
            <a:gd name="adj2" fmla="val 111312"/>
            <a:gd name="adj3" fmla="val 100000"/>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84838</xdr:colOff>
      <xdr:row>11</xdr:row>
      <xdr:rowOff>178679</xdr:rowOff>
    </xdr:from>
    <xdr:to>
      <xdr:col>29</xdr:col>
      <xdr:colOff>85538</xdr:colOff>
      <xdr:row>14</xdr:row>
      <xdr:rowOff>179579</xdr:rowOff>
    </xdr:to>
    <xdr:sp macro="" textlink="">
      <xdr:nvSpPr>
        <xdr:cNvPr id="14" name="CO2_Reduction">
          <a:extLst>
            <a:ext uri="{FF2B5EF4-FFF2-40B4-BE49-F238E27FC236}">
              <a16:creationId xmlns:a16="http://schemas.microsoft.com/office/drawing/2014/main" id="{00000000-0008-0000-0500-00000E000000}"/>
            </a:ext>
          </a:extLst>
        </xdr:cNvPr>
        <xdr:cNvSpPr txBox="1"/>
      </xdr:nvSpPr>
      <xdr:spPr>
        <a:xfrm>
          <a:off x="9533638" y="2261479"/>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CO</a:t>
          </a:r>
          <a:r>
            <a:rPr lang="en-GB" sz="1100" baseline="-25000"/>
            <a:t>2</a:t>
          </a:r>
          <a:r>
            <a:rPr lang="en-GB" sz="1100"/>
            <a:t> Reduction</a:t>
          </a:r>
        </a:p>
      </xdr:txBody>
    </xdr:sp>
    <xdr:clientData/>
  </xdr:twoCellAnchor>
  <xdr:twoCellAnchor>
    <xdr:from>
      <xdr:col>6</xdr:col>
      <xdr:colOff>367554</xdr:colOff>
      <xdr:row>3</xdr:row>
      <xdr:rowOff>116542</xdr:rowOff>
    </xdr:from>
    <xdr:to>
      <xdr:col>23</xdr:col>
      <xdr:colOff>700</xdr:colOff>
      <xdr:row>24</xdr:row>
      <xdr:rowOff>190326</xdr:rowOff>
    </xdr:to>
    <xdr:cxnSp macro="">
      <xdr:nvCxnSpPr>
        <xdr:cNvPr id="19" name="WaterToPBR" hidden="1">
          <a:extLst>
            <a:ext uri="{FF2B5EF4-FFF2-40B4-BE49-F238E27FC236}">
              <a16:creationId xmlns:a16="http://schemas.microsoft.com/office/drawing/2014/main" id="{00000000-0008-0000-0500-000013000000}"/>
            </a:ext>
          </a:extLst>
        </xdr:cNvPr>
        <xdr:cNvCxnSpPr>
          <a:stCxn id="136" idx="7"/>
        </xdr:cNvCxnSpPr>
      </xdr:nvCxnSpPr>
      <xdr:spPr>
        <a:xfrm flipH="1" flipV="1">
          <a:off x="2729754" y="675342"/>
          <a:ext cx="6326046" cy="4074284"/>
        </a:xfrm>
        <a:prstGeom prst="bentConnector3">
          <a:avLst>
            <a:gd name="adj1" fmla="val -3614"/>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358587</xdr:colOff>
      <xdr:row>5</xdr:row>
      <xdr:rowOff>89648</xdr:rowOff>
    </xdr:from>
    <xdr:to>
      <xdr:col>20</xdr:col>
      <xdr:colOff>482</xdr:colOff>
      <xdr:row>26</xdr:row>
      <xdr:rowOff>189028</xdr:rowOff>
    </xdr:to>
    <xdr:cxnSp macro="">
      <xdr:nvCxnSpPr>
        <xdr:cNvPr id="31" name="WaterFromPBR" hidden="1">
          <a:extLst>
            <a:ext uri="{FF2B5EF4-FFF2-40B4-BE49-F238E27FC236}">
              <a16:creationId xmlns:a16="http://schemas.microsoft.com/office/drawing/2014/main" id="{00000000-0008-0000-0500-00001F000000}"/>
            </a:ext>
          </a:extLst>
        </xdr:cNvPr>
        <xdr:cNvCxnSpPr>
          <a:stCxn id="2" idx="1"/>
          <a:endCxn id="136" idx="14"/>
        </xdr:cNvCxnSpPr>
      </xdr:nvCxnSpPr>
      <xdr:spPr>
        <a:xfrm rot="10800000" flipH="1" flipV="1">
          <a:off x="752287" y="1029448"/>
          <a:ext cx="7122195" cy="4099880"/>
        </a:xfrm>
        <a:prstGeom prst="bentConnector5">
          <a:avLst>
            <a:gd name="adj1" fmla="val -5439"/>
            <a:gd name="adj2" fmla="val 106932"/>
            <a:gd name="adj3" fmla="val 9991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385482</xdr:colOff>
      <xdr:row>8</xdr:row>
      <xdr:rowOff>44824</xdr:rowOff>
    </xdr:from>
    <xdr:to>
      <xdr:col>3</xdr:col>
      <xdr:colOff>215152</xdr:colOff>
      <xdr:row>25</xdr:row>
      <xdr:rowOff>94130</xdr:rowOff>
    </xdr:to>
    <xdr:cxnSp macro="">
      <xdr:nvCxnSpPr>
        <xdr:cNvPr id="43" name="NutrientsToPBR" hidden="1">
          <a:extLst>
            <a:ext uri="{FF2B5EF4-FFF2-40B4-BE49-F238E27FC236}">
              <a16:creationId xmlns:a16="http://schemas.microsoft.com/office/drawing/2014/main" id="{00000000-0008-0000-0500-00002B000000}"/>
            </a:ext>
          </a:extLst>
        </xdr:cNvPr>
        <xdr:cNvCxnSpPr>
          <a:stCxn id="152" idx="1"/>
        </xdr:cNvCxnSpPr>
      </xdr:nvCxnSpPr>
      <xdr:spPr>
        <a:xfrm rot="10800000" flipH="1">
          <a:off x="770964" y="1532965"/>
          <a:ext cx="600635" cy="3249706"/>
        </a:xfrm>
        <a:prstGeom prst="bentConnector4">
          <a:avLst>
            <a:gd name="adj1" fmla="val -25711"/>
            <a:gd name="adj2" fmla="val 90207"/>
          </a:avLst>
        </a:prstGeom>
        <a:ln w="12700">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2</xdr:col>
          <xdr:colOff>12700</xdr:colOff>
          <xdr:row>6</xdr:row>
          <xdr:rowOff>31750</xdr:rowOff>
        </xdr:from>
        <xdr:to>
          <xdr:col>5</xdr:col>
          <xdr:colOff>215900</xdr:colOff>
          <xdr:row>7</xdr:row>
          <xdr:rowOff>107950</xdr:rowOff>
        </xdr:to>
        <xdr:sp macro="" textlink="">
          <xdr:nvSpPr>
            <xdr:cNvPr id="201016" name="PBR_LabelCO2Percentage" hidden="1">
              <a:extLst>
                <a:ext uri="{63B3BB69-23CF-44E3-9099-C40C66FF867C}">
                  <a14:compatExt spid="_x0000_s201016"/>
                </a:ext>
                <a:ext uri="{FF2B5EF4-FFF2-40B4-BE49-F238E27FC236}">
                  <a16:creationId xmlns:a16="http://schemas.microsoft.com/office/drawing/2014/main" id="{00000000-0008-0000-0500-000038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234950</xdr:colOff>
          <xdr:row>6</xdr:row>
          <xdr:rowOff>25400</xdr:rowOff>
        </xdr:from>
        <xdr:to>
          <xdr:col>6</xdr:col>
          <xdr:colOff>311150</xdr:colOff>
          <xdr:row>7</xdr:row>
          <xdr:rowOff>76200</xdr:rowOff>
        </xdr:to>
        <xdr:sp macro="" textlink="">
          <xdr:nvSpPr>
            <xdr:cNvPr id="201017" name="PBR_CO2Percentage" hidden="1">
              <a:extLst>
                <a:ext uri="{63B3BB69-23CF-44E3-9099-C40C66FF867C}">
                  <a14:compatExt spid="_x0000_s201017"/>
                </a:ext>
                <a:ext uri="{FF2B5EF4-FFF2-40B4-BE49-F238E27FC236}">
                  <a16:creationId xmlns:a16="http://schemas.microsoft.com/office/drawing/2014/main" id="{00000000-0008-0000-0500-000039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127000</xdr:colOff>
          <xdr:row>13</xdr:row>
          <xdr:rowOff>25400</xdr:rowOff>
        </xdr:from>
        <xdr:to>
          <xdr:col>29</xdr:col>
          <xdr:colOff>44450</xdr:colOff>
          <xdr:row>14</xdr:row>
          <xdr:rowOff>127000</xdr:rowOff>
        </xdr:to>
        <xdr:sp macro="" textlink="">
          <xdr:nvSpPr>
            <xdr:cNvPr id="200981" name="CO2ReductionList" hidden="1">
              <a:extLst>
                <a:ext uri="{63B3BB69-23CF-44E3-9099-C40C66FF867C}">
                  <a14:compatExt spid="_x0000_s200981"/>
                </a:ext>
                <a:ext uri="{FF2B5EF4-FFF2-40B4-BE49-F238E27FC236}">
                  <a16:creationId xmlns:a16="http://schemas.microsoft.com/office/drawing/2014/main" id="{00000000-0008-0000-0500-000015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30</xdr:col>
      <xdr:colOff>380673</xdr:colOff>
      <xdr:row>14</xdr:row>
      <xdr:rowOff>8965</xdr:rowOff>
    </xdr:from>
    <xdr:to>
      <xdr:col>35</xdr:col>
      <xdr:colOff>381373</xdr:colOff>
      <xdr:row>17</xdr:row>
      <xdr:rowOff>9865</xdr:rowOff>
    </xdr:to>
    <xdr:sp macro="" textlink="">
      <xdr:nvSpPr>
        <xdr:cNvPr id="51" name="CO2_Reduction">
          <a:extLst>
            <a:ext uri="{FF2B5EF4-FFF2-40B4-BE49-F238E27FC236}">
              <a16:creationId xmlns:a16="http://schemas.microsoft.com/office/drawing/2014/main" id="{00000000-0008-0000-0500-000033000000}"/>
            </a:ext>
          </a:extLst>
        </xdr:cNvPr>
        <xdr:cNvSpPr txBox="1"/>
      </xdr:nvSpPr>
      <xdr:spPr>
        <a:xfrm>
          <a:off x="12191673" y="2663265"/>
          <a:ext cx="1969200" cy="572400"/>
        </a:xfrm>
        <a:custGeom>
          <a:avLst/>
          <a:gdLst>
            <a:gd name="connsiteX0" fmla="*/ 0 w 1904999"/>
            <a:gd name="connsiteY0" fmla="*/ 0 h 578827"/>
            <a:gd name="connsiteX1" fmla="*/ 1904999 w 1904999"/>
            <a:gd name="connsiteY1" fmla="*/ 0 h 578827"/>
            <a:gd name="connsiteX2" fmla="*/ 1904999 w 1904999"/>
            <a:gd name="connsiteY2" fmla="*/ 578827 h 578827"/>
            <a:gd name="connsiteX3" fmla="*/ 0 w 1904999"/>
            <a:gd name="connsiteY3" fmla="*/ 578827 h 578827"/>
            <a:gd name="connsiteX4" fmla="*/ 0 w 1904999"/>
            <a:gd name="connsiteY4" fmla="*/ 0 h 578827"/>
            <a:gd name="connsiteX0" fmla="*/ 0 w 1905000"/>
            <a:gd name="connsiteY0" fmla="*/ 0 h 578827"/>
            <a:gd name="connsiteX1" fmla="*/ 1904999 w 1905000"/>
            <a:gd name="connsiteY1" fmla="*/ 0 h 578827"/>
            <a:gd name="connsiteX2" fmla="*/ 1905000 w 1905000"/>
            <a:gd name="connsiteY2" fmla="*/ 194426 h 578827"/>
            <a:gd name="connsiteX3" fmla="*/ 1904999 w 1905000"/>
            <a:gd name="connsiteY3" fmla="*/ 578827 h 578827"/>
            <a:gd name="connsiteX4" fmla="*/ 0 w 1905000"/>
            <a:gd name="connsiteY4" fmla="*/ 578827 h 578827"/>
            <a:gd name="connsiteX5" fmla="*/ 0 w 1905000"/>
            <a:gd name="connsiteY5" fmla="*/ 0 h 578827"/>
            <a:gd name="connsiteX0" fmla="*/ 0 w 2044981"/>
            <a:gd name="connsiteY0" fmla="*/ 0 h 578827"/>
            <a:gd name="connsiteX1" fmla="*/ 1904999 w 2044981"/>
            <a:gd name="connsiteY1" fmla="*/ 0 h 578827"/>
            <a:gd name="connsiteX2" fmla="*/ 1905000 w 2044981"/>
            <a:gd name="connsiteY2" fmla="*/ 194426 h 578827"/>
            <a:gd name="connsiteX3" fmla="*/ 1901597 w 2044981"/>
            <a:gd name="connsiteY3" fmla="*/ 391730 h 578827"/>
            <a:gd name="connsiteX4" fmla="*/ 1904999 w 2044981"/>
            <a:gd name="connsiteY4" fmla="*/ 578827 h 578827"/>
            <a:gd name="connsiteX5" fmla="*/ 0 w 2044981"/>
            <a:gd name="connsiteY5" fmla="*/ 578827 h 578827"/>
            <a:gd name="connsiteX6" fmla="*/ 0 w 2044981"/>
            <a:gd name="connsiteY6" fmla="*/ 0 h 578827"/>
            <a:gd name="connsiteX0" fmla="*/ 0 w 1905000"/>
            <a:gd name="connsiteY0" fmla="*/ 0 h 578827"/>
            <a:gd name="connsiteX1" fmla="*/ 1904999 w 1905000"/>
            <a:gd name="connsiteY1" fmla="*/ 0 h 578827"/>
            <a:gd name="connsiteX2" fmla="*/ 1905000 w 1905000"/>
            <a:gd name="connsiteY2" fmla="*/ 194426 h 578827"/>
            <a:gd name="connsiteX3" fmla="*/ 1901597 w 1905000"/>
            <a:gd name="connsiteY3" fmla="*/ 391730 h 578827"/>
            <a:gd name="connsiteX4" fmla="*/ 1904999 w 1905000"/>
            <a:gd name="connsiteY4" fmla="*/ 578827 h 578827"/>
            <a:gd name="connsiteX5" fmla="*/ 0 w 1905000"/>
            <a:gd name="connsiteY5" fmla="*/ 578827 h 578827"/>
            <a:gd name="connsiteX6" fmla="*/ 0 w 1905000"/>
            <a:gd name="connsiteY6" fmla="*/ 0 h 578827"/>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0 w 1905000"/>
            <a:gd name="connsiteY6" fmla="*/ 578827 h 578828"/>
            <a:gd name="connsiteX7" fmla="*/ 0 w 1905000"/>
            <a:gd name="connsiteY7"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0 w 1905000"/>
            <a:gd name="connsiteY7" fmla="*/ 578827 h 578828"/>
            <a:gd name="connsiteX8" fmla="*/ 0 w 1905000"/>
            <a:gd name="connsiteY8" fmla="*/ 0 h 578828"/>
            <a:gd name="connsiteX0" fmla="*/ 0 w 1905000"/>
            <a:gd name="connsiteY0" fmla="*/ 0 h 578828"/>
            <a:gd name="connsiteX1" fmla="*/ 1904999 w 1905000"/>
            <a:gd name="connsiteY1" fmla="*/ 0 h 578828"/>
            <a:gd name="connsiteX2" fmla="*/ 1905000 w 1905000"/>
            <a:gd name="connsiteY2" fmla="*/ 194426 h 578828"/>
            <a:gd name="connsiteX3" fmla="*/ 1901597 w 1905000"/>
            <a:gd name="connsiteY3" fmla="*/ 391730 h 578828"/>
            <a:gd name="connsiteX4" fmla="*/ 1904999 w 1905000"/>
            <a:gd name="connsiteY4" fmla="*/ 578827 h 578828"/>
            <a:gd name="connsiteX5" fmla="*/ 1530803 w 1905000"/>
            <a:gd name="connsiteY5" fmla="*/ 578828 h 578828"/>
            <a:gd name="connsiteX6" fmla="*/ 955901 w 1905000"/>
            <a:gd name="connsiteY6" fmla="*/ 578827 h 578828"/>
            <a:gd name="connsiteX7" fmla="*/ 387803 w 1905000"/>
            <a:gd name="connsiteY7" fmla="*/ 578827 h 578828"/>
            <a:gd name="connsiteX8" fmla="*/ 0 w 1905000"/>
            <a:gd name="connsiteY8" fmla="*/ 578827 h 578828"/>
            <a:gd name="connsiteX9" fmla="*/ 0 w 1905000"/>
            <a:gd name="connsiteY9"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0 h 578828"/>
            <a:gd name="connsiteX0" fmla="*/ 140985 w 2045985"/>
            <a:gd name="connsiteY0" fmla="*/ 0 h 578828"/>
            <a:gd name="connsiteX1" fmla="*/ 2045984 w 2045985"/>
            <a:gd name="connsiteY1" fmla="*/ 0 h 578828"/>
            <a:gd name="connsiteX2" fmla="*/ 2045985 w 2045985"/>
            <a:gd name="connsiteY2" fmla="*/ 194426 h 578828"/>
            <a:gd name="connsiteX3" fmla="*/ 2042582 w 2045985"/>
            <a:gd name="connsiteY3" fmla="*/ 391730 h 578828"/>
            <a:gd name="connsiteX4" fmla="*/ 2045984 w 2045985"/>
            <a:gd name="connsiteY4" fmla="*/ 578827 h 578828"/>
            <a:gd name="connsiteX5" fmla="*/ 1671788 w 2045985"/>
            <a:gd name="connsiteY5" fmla="*/ 578828 h 578828"/>
            <a:gd name="connsiteX6" fmla="*/ 1096886 w 2045985"/>
            <a:gd name="connsiteY6" fmla="*/ 578827 h 578828"/>
            <a:gd name="connsiteX7" fmla="*/ 528788 w 2045985"/>
            <a:gd name="connsiteY7" fmla="*/ 578827 h 578828"/>
            <a:gd name="connsiteX8" fmla="*/ 140985 w 2045985"/>
            <a:gd name="connsiteY8" fmla="*/ 578827 h 578828"/>
            <a:gd name="connsiteX9" fmla="*/ 137582 w 2045985"/>
            <a:gd name="connsiteY9" fmla="*/ 388327 h 578828"/>
            <a:gd name="connsiteX10" fmla="*/ 140985 w 2045985"/>
            <a:gd name="connsiteY10" fmla="*/ 272666 h 578828"/>
            <a:gd name="connsiteX11" fmla="*/ 140985 w 2045985"/>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403 w 1908403"/>
            <a:gd name="connsiteY0" fmla="*/ 0 h 578828"/>
            <a:gd name="connsiteX1" fmla="*/ 1908402 w 1908403"/>
            <a:gd name="connsiteY1" fmla="*/ 0 h 578828"/>
            <a:gd name="connsiteX2" fmla="*/ 1908403 w 1908403"/>
            <a:gd name="connsiteY2" fmla="*/ 194426 h 578828"/>
            <a:gd name="connsiteX3" fmla="*/ 1905000 w 1908403"/>
            <a:gd name="connsiteY3" fmla="*/ 391730 h 578828"/>
            <a:gd name="connsiteX4" fmla="*/ 1908402 w 1908403"/>
            <a:gd name="connsiteY4" fmla="*/ 578827 h 578828"/>
            <a:gd name="connsiteX5" fmla="*/ 1534206 w 1908403"/>
            <a:gd name="connsiteY5" fmla="*/ 578828 h 578828"/>
            <a:gd name="connsiteX6" fmla="*/ 959304 w 1908403"/>
            <a:gd name="connsiteY6" fmla="*/ 578827 h 578828"/>
            <a:gd name="connsiteX7" fmla="*/ 391206 w 1908403"/>
            <a:gd name="connsiteY7" fmla="*/ 578827 h 578828"/>
            <a:gd name="connsiteX8" fmla="*/ 3403 w 1908403"/>
            <a:gd name="connsiteY8" fmla="*/ 578827 h 578828"/>
            <a:gd name="connsiteX9" fmla="*/ 0 w 1908403"/>
            <a:gd name="connsiteY9" fmla="*/ 388327 h 578828"/>
            <a:gd name="connsiteX10" fmla="*/ 3403 w 1908403"/>
            <a:gd name="connsiteY10" fmla="*/ 272666 h 578828"/>
            <a:gd name="connsiteX11" fmla="*/ 3403 w 1908403"/>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8 w 1905328"/>
            <a:gd name="connsiteY11"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8 w 1905328"/>
            <a:gd name="connsiteY10" fmla="*/ 272666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1978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81327 w 1905328"/>
            <a:gd name="connsiteY10" fmla="*/ 388327 h 578828"/>
            <a:gd name="connsiteX11" fmla="*/ 327 w 1905328"/>
            <a:gd name="connsiteY11" fmla="*/ 195446 h 578828"/>
            <a:gd name="connsiteX12" fmla="*/ 328 w 1905328"/>
            <a:gd name="connsiteY12" fmla="*/ 0 h 578828"/>
            <a:gd name="connsiteX0" fmla="*/ 328 w 1905328"/>
            <a:gd name="connsiteY0" fmla="*/ 0 h 578828"/>
            <a:gd name="connsiteX1" fmla="*/ 1905327 w 1905328"/>
            <a:gd name="connsiteY1" fmla="*/ 0 h 578828"/>
            <a:gd name="connsiteX2" fmla="*/ 1905328 w 1905328"/>
            <a:gd name="connsiteY2" fmla="*/ 194426 h 578828"/>
            <a:gd name="connsiteX3" fmla="*/ 1901925 w 1905328"/>
            <a:gd name="connsiteY3" fmla="*/ 391730 h 578828"/>
            <a:gd name="connsiteX4" fmla="*/ 1905327 w 1905328"/>
            <a:gd name="connsiteY4" fmla="*/ 578827 h 578828"/>
            <a:gd name="connsiteX5" fmla="*/ 1531131 w 1905328"/>
            <a:gd name="connsiteY5" fmla="*/ 578828 h 578828"/>
            <a:gd name="connsiteX6" fmla="*/ 956229 w 1905328"/>
            <a:gd name="connsiteY6" fmla="*/ 578827 h 578828"/>
            <a:gd name="connsiteX7" fmla="*/ 388131 w 1905328"/>
            <a:gd name="connsiteY7" fmla="*/ 578827 h 578828"/>
            <a:gd name="connsiteX8" fmla="*/ 328 w 1905328"/>
            <a:gd name="connsiteY8" fmla="*/ 578827 h 578828"/>
            <a:gd name="connsiteX9" fmla="*/ 328 w 1905328"/>
            <a:gd name="connsiteY9" fmla="*/ 388327 h 578828"/>
            <a:gd name="connsiteX10" fmla="*/ 327 w 1905328"/>
            <a:gd name="connsiteY10" fmla="*/ 195446 h 578828"/>
            <a:gd name="connsiteX11" fmla="*/ 328 w 1905328"/>
            <a:gd name="connsiteY11" fmla="*/ 0 h 578828"/>
            <a:gd name="connsiteX0" fmla="*/ 328 w 1905328"/>
            <a:gd name="connsiteY0" fmla="*/ 2198 h 581026"/>
            <a:gd name="connsiteX1" fmla="*/ 381327 w 1905328"/>
            <a:gd name="connsiteY1" fmla="*/ 0 h 581026"/>
            <a:gd name="connsiteX2" fmla="*/ 1905327 w 1905328"/>
            <a:gd name="connsiteY2" fmla="*/ 2198 h 581026"/>
            <a:gd name="connsiteX3" fmla="*/ 1905328 w 1905328"/>
            <a:gd name="connsiteY3" fmla="*/ 196624 h 581026"/>
            <a:gd name="connsiteX4" fmla="*/ 1901925 w 1905328"/>
            <a:gd name="connsiteY4" fmla="*/ 393928 h 581026"/>
            <a:gd name="connsiteX5" fmla="*/ 1905327 w 1905328"/>
            <a:gd name="connsiteY5" fmla="*/ 581025 h 581026"/>
            <a:gd name="connsiteX6" fmla="*/ 1531131 w 1905328"/>
            <a:gd name="connsiteY6" fmla="*/ 581026 h 581026"/>
            <a:gd name="connsiteX7" fmla="*/ 956229 w 1905328"/>
            <a:gd name="connsiteY7" fmla="*/ 581025 h 581026"/>
            <a:gd name="connsiteX8" fmla="*/ 388131 w 1905328"/>
            <a:gd name="connsiteY8" fmla="*/ 581025 h 581026"/>
            <a:gd name="connsiteX9" fmla="*/ 328 w 1905328"/>
            <a:gd name="connsiteY9" fmla="*/ 581025 h 581026"/>
            <a:gd name="connsiteX10" fmla="*/ 328 w 1905328"/>
            <a:gd name="connsiteY10" fmla="*/ 390525 h 581026"/>
            <a:gd name="connsiteX11" fmla="*/ 327 w 1905328"/>
            <a:gd name="connsiteY11" fmla="*/ 197644 h 581026"/>
            <a:gd name="connsiteX12" fmla="*/ 328 w 1905328"/>
            <a:gd name="connsiteY12" fmla="*/ 2198 h 581026"/>
            <a:gd name="connsiteX0" fmla="*/ 328 w 1905328"/>
            <a:gd name="connsiteY0" fmla="*/ 2198 h 581026"/>
            <a:gd name="connsiteX1" fmla="*/ 381327 w 1905328"/>
            <a:gd name="connsiteY1" fmla="*/ 0 h 581026"/>
            <a:gd name="connsiteX2" fmla="*/ 948065 w 1905328"/>
            <a:gd name="connsiteY2" fmla="*/ 0 h 581026"/>
            <a:gd name="connsiteX3" fmla="*/ 1905327 w 1905328"/>
            <a:gd name="connsiteY3" fmla="*/ 2198 h 581026"/>
            <a:gd name="connsiteX4" fmla="*/ 1905328 w 1905328"/>
            <a:gd name="connsiteY4" fmla="*/ 196624 h 581026"/>
            <a:gd name="connsiteX5" fmla="*/ 1901925 w 1905328"/>
            <a:gd name="connsiteY5" fmla="*/ 393928 h 581026"/>
            <a:gd name="connsiteX6" fmla="*/ 1905327 w 1905328"/>
            <a:gd name="connsiteY6" fmla="*/ 581025 h 581026"/>
            <a:gd name="connsiteX7" fmla="*/ 1531131 w 1905328"/>
            <a:gd name="connsiteY7" fmla="*/ 581026 h 581026"/>
            <a:gd name="connsiteX8" fmla="*/ 956229 w 1905328"/>
            <a:gd name="connsiteY8" fmla="*/ 581025 h 581026"/>
            <a:gd name="connsiteX9" fmla="*/ 388131 w 1905328"/>
            <a:gd name="connsiteY9" fmla="*/ 581025 h 581026"/>
            <a:gd name="connsiteX10" fmla="*/ 328 w 1905328"/>
            <a:gd name="connsiteY10" fmla="*/ 581025 h 581026"/>
            <a:gd name="connsiteX11" fmla="*/ 328 w 1905328"/>
            <a:gd name="connsiteY11" fmla="*/ 390525 h 581026"/>
            <a:gd name="connsiteX12" fmla="*/ 327 w 1905328"/>
            <a:gd name="connsiteY12" fmla="*/ 197644 h 581026"/>
            <a:gd name="connsiteX13" fmla="*/ 328 w 1905328"/>
            <a:gd name="connsiteY13" fmla="*/ 2198 h 581026"/>
            <a:gd name="connsiteX0" fmla="*/ 328 w 1905328"/>
            <a:gd name="connsiteY0" fmla="*/ 4579 h 583407"/>
            <a:gd name="connsiteX1" fmla="*/ 381327 w 1905328"/>
            <a:gd name="connsiteY1" fmla="*/ 2381 h 583407"/>
            <a:gd name="connsiteX2" fmla="*/ 948065 w 1905328"/>
            <a:gd name="connsiteY2" fmla="*/ 2381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183172 h 762000"/>
            <a:gd name="connsiteX1" fmla="*/ 381327 w 1905328"/>
            <a:gd name="connsiteY1" fmla="*/ 180974 h 762000"/>
            <a:gd name="connsiteX2" fmla="*/ 1143327 w 1905328"/>
            <a:gd name="connsiteY2" fmla="*/ 0 h 762000"/>
            <a:gd name="connsiteX3" fmla="*/ 1521946 w 1905328"/>
            <a:gd name="connsiteY3" fmla="*/ 178593 h 762000"/>
            <a:gd name="connsiteX4" fmla="*/ 1905327 w 1905328"/>
            <a:gd name="connsiteY4" fmla="*/ 183172 h 762000"/>
            <a:gd name="connsiteX5" fmla="*/ 1905328 w 1905328"/>
            <a:gd name="connsiteY5" fmla="*/ 377598 h 762000"/>
            <a:gd name="connsiteX6" fmla="*/ 1901925 w 1905328"/>
            <a:gd name="connsiteY6" fmla="*/ 574902 h 762000"/>
            <a:gd name="connsiteX7" fmla="*/ 1905327 w 1905328"/>
            <a:gd name="connsiteY7" fmla="*/ 761999 h 762000"/>
            <a:gd name="connsiteX8" fmla="*/ 1531131 w 1905328"/>
            <a:gd name="connsiteY8" fmla="*/ 762000 h 762000"/>
            <a:gd name="connsiteX9" fmla="*/ 956229 w 1905328"/>
            <a:gd name="connsiteY9" fmla="*/ 761999 h 762000"/>
            <a:gd name="connsiteX10" fmla="*/ 388131 w 1905328"/>
            <a:gd name="connsiteY10" fmla="*/ 761999 h 762000"/>
            <a:gd name="connsiteX11" fmla="*/ 328 w 1905328"/>
            <a:gd name="connsiteY11" fmla="*/ 761999 h 762000"/>
            <a:gd name="connsiteX12" fmla="*/ 328 w 1905328"/>
            <a:gd name="connsiteY12" fmla="*/ 571499 h 762000"/>
            <a:gd name="connsiteX13" fmla="*/ 327 w 1905328"/>
            <a:gd name="connsiteY13" fmla="*/ 378618 h 762000"/>
            <a:gd name="connsiteX14" fmla="*/ 328 w 1905328"/>
            <a:gd name="connsiteY14" fmla="*/ 183172 h 762000"/>
            <a:gd name="connsiteX0" fmla="*/ 328 w 1905328"/>
            <a:gd name="connsiteY0" fmla="*/ 4579 h 583407"/>
            <a:gd name="connsiteX1" fmla="*/ 381327 w 1905328"/>
            <a:gd name="connsiteY1" fmla="*/ 2381 h 583407"/>
            <a:gd name="connsiteX2" fmla="*/ 1143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2381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8 w 1905328"/>
            <a:gd name="connsiteY0" fmla="*/ 4579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8 w 1905328"/>
            <a:gd name="connsiteY14" fmla="*/ 4579 h 583407"/>
            <a:gd name="connsiteX0" fmla="*/ 327 w 1905328"/>
            <a:gd name="connsiteY0" fmla="*/ 11907 h 583407"/>
            <a:gd name="connsiteX1" fmla="*/ 381327 w 1905328"/>
            <a:gd name="connsiteY1" fmla="*/ 11907 h 583407"/>
            <a:gd name="connsiteX2" fmla="*/ 762327 w 1905328"/>
            <a:gd name="connsiteY2" fmla="*/ 11907 h 583407"/>
            <a:gd name="connsiteX3" fmla="*/ 1521946 w 1905328"/>
            <a:gd name="connsiteY3" fmla="*/ 0 h 583407"/>
            <a:gd name="connsiteX4" fmla="*/ 1905327 w 1905328"/>
            <a:gd name="connsiteY4" fmla="*/ 4579 h 583407"/>
            <a:gd name="connsiteX5" fmla="*/ 1905328 w 1905328"/>
            <a:gd name="connsiteY5" fmla="*/ 199005 h 583407"/>
            <a:gd name="connsiteX6" fmla="*/ 1901925 w 1905328"/>
            <a:gd name="connsiteY6" fmla="*/ 396309 h 583407"/>
            <a:gd name="connsiteX7" fmla="*/ 1905327 w 1905328"/>
            <a:gd name="connsiteY7" fmla="*/ 583406 h 583407"/>
            <a:gd name="connsiteX8" fmla="*/ 1531131 w 1905328"/>
            <a:gd name="connsiteY8" fmla="*/ 583407 h 583407"/>
            <a:gd name="connsiteX9" fmla="*/ 956229 w 1905328"/>
            <a:gd name="connsiteY9" fmla="*/ 583406 h 583407"/>
            <a:gd name="connsiteX10" fmla="*/ 388131 w 1905328"/>
            <a:gd name="connsiteY10" fmla="*/ 583406 h 583407"/>
            <a:gd name="connsiteX11" fmla="*/ 328 w 1905328"/>
            <a:gd name="connsiteY11" fmla="*/ 583406 h 583407"/>
            <a:gd name="connsiteX12" fmla="*/ 328 w 1905328"/>
            <a:gd name="connsiteY12" fmla="*/ 392906 h 583407"/>
            <a:gd name="connsiteX13" fmla="*/ 327 w 1905328"/>
            <a:gd name="connsiteY13" fmla="*/ 200025 h 583407"/>
            <a:gd name="connsiteX14" fmla="*/ 327 w 1905328"/>
            <a:gd name="connsiteY14" fmla="*/ 11907 h 583407"/>
            <a:gd name="connsiteX0" fmla="*/ 327 w 1905328"/>
            <a:gd name="connsiteY0" fmla="*/ 7328 h 578828"/>
            <a:gd name="connsiteX1" fmla="*/ 381327 w 1905328"/>
            <a:gd name="connsiteY1" fmla="*/ 7328 h 578828"/>
            <a:gd name="connsiteX2" fmla="*/ 762327 w 1905328"/>
            <a:gd name="connsiteY2" fmla="*/ 7328 h 578828"/>
            <a:gd name="connsiteX3" fmla="*/ 1524327 w 1905328"/>
            <a:gd name="connsiteY3" fmla="*/ 7328 h 578828"/>
            <a:gd name="connsiteX4" fmla="*/ 1905327 w 1905328"/>
            <a:gd name="connsiteY4" fmla="*/ 0 h 578828"/>
            <a:gd name="connsiteX5" fmla="*/ 1905328 w 1905328"/>
            <a:gd name="connsiteY5" fmla="*/ 194426 h 578828"/>
            <a:gd name="connsiteX6" fmla="*/ 1901925 w 1905328"/>
            <a:gd name="connsiteY6" fmla="*/ 391730 h 578828"/>
            <a:gd name="connsiteX7" fmla="*/ 1905327 w 1905328"/>
            <a:gd name="connsiteY7" fmla="*/ 578827 h 578828"/>
            <a:gd name="connsiteX8" fmla="*/ 1531131 w 1905328"/>
            <a:gd name="connsiteY8" fmla="*/ 578828 h 578828"/>
            <a:gd name="connsiteX9" fmla="*/ 956229 w 1905328"/>
            <a:gd name="connsiteY9" fmla="*/ 578827 h 578828"/>
            <a:gd name="connsiteX10" fmla="*/ 388131 w 1905328"/>
            <a:gd name="connsiteY10" fmla="*/ 578827 h 578828"/>
            <a:gd name="connsiteX11" fmla="*/ 328 w 1905328"/>
            <a:gd name="connsiteY11" fmla="*/ 578827 h 578828"/>
            <a:gd name="connsiteX12" fmla="*/ 328 w 1905328"/>
            <a:gd name="connsiteY12" fmla="*/ 388327 h 578828"/>
            <a:gd name="connsiteX13" fmla="*/ 327 w 1905328"/>
            <a:gd name="connsiteY13" fmla="*/ 195446 h 578828"/>
            <a:gd name="connsiteX14" fmla="*/ 327 w 1905328"/>
            <a:gd name="connsiteY14" fmla="*/ 7328 h 578828"/>
            <a:gd name="connsiteX0" fmla="*/ 327 w 1905328"/>
            <a:gd name="connsiteY0" fmla="*/ 1 h 571501"/>
            <a:gd name="connsiteX1" fmla="*/ 381327 w 1905328"/>
            <a:gd name="connsiteY1" fmla="*/ 1 h 571501"/>
            <a:gd name="connsiteX2" fmla="*/ 762327 w 1905328"/>
            <a:gd name="connsiteY2" fmla="*/ 1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1143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1 h 571501"/>
            <a:gd name="connsiteX1" fmla="*/ 381327 w 1905328"/>
            <a:gd name="connsiteY1" fmla="*/ 1 h 571501"/>
            <a:gd name="connsiteX2" fmla="*/ 762327 w 1905328"/>
            <a:gd name="connsiteY2" fmla="*/ 0 h 571501"/>
            <a:gd name="connsiteX3" fmla="*/ 1524327 w 1905328"/>
            <a:gd name="connsiteY3" fmla="*/ 1 h 571501"/>
            <a:gd name="connsiteX4" fmla="*/ 1905327 w 1905328"/>
            <a:gd name="connsiteY4" fmla="*/ 0 h 571501"/>
            <a:gd name="connsiteX5" fmla="*/ 1905328 w 1905328"/>
            <a:gd name="connsiteY5" fmla="*/ 187099 h 571501"/>
            <a:gd name="connsiteX6" fmla="*/ 1901925 w 1905328"/>
            <a:gd name="connsiteY6" fmla="*/ 384403 h 571501"/>
            <a:gd name="connsiteX7" fmla="*/ 1905327 w 1905328"/>
            <a:gd name="connsiteY7" fmla="*/ 571500 h 571501"/>
            <a:gd name="connsiteX8" fmla="*/ 1531131 w 1905328"/>
            <a:gd name="connsiteY8" fmla="*/ 571501 h 571501"/>
            <a:gd name="connsiteX9" fmla="*/ 956229 w 1905328"/>
            <a:gd name="connsiteY9" fmla="*/ 571500 h 571501"/>
            <a:gd name="connsiteX10" fmla="*/ 388131 w 1905328"/>
            <a:gd name="connsiteY10" fmla="*/ 571500 h 571501"/>
            <a:gd name="connsiteX11" fmla="*/ 328 w 1905328"/>
            <a:gd name="connsiteY11" fmla="*/ 571500 h 571501"/>
            <a:gd name="connsiteX12" fmla="*/ 328 w 1905328"/>
            <a:gd name="connsiteY12" fmla="*/ 381000 h 571501"/>
            <a:gd name="connsiteX13" fmla="*/ 327 w 1905328"/>
            <a:gd name="connsiteY13" fmla="*/ 188119 h 571501"/>
            <a:gd name="connsiteX14" fmla="*/ 327 w 1905328"/>
            <a:gd name="connsiteY14" fmla="*/ 1 h 571501"/>
            <a:gd name="connsiteX0" fmla="*/ 327 w 1905328"/>
            <a:gd name="connsiteY0" fmla="*/ 7621 h 579121"/>
            <a:gd name="connsiteX1" fmla="*/ 381327 w 1905328"/>
            <a:gd name="connsiteY1" fmla="*/ 7621 h 579121"/>
            <a:gd name="connsiteX2" fmla="*/ 762327 w 1905328"/>
            <a:gd name="connsiteY2" fmla="*/ 7620 h 579121"/>
            <a:gd name="connsiteX3" fmla="*/ 1150947 w 1905328"/>
            <a:gd name="connsiteY3" fmla="*/ 0 h 579121"/>
            <a:gd name="connsiteX4" fmla="*/ 1524327 w 1905328"/>
            <a:gd name="connsiteY4" fmla="*/ 7621 h 579121"/>
            <a:gd name="connsiteX5" fmla="*/ 1905327 w 1905328"/>
            <a:gd name="connsiteY5" fmla="*/ 7620 h 579121"/>
            <a:gd name="connsiteX6" fmla="*/ 1905328 w 1905328"/>
            <a:gd name="connsiteY6" fmla="*/ 194719 h 579121"/>
            <a:gd name="connsiteX7" fmla="*/ 1901925 w 1905328"/>
            <a:gd name="connsiteY7" fmla="*/ 392023 h 579121"/>
            <a:gd name="connsiteX8" fmla="*/ 1905327 w 1905328"/>
            <a:gd name="connsiteY8" fmla="*/ 579120 h 579121"/>
            <a:gd name="connsiteX9" fmla="*/ 1531131 w 1905328"/>
            <a:gd name="connsiteY9" fmla="*/ 579121 h 579121"/>
            <a:gd name="connsiteX10" fmla="*/ 956229 w 1905328"/>
            <a:gd name="connsiteY10" fmla="*/ 579120 h 579121"/>
            <a:gd name="connsiteX11" fmla="*/ 388131 w 1905328"/>
            <a:gd name="connsiteY11" fmla="*/ 579120 h 579121"/>
            <a:gd name="connsiteX12" fmla="*/ 328 w 1905328"/>
            <a:gd name="connsiteY12" fmla="*/ 579120 h 579121"/>
            <a:gd name="connsiteX13" fmla="*/ 328 w 1905328"/>
            <a:gd name="connsiteY13" fmla="*/ 388620 h 579121"/>
            <a:gd name="connsiteX14" fmla="*/ 327 w 1905328"/>
            <a:gd name="connsiteY14" fmla="*/ 195739 h 579121"/>
            <a:gd name="connsiteX15" fmla="*/ 327 w 1905328"/>
            <a:gd name="connsiteY15" fmla="*/ 7621 h 579121"/>
            <a:gd name="connsiteX0" fmla="*/ 327 w 1905328"/>
            <a:gd name="connsiteY0" fmla="*/ 1 h 571501"/>
            <a:gd name="connsiteX1" fmla="*/ 381327 w 1905328"/>
            <a:gd name="connsiteY1" fmla="*/ 1 h 571501"/>
            <a:gd name="connsiteX2" fmla="*/ 762327 w 1905328"/>
            <a:gd name="connsiteY2" fmla="*/ 0 h 571501"/>
            <a:gd name="connsiteX3" fmla="*/ 1143327 w 1905328"/>
            <a:gd name="connsiteY3" fmla="*/ 0 h 571501"/>
            <a:gd name="connsiteX4" fmla="*/ 1524327 w 1905328"/>
            <a:gd name="connsiteY4" fmla="*/ 1 h 571501"/>
            <a:gd name="connsiteX5" fmla="*/ 1905327 w 1905328"/>
            <a:gd name="connsiteY5" fmla="*/ 0 h 571501"/>
            <a:gd name="connsiteX6" fmla="*/ 1905328 w 1905328"/>
            <a:gd name="connsiteY6" fmla="*/ 187099 h 571501"/>
            <a:gd name="connsiteX7" fmla="*/ 1901925 w 1905328"/>
            <a:gd name="connsiteY7" fmla="*/ 384403 h 571501"/>
            <a:gd name="connsiteX8" fmla="*/ 1905327 w 1905328"/>
            <a:gd name="connsiteY8" fmla="*/ 571500 h 571501"/>
            <a:gd name="connsiteX9" fmla="*/ 1531131 w 1905328"/>
            <a:gd name="connsiteY9" fmla="*/ 571501 h 571501"/>
            <a:gd name="connsiteX10" fmla="*/ 956229 w 1905328"/>
            <a:gd name="connsiteY10" fmla="*/ 571500 h 571501"/>
            <a:gd name="connsiteX11" fmla="*/ 388131 w 1905328"/>
            <a:gd name="connsiteY11" fmla="*/ 571500 h 571501"/>
            <a:gd name="connsiteX12" fmla="*/ 328 w 1905328"/>
            <a:gd name="connsiteY12" fmla="*/ 571500 h 571501"/>
            <a:gd name="connsiteX13" fmla="*/ 328 w 1905328"/>
            <a:gd name="connsiteY13" fmla="*/ 381000 h 571501"/>
            <a:gd name="connsiteX14" fmla="*/ 327 w 1905328"/>
            <a:gd name="connsiteY14" fmla="*/ 188119 h 571501"/>
            <a:gd name="connsiteX15" fmla="*/ 327 w 1905328"/>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1925 w 2286327"/>
            <a:gd name="connsiteY7" fmla="*/ 384403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2286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2286327"/>
            <a:gd name="connsiteY0" fmla="*/ 1 h 571501"/>
            <a:gd name="connsiteX1" fmla="*/ 381327 w 2286327"/>
            <a:gd name="connsiteY1" fmla="*/ 1 h 571501"/>
            <a:gd name="connsiteX2" fmla="*/ 762327 w 2286327"/>
            <a:gd name="connsiteY2" fmla="*/ 0 h 571501"/>
            <a:gd name="connsiteX3" fmla="*/ 1143327 w 2286327"/>
            <a:gd name="connsiteY3" fmla="*/ 0 h 571501"/>
            <a:gd name="connsiteX4" fmla="*/ 1524327 w 2286327"/>
            <a:gd name="connsiteY4" fmla="*/ 1 h 571501"/>
            <a:gd name="connsiteX5" fmla="*/ 1905327 w 2286327"/>
            <a:gd name="connsiteY5" fmla="*/ 0 h 571501"/>
            <a:gd name="connsiteX6" fmla="*/ 2286327 w 2286327"/>
            <a:gd name="connsiteY6" fmla="*/ 190500 h 571501"/>
            <a:gd name="connsiteX7" fmla="*/ 1905327 w 2286327"/>
            <a:gd name="connsiteY7" fmla="*/ 381000 h 571501"/>
            <a:gd name="connsiteX8" fmla="*/ 1905327 w 2286327"/>
            <a:gd name="connsiteY8" fmla="*/ 571500 h 571501"/>
            <a:gd name="connsiteX9" fmla="*/ 1531131 w 2286327"/>
            <a:gd name="connsiteY9" fmla="*/ 571501 h 571501"/>
            <a:gd name="connsiteX10" fmla="*/ 956229 w 2286327"/>
            <a:gd name="connsiteY10" fmla="*/ 571500 h 571501"/>
            <a:gd name="connsiteX11" fmla="*/ 388131 w 2286327"/>
            <a:gd name="connsiteY11" fmla="*/ 571500 h 571501"/>
            <a:gd name="connsiteX12" fmla="*/ 328 w 2286327"/>
            <a:gd name="connsiteY12" fmla="*/ 571500 h 571501"/>
            <a:gd name="connsiteX13" fmla="*/ 328 w 2286327"/>
            <a:gd name="connsiteY13" fmla="*/ 381000 h 571501"/>
            <a:gd name="connsiteX14" fmla="*/ 327 w 2286327"/>
            <a:gd name="connsiteY14" fmla="*/ 188119 h 571501"/>
            <a:gd name="connsiteX15" fmla="*/ 327 w 2286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956229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762327 w 1905327"/>
            <a:gd name="connsiteY10" fmla="*/ 571500 h 571501"/>
            <a:gd name="connsiteX11" fmla="*/ 388131 w 1905327"/>
            <a:gd name="connsiteY11" fmla="*/ 571500 h 571501"/>
            <a:gd name="connsiteX12" fmla="*/ 328 w 1905327"/>
            <a:gd name="connsiteY12" fmla="*/ 571500 h 571501"/>
            <a:gd name="connsiteX13" fmla="*/ 328 w 1905327"/>
            <a:gd name="connsiteY13" fmla="*/ 381000 h 571501"/>
            <a:gd name="connsiteX14" fmla="*/ 327 w 1905327"/>
            <a:gd name="connsiteY14" fmla="*/ 188119 h 571501"/>
            <a:gd name="connsiteX15" fmla="*/ 327 w 1905327"/>
            <a:gd name="connsiteY15"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39517 w 1905327"/>
            <a:gd name="connsiteY10" fmla="*/ 56769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 h 571501"/>
            <a:gd name="connsiteX1" fmla="*/ 381327 w 1905327"/>
            <a:gd name="connsiteY1" fmla="*/ 1 h 571501"/>
            <a:gd name="connsiteX2" fmla="*/ 762327 w 1905327"/>
            <a:gd name="connsiteY2" fmla="*/ 0 h 571501"/>
            <a:gd name="connsiteX3" fmla="*/ 1143327 w 1905327"/>
            <a:gd name="connsiteY3" fmla="*/ 0 h 571501"/>
            <a:gd name="connsiteX4" fmla="*/ 1524327 w 1905327"/>
            <a:gd name="connsiteY4" fmla="*/ 1 h 571501"/>
            <a:gd name="connsiteX5" fmla="*/ 1905327 w 1905327"/>
            <a:gd name="connsiteY5" fmla="*/ 0 h 571501"/>
            <a:gd name="connsiteX6" fmla="*/ 1905327 w 1905327"/>
            <a:gd name="connsiteY6" fmla="*/ 190500 h 571501"/>
            <a:gd name="connsiteX7" fmla="*/ 1905327 w 1905327"/>
            <a:gd name="connsiteY7" fmla="*/ 381000 h 571501"/>
            <a:gd name="connsiteX8" fmla="*/ 1905327 w 1905327"/>
            <a:gd name="connsiteY8" fmla="*/ 571500 h 571501"/>
            <a:gd name="connsiteX9" fmla="*/ 1531131 w 1905327"/>
            <a:gd name="connsiteY9" fmla="*/ 571501 h 571501"/>
            <a:gd name="connsiteX10" fmla="*/ 1143327 w 1905327"/>
            <a:gd name="connsiteY10" fmla="*/ 571500 h 571501"/>
            <a:gd name="connsiteX11" fmla="*/ 762327 w 1905327"/>
            <a:gd name="connsiteY11" fmla="*/ 571500 h 571501"/>
            <a:gd name="connsiteX12" fmla="*/ 388131 w 1905327"/>
            <a:gd name="connsiteY12" fmla="*/ 571500 h 571501"/>
            <a:gd name="connsiteX13" fmla="*/ 328 w 1905327"/>
            <a:gd name="connsiteY13" fmla="*/ 571500 h 571501"/>
            <a:gd name="connsiteX14" fmla="*/ 328 w 1905327"/>
            <a:gd name="connsiteY14" fmla="*/ 381000 h 571501"/>
            <a:gd name="connsiteX15" fmla="*/ 327 w 1905327"/>
            <a:gd name="connsiteY15" fmla="*/ 188119 h 571501"/>
            <a:gd name="connsiteX16" fmla="*/ 327 w 1905327"/>
            <a:gd name="connsiteY16" fmla="*/ 1 h 571501"/>
            <a:gd name="connsiteX0" fmla="*/ 327 w 1905327"/>
            <a:gd name="connsiteY0" fmla="*/ 11431 h 582931"/>
            <a:gd name="connsiteX1" fmla="*/ 381327 w 1905327"/>
            <a:gd name="connsiteY1" fmla="*/ 11431 h 582931"/>
            <a:gd name="connsiteX2" fmla="*/ 762327 w 1905327"/>
            <a:gd name="connsiteY2" fmla="*/ 11430 h 582931"/>
            <a:gd name="connsiteX3" fmla="*/ 945207 w 1905327"/>
            <a:gd name="connsiteY3" fmla="*/ 0 h 582931"/>
            <a:gd name="connsiteX4" fmla="*/ 1143327 w 1905327"/>
            <a:gd name="connsiteY4" fmla="*/ 11430 h 582931"/>
            <a:gd name="connsiteX5" fmla="*/ 1524327 w 1905327"/>
            <a:gd name="connsiteY5" fmla="*/ 11431 h 582931"/>
            <a:gd name="connsiteX6" fmla="*/ 1905327 w 1905327"/>
            <a:gd name="connsiteY6" fmla="*/ 11430 h 582931"/>
            <a:gd name="connsiteX7" fmla="*/ 1905327 w 1905327"/>
            <a:gd name="connsiteY7" fmla="*/ 201930 h 582931"/>
            <a:gd name="connsiteX8" fmla="*/ 1905327 w 1905327"/>
            <a:gd name="connsiteY8" fmla="*/ 392430 h 582931"/>
            <a:gd name="connsiteX9" fmla="*/ 1905327 w 1905327"/>
            <a:gd name="connsiteY9" fmla="*/ 582930 h 582931"/>
            <a:gd name="connsiteX10" fmla="*/ 1531131 w 1905327"/>
            <a:gd name="connsiteY10" fmla="*/ 582931 h 582931"/>
            <a:gd name="connsiteX11" fmla="*/ 1143327 w 1905327"/>
            <a:gd name="connsiteY11" fmla="*/ 582930 h 582931"/>
            <a:gd name="connsiteX12" fmla="*/ 762327 w 1905327"/>
            <a:gd name="connsiteY12" fmla="*/ 582930 h 582931"/>
            <a:gd name="connsiteX13" fmla="*/ 388131 w 1905327"/>
            <a:gd name="connsiteY13" fmla="*/ 582930 h 582931"/>
            <a:gd name="connsiteX14" fmla="*/ 328 w 1905327"/>
            <a:gd name="connsiteY14" fmla="*/ 582930 h 582931"/>
            <a:gd name="connsiteX15" fmla="*/ 328 w 1905327"/>
            <a:gd name="connsiteY15" fmla="*/ 392430 h 582931"/>
            <a:gd name="connsiteX16" fmla="*/ 327 w 1905327"/>
            <a:gd name="connsiteY16" fmla="*/ 199549 h 582931"/>
            <a:gd name="connsiteX17" fmla="*/ 327 w 1905327"/>
            <a:gd name="connsiteY17" fmla="*/ 11431 h 582931"/>
            <a:gd name="connsiteX0" fmla="*/ 327 w 1905327"/>
            <a:gd name="connsiteY0" fmla="*/ 7621 h 579121"/>
            <a:gd name="connsiteX1" fmla="*/ 381327 w 1905327"/>
            <a:gd name="connsiteY1" fmla="*/ 7621 h 579121"/>
            <a:gd name="connsiteX2" fmla="*/ 762327 w 1905327"/>
            <a:gd name="connsiteY2" fmla="*/ 7620 h 579121"/>
            <a:gd name="connsiteX3" fmla="*/ 968067 w 1905327"/>
            <a:gd name="connsiteY3" fmla="*/ 0 h 579121"/>
            <a:gd name="connsiteX4" fmla="*/ 1143327 w 1905327"/>
            <a:gd name="connsiteY4" fmla="*/ 7620 h 579121"/>
            <a:gd name="connsiteX5" fmla="*/ 1524327 w 1905327"/>
            <a:gd name="connsiteY5" fmla="*/ 7621 h 579121"/>
            <a:gd name="connsiteX6" fmla="*/ 1905327 w 1905327"/>
            <a:gd name="connsiteY6" fmla="*/ 7620 h 579121"/>
            <a:gd name="connsiteX7" fmla="*/ 1905327 w 1905327"/>
            <a:gd name="connsiteY7" fmla="*/ 198120 h 579121"/>
            <a:gd name="connsiteX8" fmla="*/ 1905327 w 1905327"/>
            <a:gd name="connsiteY8" fmla="*/ 388620 h 579121"/>
            <a:gd name="connsiteX9" fmla="*/ 1905327 w 1905327"/>
            <a:gd name="connsiteY9" fmla="*/ 579120 h 579121"/>
            <a:gd name="connsiteX10" fmla="*/ 1531131 w 1905327"/>
            <a:gd name="connsiteY10" fmla="*/ 579121 h 579121"/>
            <a:gd name="connsiteX11" fmla="*/ 1143327 w 1905327"/>
            <a:gd name="connsiteY11" fmla="*/ 579120 h 579121"/>
            <a:gd name="connsiteX12" fmla="*/ 762327 w 1905327"/>
            <a:gd name="connsiteY12" fmla="*/ 579120 h 579121"/>
            <a:gd name="connsiteX13" fmla="*/ 388131 w 1905327"/>
            <a:gd name="connsiteY13" fmla="*/ 579120 h 579121"/>
            <a:gd name="connsiteX14" fmla="*/ 328 w 1905327"/>
            <a:gd name="connsiteY14" fmla="*/ 579120 h 579121"/>
            <a:gd name="connsiteX15" fmla="*/ 328 w 1905327"/>
            <a:gd name="connsiteY15" fmla="*/ 388620 h 579121"/>
            <a:gd name="connsiteX16" fmla="*/ 327 w 1905327"/>
            <a:gd name="connsiteY16" fmla="*/ 195739 h 579121"/>
            <a:gd name="connsiteX17" fmla="*/ 327 w 1905327"/>
            <a:gd name="connsiteY17" fmla="*/ 7621 h 579121"/>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762327 w 1905327"/>
            <a:gd name="connsiteY12" fmla="*/ 571976 h 571977"/>
            <a:gd name="connsiteX13" fmla="*/ 388131 w 1905327"/>
            <a:gd name="connsiteY13" fmla="*/ 571976 h 571977"/>
            <a:gd name="connsiteX14" fmla="*/ 328 w 1905327"/>
            <a:gd name="connsiteY14" fmla="*/ 571976 h 571977"/>
            <a:gd name="connsiteX15" fmla="*/ 328 w 1905327"/>
            <a:gd name="connsiteY15" fmla="*/ 381476 h 571977"/>
            <a:gd name="connsiteX16" fmla="*/ 327 w 1905327"/>
            <a:gd name="connsiteY16" fmla="*/ 188595 h 571977"/>
            <a:gd name="connsiteX17" fmla="*/ 327 w 1905327"/>
            <a:gd name="connsiteY17" fmla="*/ 477 h 57197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9595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6739"/>
            <a:gd name="connsiteX1" fmla="*/ 381327 w 1905327"/>
            <a:gd name="connsiteY1" fmla="*/ 477 h 576739"/>
            <a:gd name="connsiteX2" fmla="*/ 762327 w 1905327"/>
            <a:gd name="connsiteY2" fmla="*/ 476 h 576739"/>
            <a:gd name="connsiteX3" fmla="*/ 960923 w 1905327"/>
            <a:gd name="connsiteY3" fmla="*/ 0 h 576739"/>
            <a:gd name="connsiteX4" fmla="*/ 1143327 w 1905327"/>
            <a:gd name="connsiteY4" fmla="*/ 476 h 576739"/>
            <a:gd name="connsiteX5" fmla="*/ 1524327 w 1905327"/>
            <a:gd name="connsiteY5" fmla="*/ 477 h 576739"/>
            <a:gd name="connsiteX6" fmla="*/ 1905327 w 1905327"/>
            <a:gd name="connsiteY6" fmla="*/ 476 h 576739"/>
            <a:gd name="connsiteX7" fmla="*/ 1905327 w 1905327"/>
            <a:gd name="connsiteY7" fmla="*/ 190976 h 576739"/>
            <a:gd name="connsiteX8" fmla="*/ 1905327 w 1905327"/>
            <a:gd name="connsiteY8" fmla="*/ 381476 h 576739"/>
            <a:gd name="connsiteX9" fmla="*/ 1905327 w 1905327"/>
            <a:gd name="connsiteY9" fmla="*/ 571976 h 576739"/>
            <a:gd name="connsiteX10" fmla="*/ 1531131 w 1905327"/>
            <a:gd name="connsiteY10" fmla="*/ 571977 h 576739"/>
            <a:gd name="connsiteX11" fmla="*/ 1143327 w 1905327"/>
            <a:gd name="connsiteY11" fmla="*/ 571976 h 576739"/>
            <a:gd name="connsiteX12" fmla="*/ 957590 w 1905327"/>
            <a:gd name="connsiteY12" fmla="*/ 576739 h 576739"/>
            <a:gd name="connsiteX13" fmla="*/ 762327 w 1905327"/>
            <a:gd name="connsiteY13" fmla="*/ 571976 h 576739"/>
            <a:gd name="connsiteX14" fmla="*/ 388131 w 1905327"/>
            <a:gd name="connsiteY14" fmla="*/ 571976 h 576739"/>
            <a:gd name="connsiteX15" fmla="*/ 328 w 1905327"/>
            <a:gd name="connsiteY15" fmla="*/ 571976 h 576739"/>
            <a:gd name="connsiteX16" fmla="*/ 328 w 1905327"/>
            <a:gd name="connsiteY16" fmla="*/ 381476 h 576739"/>
            <a:gd name="connsiteX17" fmla="*/ 327 w 1905327"/>
            <a:gd name="connsiteY17" fmla="*/ 188595 h 576739"/>
            <a:gd name="connsiteX18" fmla="*/ 327 w 1905327"/>
            <a:gd name="connsiteY18" fmla="*/ 477 h 576739"/>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7590 w 1905327"/>
            <a:gd name="connsiteY12" fmla="*/ 567214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7590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7"/>
            <a:gd name="connsiteX1" fmla="*/ 381327 w 1905327"/>
            <a:gd name="connsiteY1" fmla="*/ 477 h 574357"/>
            <a:gd name="connsiteX2" fmla="*/ 762327 w 1905327"/>
            <a:gd name="connsiteY2" fmla="*/ 476 h 574357"/>
            <a:gd name="connsiteX3" fmla="*/ 960923 w 1905327"/>
            <a:gd name="connsiteY3" fmla="*/ 0 h 574357"/>
            <a:gd name="connsiteX4" fmla="*/ 1143327 w 1905327"/>
            <a:gd name="connsiteY4" fmla="*/ 476 h 574357"/>
            <a:gd name="connsiteX5" fmla="*/ 1524327 w 1905327"/>
            <a:gd name="connsiteY5" fmla="*/ 477 h 574357"/>
            <a:gd name="connsiteX6" fmla="*/ 1905327 w 1905327"/>
            <a:gd name="connsiteY6" fmla="*/ 476 h 574357"/>
            <a:gd name="connsiteX7" fmla="*/ 1905327 w 1905327"/>
            <a:gd name="connsiteY7" fmla="*/ 190976 h 574357"/>
            <a:gd name="connsiteX8" fmla="*/ 1905327 w 1905327"/>
            <a:gd name="connsiteY8" fmla="*/ 381476 h 574357"/>
            <a:gd name="connsiteX9" fmla="*/ 1905327 w 1905327"/>
            <a:gd name="connsiteY9" fmla="*/ 571976 h 574357"/>
            <a:gd name="connsiteX10" fmla="*/ 1531131 w 1905327"/>
            <a:gd name="connsiteY10" fmla="*/ 571977 h 574357"/>
            <a:gd name="connsiteX11" fmla="*/ 1143327 w 1905327"/>
            <a:gd name="connsiteY11" fmla="*/ 571976 h 574357"/>
            <a:gd name="connsiteX12" fmla="*/ 959971 w 1905327"/>
            <a:gd name="connsiteY12" fmla="*/ 574357 h 574357"/>
            <a:gd name="connsiteX13" fmla="*/ 762327 w 1905327"/>
            <a:gd name="connsiteY13" fmla="*/ 571976 h 574357"/>
            <a:gd name="connsiteX14" fmla="*/ 388131 w 1905327"/>
            <a:gd name="connsiteY14" fmla="*/ 571976 h 574357"/>
            <a:gd name="connsiteX15" fmla="*/ 328 w 1905327"/>
            <a:gd name="connsiteY15" fmla="*/ 571976 h 574357"/>
            <a:gd name="connsiteX16" fmla="*/ 328 w 1905327"/>
            <a:gd name="connsiteY16" fmla="*/ 381476 h 574357"/>
            <a:gd name="connsiteX17" fmla="*/ 327 w 1905327"/>
            <a:gd name="connsiteY17" fmla="*/ 188595 h 574357"/>
            <a:gd name="connsiteX18" fmla="*/ 327 w 1905327"/>
            <a:gd name="connsiteY18" fmla="*/ 477 h 574357"/>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59971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59971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1977"/>
            <a:gd name="connsiteX1" fmla="*/ 381327 w 1905327"/>
            <a:gd name="connsiteY1" fmla="*/ 477 h 571977"/>
            <a:gd name="connsiteX2" fmla="*/ 762327 w 1905327"/>
            <a:gd name="connsiteY2" fmla="*/ 476 h 571977"/>
            <a:gd name="connsiteX3" fmla="*/ 960923 w 1905327"/>
            <a:gd name="connsiteY3" fmla="*/ 0 h 571977"/>
            <a:gd name="connsiteX4" fmla="*/ 1143327 w 1905327"/>
            <a:gd name="connsiteY4" fmla="*/ 476 h 571977"/>
            <a:gd name="connsiteX5" fmla="*/ 1524327 w 1905327"/>
            <a:gd name="connsiteY5" fmla="*/ 477 h 571977"/>
            <a:gd name="connsiteX6" fmla="*/ 1905327 w 1905327"/>
            <a:gd name="connsiteY6" fmla="*/ 476 h 571977"/>
            <a:gd name="connsiteX7" fmla="*/ 1905327 w 1905327"/>
            <a:gd name="connsiteY7" fmla="*/ 190976 h 571977"/>
            <a:gd name="connsiteX8" fmla="*/ 1905327 w 1905327"/>
            <a:gd name="connsiteY8" fmla="*/ 381476 h 571977"/>
            <a:gd name="connsiteX9" fmla="*/ 1905327 w 1905327"/>
            <a:gd name="connsiteY9" fmla="*/ 571976 h 571977"/>
            <a:gd name="connsiteX10" fmla="*/ 1531131 w 1905327"/>
            <a:gd name="connsiteY10" fmla="*/ 571977 h 571977"/>
            <a:gd name="connsiteX11" fmla="*/ 1143327 w 1905327"/>
            <a:gd name="connsiteY11" fmla="*/ 571976 h 571977"/>
            <a:gd name="connsiteX12" fmla="*/ 962352 w 1905327"/>
            <a:gd name="connsiteY12" fmla="*/ 567213 h 571977"/>
            <a:gd name="connsiteX13" fmla="*/ 762327 w 1905327"/>
            <a:gd name="connsiteY13" fmla="*/ 571976 h 571977"/>
            <a:gd name="connsiteX14" fmla="*/ 388131 w 1905327"/>
            <a:gd name="connsiteY14" fmla="*/ 571976 h 571977"/>
            <a:gd name="connsiteX15" fmla="*/ 328 w 1905327"/>
            <a:gd name="connsiteY15" fmla="*/ 571976 h 571977"/>
            <a:gd name="connsiteX16" fmla="*/ 328 w 1905327"/>
            <a:gd name="connsiteY16" fmla="*/ 381476 h 571977"/>
            <a:gd name="connsiteX17" fmla="*/ 327 w 1905327"/>
            <a:gd name="connsiteY17" fmla="*/ 188595 h 571977"/>
            <a:gd name="connsiteX18" fmla="*/ 327 w 1905327"/>
            <a:gd name="connsiteY18" fmla="*/ 477 h 571977"/>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327 w 1905327"/>
            <a:gd name="connsiteY8" fmla="*/ 381476 h 574356"/>
            <a:gd name="connsiteX9" fmla="*/ 1905327 w 1905327"/>
            <a:gd name="connsiteY9" fmla="*/ 571976 h 574356"/>
            <a:gd name="connsiteX10" fmla="*/ 1531131 w 1905327"/>
            <a:gd name="connsiteY10" fmla="*/ 571977 h 574356"/>
            <a:gd name="connsiteX11" fmla="*/ 1143327 w 1905327"/>
            <a:gd name="connsiteY11" fmla="*/ 571976 h 574356"/>
            <a:gd name="connsiteX12" fmla="*/ 962352 w 1905327"/>
            <a:gd name="connsiteY12" fmla="*/ 574356 h 574356"/>
            <a:gd name="connsiteX13" fmla="*/ 762327 w 1905327"/>
            <a:gd name="connsiteY13" fmla="*/ 571976 h 574356"/>
            <a:gd name="connsiteX14" fmla="*/ 388131 w 1905327"/>
            <a:gd name="connsiteY14" fmla="*/ 571976 h 574356"/>
            <a:gd name="connsiteX15" fmla="*/ 328 w 1905327"/>
            <a:gd name="connsiteY15" fmla="*/ 571976 h 574356"/>
            <a:gd name="connsiteX16" fmla="*/ 328 w 1905327"/>
            <a:gd name="connsiteY16" fmla="*/ 381476 h 574356"/>
            <a:gd name="connsiteX17" fmla="*/ 327 w 1905327"/>
            <a:gd name="connsiteY17" fmla="*/ 188595 h 574356"/>
            <a:gd name="connsiteX18" fmla="*/ 327 w 1905327"/>
            <a:gd name="connsiteY18"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327 w 1905327"/>
            <a:gd name="connsiteY18" fmla="*/ 188595 h 574356"/>
            <a:gd name="connsiteX19" fmla="*/ 327 w 1905327"/>
            <a:gd name="connsiteY19" fmla="*/ 477 h 574356"/>
            <a:gd name="connsiteX0" fmla="*/ 327 w 1905327"/>
            <a:gd name="connsiteY0" fmla="*/ 477 h 574356"/>
            <a:gd name="connsiteX1" fmla="*/ 381327 w 1905327"/>
            <a:gd name="connsiteY1" fmla="*/ 477 h 574356"/>
            <a:gd name="connsiteX2" fmla="*/ 762327 w 1905327"/>
            <a:gd name="connsiteY2" fmla="*/ 476 h 574356"/>
            <a:gd name="connsiteX3" fmla="*/ 960923 w 1905327"/>
            <a:gd name="connsiteY3" fmla="*/ 0 h 574356"/>
            <a:gd name="connsiteX4" fmla="*/ 1143327 w 1905327"/>
            <a:gd name="connsiteY4" fmla="*/ 476 h 574356"/>
            <a:gd name="connsiteX5" fmla="*/ 1524327 w 1905327"/>
            <a:gd name="connsiteY5" fmla="*/ 477 h 574356"/>
            <a:gd name="connsiteX6" fmla="*/ 1905327 w 1905327"/>
            <a:gd name="connsiteY6" fmla="*/ 476 h 574356"/>
            <a:gd name="connsiteX7" fmla="*/ 1905327 w 1905327"/>
            <a:gd name="connsiteY7" fmla="*/ 190976 h 574356"/>
            <a:gd name="connsiteX8" fmla="*/ 1905000 w 1905327"/>
            <a:gd name="connsiteY8" fmla="*/ 281898 h 574356"/>
            <a:gd name="connsiteX9" fmla="*/ 1905327 w 1905327"/>
            <a:gd name="connsiteY9" fmla="*/ 381476 h 574356"/>
            <a:gd name="connsiteX10" fmla="*/ 1905327 w 1905327"/>
            <a:gd name="connsiteY10" fmla="*/ 571976 h 574356"/>
            <a:gd name="connsiteX11" fmla="*/ 1531131 w 1905327"/>
            <a:gd name="connsiteY11" fmla="*/ 571977 h 574356"/>
            <a:gd name="connsiteX12" fmla="*/ 1143327 w 1905327"/>
            <a:gd name="connsiteY12" fmla="*/ 571976 h 574356"/>
            <a:gd name="connsiteX13" fmla="*/ 962352 w 1905327"/>
            <a:gd name="connsiteY13" fmla="*/ 574356 h 574356"/>
            <a:gd name="connsiteX14" fmla="*/ 762327 w 1905327"/>
            <a:gd name="connsiteY14" fmla="*/ 571976 h 574356"/>
            <a:gd name="connsiteX15" fmla="*/ 388131 w 1905327"/>
            <a:gd name="connsiteY15" fmla="*/ 571976 h 574356"/>
            <a:gd name="connsiteX16" fmla="*/ 328 w 1905327"/>
            <a:gd name="connsiteY16" fmla="*/ 571976 h 574356"/>
            <a:gd name="connsiteX17" fmla="*/ 328 w 1905327"/>
            <a:gd name="connsiteY17" fmla="*/ 381476 h 574356"/>
            <a:gd name="connsiteX18" fmla="*/ 0 w 1905327"/>
            <a:gd name="connsiteY18" fmla="*/ 287264 h 574356"/>
            <a:gd name="connsiteX19" fmla="*/ 327 w 1905327"/>
            <a:gd name="connsiteY19" fmla="*/ 188595 h 574356"/>
            <a:gd name="connsiteX20" fmla="*/ 327 w 1905327"/>
            <a:gd name="connsiteY20" fmla="*/ 477 h 574356"/>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Lst>
          <a:rect l="l" t="t" r="r" b="b"/>
          <a:pathLst>
            <a:path w="1905327" h="574356">
              <a:moveTo>
                <a:pt x="327" y="477"/>
              </a:moveTo>
              <a:lnTo>
                <a:pt x="381327" y="477"/>
              </a:lnTo>
              <a:lnTo>
                <a:pt x="762327" y="476"/>
              </a:lnTo>
              <a:lnTo>
                <a:pt x="960923" y="0"/>
              </a:lnTo>
              <a:lnTo>
                <a:pt x="1143327" y="476"/>
              </a:lnTo>
              <a:lnTo>
                <a:pt x="1524327" y="477"/>
              </a:lnTo>
              <a:lnTo>
                <a:pt x="1905327" y="476"/>
              </a:lnTo>
              <a:lnTo>
                <a:pt x="1905327" y="190976"/>
              </a:lnTo>
              <a:lnTo>
                <a:pt x="1905000" y="281898"/>
              </a:lnTo>
              <a:lnTo>
                <a:pt x="1905327" y="381476"/>
              </a:lnTo>
              <a:lnTo>
                <a:pt x="1905327" y="571976"/>
              </a:lnTo>
              <a:lnTo>
                <a:pt x="1531131" y="571977"/>
              </a:lnTo>
              <a:lnTo>
                <a:pt x="1143327" y="571976"/>
              </a:lnTo>
              <a:lnTo>
                <a:pt x="962352" y="574356"/>
              </a:lnTo>
              <a:lnTo>
                <a:pt x="762327" y="571976"/>
              </a:lnTo>
              <a:lnTo>
                <a:pt x="388131" y="571976"/>
              </a:lnTo>
              <a:lnTo>
                <a:pt x="328" y="571976"/>
              </a:lnTo>
              <a:cubicBezTo>
                <a:pt x="-806" y="508476"/>
                <a:pt x="1462" y="444976"/>
                <a:pt x="328" y="381476"/>
              </a:cubicBezTo>
              <a:cubicBezTo>
                <a:pt x="273" y="334024"/>
                <a:pt x="0" y="319411"/>
                <a:pt x="0" y="287264"/>
              </a:cubicBezTo>
              <a:cubicBezTo>
                <a:pt x="0" y="255117"/>
                <a:pt x="273" y="236393"/>
                <a:pt x="327" y="188595"/>
              </a:cubicBezTo>
              <a:lnTo>
                <a:pt x="327" y="477"/>
              </a:lnTo>
              <a:close/>
            </a:path>
          </a:pathLst>
        </a:cu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a:t>Methane Processing</a:t>
          </a:r>
        </a:p>
      </xdr:txBody>
    </xdr:sp>
    <xdr:clientData/>
  </xdr:twoCellAnchor>
  <mc:AlternateContent xmlns:mc="http://schemas.openxmlformats.org/markup-compatibility/2006">
    <mc:Choice xmlns:a14="http://schemas.microsoft.com/office/drawing/2010/main" Requires="a14">
      <xdr:twoCellAnchor editAs="oneCell">
        <xdr:from>
          <xdr:col>31</xdr:col>
          <xdr:colOff>25400</xdr:colOff>
          <xdr:row>15</xdr:row>
          <xdr:rowOff>69850</xdr:rowOff>
        </xdr:from>
        <xdr:to>
          <xdr:col>35</xdr:col>
          <xdr:colOff>342900</xdr:colOff>
          <xdr:row>16</xdr:row>
          <xdr:rowOff>171450</xdr:rowOff>
        </xdr:to>
        <xdr:sp macro="" textlink="">
          <xdr:nvSpPr>
            <xdr:cNvPr id="201018" name="MethaneProcessingList" hidden="1">
              <a:extLst>
                <a:ext uri="{63B3BB69-23CF-44E3-9099-C40C66FF867C}">
                  <a14:compatExt spid="_x0000_s201018"/>
                </a:ext>
                <a:ext uri="{FF2B5EF4-FFF2-40B4-BE49-F238E27FC236}">
                  <a16:creationId xmlns:a16="http://schemas.microsoft.com/office/drawing/2014/main" id="{00000000-0008-0000-0500-00003A11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29</xdr:col>
      <xdr:colOff>85538</xdr:colOff>
      <xdr:row>13</xdr:row>
      <xdr:rowOff>177856</xdr:rowOff>
    </xdr:from>
    <xdr:to>
      <xdr:col>30</xdr:col>
      <xdr:colOff>381012</xdr:colOff>
      <xdr:row>16</xdr:row>
      <xdr:rowOff>8142</xdr:rowOff>
    </xdr:to>
    <xdr:cxnSp macro="">
      <xdr:nvCxnSpPr>
        <xdr:cNvPr id="34" name="CH4_FromReductionToProcessing" hidden="1">
          <a:extLst>
            <a:ext uri="{FF2B5EF4-FFF2-40B4-BE49-F238E27FC236}">
              <a16:creationId xmlns:a16="http://schemas.microsoft.com/office/drawing/2014/main" id="{00000000-0008-0000-0500-000022000000}"/>
            </a:ext>
          </a:extLst>
        </xdr:cNvPr>
        <xdr:cNvCxnSpPr>
          <a:stCxn id="14" idx="9"/>
          <a:endCxn id="51" idx="17"/>
        </xdr:cNvCxnSpPr>
      </xdr:nvCxnSpPr>
      <xdr:spPr>
        <a:xfrm>
          <a:off x="11502838" y="2641656"/>
          <a:ext cx="689174" cy="401786"/>
        </a:xfrm>
        <a:prstGeom prst="bentConnector3">
          <a:avLst>
            <a:gd name="adj1" fmla="val 6043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370459</xdr:colOff>
      <xdr:row>9</xdr:row>
      <xdr:rowOff>81825</xdr:rowOff>
    </xdr:from>
    <xdr:to>
      <xdr:col>34</xdr:col>
      <xdr:colOff>381301</xdr:colOff>
      <xdr:row>14</xdr:row>
      <xdr:rowOff>9440</xdr:rowOff>
    </xdr:to>
    <xdr:cxnSp macro="">
      <xdr:nvCxnSpPr>
        <xdr:cNvPr id="455" name="FromMethaneProcessingToVent" hidden="1">
          <a:extLst>
            <a:ext uri="{FF2B5EF4-FFF2-40B4-BE49-F238E27FC236}">
              <a16:creationId xmlns:a16="http://schemas.microsoft.com/office/drawing/2014/main" id="{00000000-0008-0000-0500-0000C7010000}"/>
            </a:ext>
          </a:extLst>
        </xdr:cNvPr>
        <xdr:cNvCxnSpPr>
          <a:stCxn id="51" idx="5"/>
          <a:endCxn id="584" idx="4"/>
        </xdr:cNvCxnSpPr>
      </xdr:nvCxnSpPr>
      <xdr:spPr>
        <a:xfrm flipH="1" flipV="1">
          <a:off x="12575159" y="1783625"/>
          <a:ext cx="1191942" cy="880115"/>
        </a:xfrm>
        <a:prstGeom prst="bentConnector4">
          <a:avLst>
            <a:gd name="adj1" fmla="val 1065"/>
            <a:gd name="adj2" fmla="val 50027"/>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85538</xdr:colOff>
      <xdr:row>15</xdr:row>
      <xdr:rowOff>8791</xdr:rowOff>
    </xdr:from>
    <xdr:to>
      <xdr:col>35</xdr:col>
      <xdr:colOff>381373</xdr:colOff>
      <xdr:row>19</xdr:row>
      <xdr:rowOff>82856</xdr:rowOff>
    </xdr:to>
    <xdr:cxnSp macro="">
      <xdr:nvCxnSpPr>
        <xdr:cNvPr id="461" name="H2_FromMethaneProcessing" hidden="1">
          <a:extLst>
            <a:ext uri="{FF2B5EF4-FFF2-40B4-BE49-F238E27FC236}">
              <a16:creationId xmlns:a16="http://schemas.microsoft.com/office/drawing/2014/main" id="{00000000-0008-0000-0500-0000CD010000}"/>
            </a:ext>
          </a:extLst>
        </xdr:cNvPr>
        <xdr:cNvCxnSpPr>
          <a:stCxn id="51" idx="7"/>
          <a:endCxn id="72" idx="3"/>
        </xdr:cNvCxnSpPr>
      </xdr:nvCxnSpPr>
      <xdr:spPr>
        <a:xfrm flipH="1">
          <a:off x="11502838" y="2853591"/>
          <a:ext cx="2658035" cy="836065"/>
        </a:xfrm>
        <a:prstGeom prst="bentConnector3">
          <a:avLst>
            <a:gd name="adj1" fmla="val -8600"/>
          </a:avLst>
        </a:prstGeom>
        <a:ln w="12700">
          <a:solidFill>
            <a:srgbClr val="E41A1C"/>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700</xdr:colOff>
      <xdr:row>16</xdr:row>
      <xdr:rowOff>8142</xdr:rowOff>
    </xdr:from>
    <xdr:to>
      <xdr:col>35</xdr:col>
      <xdr:colOff>381373</xdr:colOff>
      <xdr:row>37</xdr:row>
      <xdr:rowOff>128116</xdr:rowOff>
    </xdr:to>
    <xdr:cxnSp macro="">
      <xdr:nvCxnSpPr>
        <xdr:cNvPr id="8" name="FromMethaneProcessingToWaste" hidden="1">
          <a:extLst>
            <a:ext uri="{FF2B5EF4-FFF2-40B4-BE49-F238E27FC236}">
              <a16:creationId xmlns:a16="http://schemas.microsoft.com/office/drawing/2014/main" id="{00000000-0008-0000-0500-000008000000}"/>
            </a:ext>
          </a:extLst>
        </xdr:cNvPr>
        <xdr:cNvCxnSpPr>
          <a:stCxn id="51" idx="9"/>
          <a:endCxn id="500" idx="9"/>
        </xdr:cNvCxnSpPr>
      </xdr:nvCxnSpPr>
      <xdr:spPr>
        <a:xfrm flipH="1">
          <a:off x="9055800" y="3043442"/>
          <a:ext cx="5105073" cy="4120474"/>
        </a:xfrm>
        <a:prstGeom prst="bentConnector3">
          <a:avLst>
            <a:gd name="adj1" fmla="val -2612"/>
          </a:avLst>
        </a:prstGeom>
        <a:ln w="12700">
          <a:solidFill>
            <a:schemeClr val="tx1"/>
          </a:solidFill>
          <a:miter lim="800000"/>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0</xdr:col>
          <xdr:colOff>25400</xdr:colOff>
          <xdr:row>0</xdr:row>
          <xdr:rowOff>0</xdr:rowOff>
        </xdr:from>
        <xdr:to>
          <xdr:col>3</xdr:col>
          <xdr:colOff>381000</xdr:colOff>
          <xdr:row>2</xdr:row>
          <xdr:rowOff>6350</xdr:rowOff>
        </xdr:to>
        <xdr:sp macro="" textlink="">
          <xdr:nvSpPr>
            <xdr:cNvPr id="201019" name="Button 48443" hidden="1">
              <a:extLst>
                <a:ext uri="{63B3BB69-23CF-44E3-9099-C40C66FF867C}">
                  <a14:compatExt spid="_x0000_s201019"/>
                </a:ext>
                <a:ext uri="{FF2B5EF4-FFF2-40B4-BE49-F238E27FC236}">
                  <a16:creationId xmlns:a16="http://schemas.microsoft.com/office/drawing/2014/main" id="{00000000-0008-0000-0500-00003B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User's Guide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0</xdr:rowOff>
        </xdr:from>
        <xdr:to>
          <xdr:col>7</xdr:col>
          <xdr:colOff>374650</xdr:colOff>
          <xdr:row>2</xdr:row>
          <xdr:rowOff>6350</xdr:rowOff>
        </xdr:to>
        <xdr:sp macro="" textlink="">
          <xdr:nvSpPr>
            <xdr:cNvPr id="201020" name="Button 48444" hidden="1">
              <a:extLst>
                <a:ext uri="{63B3BB69-23CF-44E3-9099-C40C66FF867C}">
                  <a14:compatExt spid="_x0000_s201020"/>
                </a:ext>
                <a:ext uri="{FF2B5EF4-FFF2-40B4-BE49-F238E27FC236}">
                  <a16:creationId xmlns:a16="http://schemas.microsoft.com/office/drawing/2014/main" id="{00000000-0008-0000-0500-00003C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Initialize 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19050</xdr:colOff>
          <xdr:row>0</xdr:row>
          <xdr:rowOff>0</xdr:rowOff>
        </xdr:from>
        <xdr:to>
          <xdr:col>11</xdr:col>
          <xdr:colOff>374650</xdr:colOff>
          <xdr:row>2</xdr:row>
          <xdr:rowOff>6350</xdr:rowOff>
        </xdr:to>
        <xdr:sp macro="" textlink="">
          <xdr:nvSpPr>
            <xdr:cNvPr id="201021" name="Button 48445" hidden="1">
              <a:extLst>
                <a:ext uri="{63B3BB69-23CF-44E3-9099-C40C66FF867C}">
                  <a14:compatExt spid="_x0000_s201021"/>
                </a:ext>
                <a:ext uri="{FF2B5EF4-FFF2-40B4-BE49-F238E27FC236}">
                  <a16:creationId xmlns:a16="http://schemas.microsoft.com/office/drawing/2014/main" id="{00000000-0008-0000-0500-00003D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Perform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0</xdr:row>
          <xdr:rowOff>0</xdr:rowOff>
        </xdr:from>
        <xdr:to>
          <xdr:col>15</xdr:col>
          <xdr:colOff>368300</xdr:colOff>
          <xdr:row>2</xdr:row>
          <xdr:rowOff>6350</xdr:rowOff>
        </xdr:to>
        <xdr:sp macro="" textlink="">
          <xdr:nvSpPr>
            <xdr:cNvPr id="201022" name="Button 48446" hidden="1">
              <a:extLst>
                <a:ext uri="{63B3BB69-23CF-44E3-9099-C40C66FF867C}">
                  <a14:compatExt spid="_x0000_s201022"/>
                </a:ext>
                <a:ext uri="{FF2B5EF4-FFF2-40B4-BE49-F238E27FC236}">
                  <a16:creationId xmlns:a16="http://schemas.microsoft.com/office/drawing/2014/main" id="{00000000-0008-0000-0500-00003E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Store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12700</xdr:colOff>
          <xdr:row>0</xdr:row>
          <xdr:rowOff>0</xdr:rowOff>
        </xdr:from>
        <xdr:to>
          <xdr:col>19</xdr:col>
          <xdr:colOff>368300</xdr:colOff>
          <xdr:row>2</xdr:row>
          <xdr:rowOff>6350</xdr:rowOff>
        </xdr:to>
        <xdr:sp macro="" textlink="">
          <xdr:nvSpPr>
            <xdr:cNvPr id="201023" name="Button 48447" hidden="1">
              <a:extLst>
                <a:ext uri="{63B3BB69-23CF-44E3-9099-C40C66FF867C}">
                  <a14:compatExt spid="_x0000_s201023"/>
                </a:ext>
                <a:ext uri="{FF2B5EF4-FFF2-40B4-BE49-F238E27FC236}">
                  <a16:creationId xmlns:a16="http://schemas.microsoft.com/office/drawing/2014/main" id="{00000000-0008-0000-0500-00003F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Load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6350</xdr:colOff>
          <xdr:row>0</xdr:row>
          <xdr:rowOff>0</xdr:rowOff>
        </xdr:from>
        <xdr:to>
          <xdr:col>23</xdr:col>
          <xdr:colOff>361950</xdr:colOff>
          <xdr:row>2</xdr:row>
          <xdr:rowOff>6350</xdr:rowOff>
        </xdr:to>
        <xdr:sp macro="" textlink="">
          <xdr:nvSpPr>
            <xdr:cNvPr id="201024" name="Button 48448" hidden="1">
              <a:extLst>
                <a:ext uri="{63B3BB69-23CF-44E3-9099-C40C66FF867C}">
                  <a14:compatExt spid="_x0000_s201024"/>
                </a:ext>
                <a:ext uri="{FF2B5EF4-FFF2-40B4-BE49-F238E27FC236}">
                  <a16:creationId xmlns:a16="http://schemas.microsoft.com/office/drawing/2014/main" id="{00000000-0008-0000-0500-0000401103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Clear Results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30480</xdr:rowOff>
    </xdr:from>
    <xdr:to>
      <xdr:col>15</xdr:col>
      <xdr:colOff>0</xdr:colOff>
      <xdr:row>2</xdr:row>
      <xdr:rowOff>0</xdr:rowOff>
    </xdr:to>
    <xdr:sp macro="" textlink="">
      <xdr:nvSpPr>
        <xdr:cNvPr id="68" name="Textfeld 67">
          <a:extLst>
            <a:ext uri="{FF2B5EF4-FFF2-40B4-BE49-F238E27FC236}">
              <a16:creationId xmlns:a16="http://schemas.microsoft.com/office/drawing/2014/main" id="{00000000-0008-0000-0700-000044000000}"/>
            </a:ext>
          </a:extLst>
        </xdr:cNvPr>
        <xdr:cNvSpPr txBox="1"/>
      </xdr:nvSpPr>
      <xdr:spPr>
        <a:xfrm>
          <a:off x="0" y="30480"/>
          <a:ext cx="571500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Graphical Results - Plots and Data</a:t>
          </a:r>
          <a:r>
            <a:rPr lang="en-GB" sz="2400" u="sng"/>
            <a:t> </a:t>
          </a:r>
        </a:p>
      </xdr:txBody>
    </xdr:sp>
    <xdr:clientData/>
  </xdr:twoCellAnchor>
  <xdr:twoCellAnchor>
    <xdr:from>
      <xdr:col>1</xdr:col>
      <xdr:colOff>22860</xdr:colOff>
      <xdr:row>3</xdr:row>
      <xdr:rowOff>7620</xdr:rowOff>
    </xdr:from>
    <xdr:to>
      <xdr:col>15</xdr:col>
      <xdr:colOff>22860</xdr:colOff>
      <xdr:row>23</xdr:row>
      <xdr:rowOff>5715</xdr:rowOff>
    </xdr:to>
    <xdr:graphicFrame macro="">
      <xdr:nvGraphicFramePr>
        <xdr:cNvPr id="15" name="ESM System Mass">
          <a:extLst>
            <a:ext uri="{FF2B5EF4-FFF2-40B4-BE49-F238E27FC236}">
              <a16:creationId xmlns:a16="http://schemas.microsoft.com/office/drawing/2014/main" id="{00000000-0008-0000-07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24</xdr:row>
      <xdr:rowOff>0</xdr:rowOff>
    </xdr:from>
    <xdr:to>
      <xdr:col>15</xdr:col>
      <xdr:colOff>0</xdr:colOff>
      <xdr:row>44</xdr:row>
      <xdr:rowOff>152400</xdr:rowOff>
    </xdr:to>
    <xdr:graphicFrame macro="">
      <xdr:nvGraphicFramePr>
        <xdr:cNvPr id="16" name="ECLSS ESM Composition">
          <a:extLst>
            <a:ext uri="{FF2B5EF4-FFF2-40B4-BE49-F238E27FC236}">
              <a16:creationId xmlns:a16="http://schemas.microsoft.com/office/drawing/2014/main" id="{00000000-0008-0000-07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31</xdr:col>
      <xdr:colOff>0</xdr:colOff>
      <xdr:row>3</xdr:row>
      <xdr:rowOff>9525</xdr:rowOff>
    </xdr:from>
    <xdr:to>
      <xdr:col>43</xdr:col>
      <xdr:colOff>0</xdr:colOff>
      <xdr:row>23</xdr:row>
      <xdr:rowOff>0</xdr:rowOff>
    </xdr:to>
    <xdr:graphicFrame macro="">
      <xdr:nvGraphicFramePr>
        <xdr:cNvPr id="17" name="CO2 Partial Pressure">
          <a:extLst>
            <a:ext uri="{FF2B5EF4-FFF2-40B4-BE49-F238E27FC236}">
              <a16:creationId xmlns:a16="http://schemas.microsoft.com/office/drawing/2014/main" id="{00000000-0008-0000-07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114300</xdr:colOff>
      <xdr:row>3</xdr:row>
      <xdr:rowOff>9525</xdr:rowOff>
    </xdr:from>
    <xdr:to>
      <xdr:col>30</xdr:col>
      <xdr:colOff>0</xdr:colOff>
      <xdr:row>23</xdr:row>
      <xdr:rowOff>0</xdr:rowOff>
    </xdr:to>
    <xdr:graphicFrame macro="">
      <xdr:nvGraphicFramePr>
        <xdr:cNvPr id="18" name="CO2 Production">
          <a:extLst>
            <a:ext uri="{FF2B5EF4-FFF2-40B4-BE49-F238E27FC236}">
              <a16:creationId xmlns:a16="http://schemas.microsoft.com/office/drawing/2014/main" id="{00000000-0008-0000-07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133350</xdr:colOff>
      <xdr:row>24</xdr:row>
      <xdr:rowOff>0</xdr:rowOff>
    </xdr:from>
    <xdr:to>
      <xdr:col>30</xdr:col>
      <xdr:colOff>0</xdr:colOff>
      <xdr:row>44</xdr:row>
      <xdr:rowOff>152400</xdr:rowOff>
    </xdr:to>
    <xdr:graphicFrame macro="">
      <xdr:nvGraphicFramePr>
        <xdr:cNvPr id="19" name="O2 Needs">
          <a:extLst>
            <a:ext uri="{FF2B5EF4-FFF2-40B4-BE49-F238E27FC236}">
              <a16:creationId xmlns:a16="http://schemas.microsoft.com/office/drawing/2014/main" id="{00000000-0008-0000-07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0</xdr:colOff>
      <xdr:row>24</xdr:row>
      <xdr:rowOff>0</xdr:rowOff>
    </xdr:from>
    <xdr:to>
      <xdr:col>43</xdr:col>
      <xdr:colOff>0</xdr:colOff>
      <xdr:row>44</xdr:row>
      <xdr:rowOff>152400</xdr:rowOff>
    </xdr:to>
    <xdr:graphicFrame macro="">
      <xdr:nvGraphicFramePr>
        <xdr:cNvPr id="20" name="O2 Partial Pressure">
          <a:extLst>
            <a:ext uri="{FF2B5EF4-FFF2-40B4-BE49-F238E27FC236}">
              <a16:creationId xmlns:a16="http://schemas.microsoft.com/office/drawing/2014/main" id="{00000000-0008-0000-07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31</xdr:col>
      <xdr:colOff>0</xdr:colOff>
      <xdr:row>47</xdr:row>
      <xdr:rowOff>171450</xdr:rowOff>
    </xdr:from>
    <xdr:to>
      <xdr:col>43</xdr:col>
      <xdr:colOff>0</xdr:colOff>
      <xdr:row>69</xdr:row>
      <xdr:rowOff>0</xdr:rowOff>
    </xdr:to>
    <xdr:graphicFrame macro="">
      <xdr:nvGraphicFramePr>
        <xdr:cNvPr id="21" name="Potable and Hygiene Water Needs">
          <a:extLst>
            <a:ext uri="{FF2B5EF4-FFF2-40B4-BE49-F238E27FC236}">
              <a16:creationId xmlns:a16="http://schemas.microsoft.com/office/drawing/2014/main" id="{00000000-0008-0000-07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66674</xdr:colOff>
      <xdr:row>48</xdr:row>
      <xdr:rowOff>0</xdr:rowOff>
    </xdr:from>
    <xdr:to>
      <xdr:col>29</xdr:col>
      <xdr:colOff>380999</xdr:colOff>
      <xdr:row>69</xdr:row>
      <xdr:rowOff>0</xdr:rowOff>
    </xdr:to>
    <xdr:graphicFrame macro="">
      <xdr:nvGraphicFramePr>
        <xdr:cNvPr id="22" name="Daily WW and Urine Production">
          <a:extLst>
            <a:ext uri="{FF2B5EF4-FFF2-40B4-BE49-F238E27FC236}">
              <a16:creationId xmlns:a16="http://schemas.microsoft.com/office/drawing/2014/main" id="{00000000-0008-0000-07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48</xdr:row>
      <xdr:rowOff>38100</xdr:rowOff>
    </xdr:from>
    <xdr:to>
      <xdr:col>15</xdr:col>
      <xdr:colOff>0</xdr:colOff>
      <xdr:row>69</xdr:row>
      <xdr:rowOff>0</xdr:rowOff>
    </xdr:to>
    <xdr:graphicFrame macro="">
      <xdr:nvGraphicFramePr>
        <xdr:cNvPr id="11" name="O2 Needs">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777240</xdr:colOff>
      <xdr:row>1</xdr:row>
      <xdr:rowOff>30480</xdr:rowOff>
    </xdr:from>
    <xdr:to>
      <xdr:col>11</xdr:col>
      <xdr:colOff>476250</xdr:colOff>
      <xdr:row>3</xdr:row>
      <xdr:rowOff>144780</xdr:rowOff>
    </xdr:to>
    <xdr:sp macro="" textlink="">
      <xdr:nvSpPr>
        <xdr:cNvPr id="2" name="Textfeld 1">
          <a:extLst>
            <a:ext uri="{FF2B5EF4-FFF2-40B4-BE49-F238E27FC236}">
              <a16:creationId xmlns:a16="http://schemas.microsoft.com/office/drawing/2014/main" id="{00000000-0008-0000-0800-000002000000}"/>
            </a:ext>
          </a:extLst>
        </xdr:cNvPr>
        <xdr:cNvSpPr txBox="1"/>
      </xdr:nvSpPr>
      <xdr:spPr>
        <a:xfrm>
          <a:off x="5196840" y="220980"/>
          <a:ext cx="4842510" cy="49530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2400" b="1" i="0" u="sng" strike="noStrike">
              <a:solidFill>
                <a:schemeClr val="dk1"/>
              </a:solidFill>
              <a:effectLst/>
              <a:latin typeface="+mn-lt"/>
              <a:ea typeface="+mn-ea"/>
              <a:cs typeface="+mn-cs"/>
            </a:rPr>
            <a:t>Models for </a:t>
          </a:r>
          <a:r>
            <a:rPr lang="en-GB" sz="2400" b="1" i="0" u="sng">
              <a:solidFill>
                <a:schemeClr val="dk1"/>
              </a:solidFill>
              <a:effectLst/>
              <a:latin typeface="+mn-lt"/>
              <a:ea typeface="+mn-ea"/>
              <a:cs typeface="+mn-cs"/>
            </a:rPr>
            <a:t>Resupply and Logistics </a:t>
          </a:r>
          <a:endParaRPr lang="en-GB" sz="2400" u="sng"/>
        </a:p>
      </xdr:txBody>
    </xdr:sp>
    <xdr:clientData/>
  </xdr:twoCellAnchor>
  <xdr:twoCellAnchor>
    <xdr:from>
      <xdr:col>5</xdr:col>
      <xdr:colOff>769620</xdr:colOff>
      <xdr:row>5</xdr:row>
      <xdr:rowOff>114300</xdr:rowOff>
    </xdr:from>
    <xdr:to>
      <xdr:col>9</xdr:col>
      <xdr:colOff>807720</xdr:colOff>
      <xdr:row>6</xdr:row>
      <xdr:rowOff>274320</xdr:rowOff>
    </xdr:to>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5318760" y="1028700"/>
          <a:ext cx="3573780" cy="35052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Consumables and necessary</a:t>
          </a:r>
          <a:r>
            <a:rPr lang="en-GB" sz="1400" b="0" i="0" u="sng" strike="noStrike" baseline="0">
              <a:solidFill>
                <a:schemeClr val="dk1"/>
              </a:solidFill>
              <a:effectLst/>
              <a:latin typeface="+mn-lt"/>
              <a:ea typeface="+mn-ea"/>
              <a:cs typeface="+mn-cs"/>
            </a:rPr>
            <a:t> resupply masses</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603250</xdr:colOff>
          <xdr:row>4</xdr:row>
          <xdr:rowOff>25400</xdr:rowOff>
        </xdr:from>
        <xdr:to>
          <xdr:col>4</xdr:col>
          <xdr:colOff>336550</xdr:colOff>
          <xdr:row>6</xdr:row>
          <xdr:rowOff>6350</xdr:rowOff>
        </xdr:to>
        <xdr:sp macro="" textlink="">
          <xdr:nvSpPr>
            <xdr:cNvPr id="44033" name="Perform_Analysis" hidden="1">
              <a:extLst>
                <a:ext uri="{63B3BB69-23CF-44E3-9099-C40C66FF867C}">
                  <a14:compatExt spid="_x0000_s44033"/>
                </a:ext>
                <a:ext uri="{FF2B5EF4-FFF2-40B4-BE49-F238E27FC236}">
                  <a16:creationId xmlns:a16="http://schemas.microsoft.com/office/drawing/2014/main" id="{00000000-0008-0000-0800-000001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Perform Analysis</a:t>
              </a:r>
            </a:p>
          </xdr:txBody>
        </xdr:sp>
        <xdr:clientData fPrintsWithSheet="0"/>
      </xdr:twoCellAnchor>
    </mc:Choice>
    <mc:Fallback/>
  </mc:AlternateContent>
  <xdr:twoCellAnchor>
    <xdr:from>
      <xdr:col>0</xdr:col>
      <xdr:colOff>28575</xdr:colOff>
      <xdr:row>11</xdr:row>
      <xdr:rowOff>93344</xdr:rowOff>
    </xdr:from>
    <xdr:to>
      <xdr:col>4</xdr:col>
      <xdr:colOff>678180</xdr:colOff>
      <xdr:row>31</xdr:row>
      <xdr:rowOff>190500</xdr:rowOff>
    </xdr:to>
    <xdr:sp macro="" textlink="">
      <xdr:nvSpPr>
        <xdr:cNvPr id="4" name="Instruction">
          <a:extLst>
            <a:ext uri="{FF2B5EF4-FFF2-40B4-BE49-F238E27FC236}">
              <a16:creationId xmlns:a16="http://schemas.microsoft.com/office/drawing/2014/main" id="{00000000-0008-0000-0800-000004000000}"/>
            </a:ext>
          </a:extLst>
        </xdr:cNvPr>
        <xdr:cNvSpPr txBox="1"/>
      </xdr:nvSpPr>
      <xdr:spPr>
        <a:xfrm>
          <a:off x="28575" y="3027044"/>
          <a:ext cx="4314825" cy="7046596"/>
        </a:xfrm>
        <a:prstGeom prst="rect">
          <a:avLst/>
        </a:prstGeom>
        <a:solidFill>
          <a:schemeClr val="lt1"/>
        </a:solidFill>
        <a:ln w="9525" cmpd="sng">
          <a:solidFill>
            <a:srgbClr val="00206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just" defTabSz="914400" eaLnBrk="1" fontAlgn="auto" latinLnBrk="0" hangingPunct="1">
            <a:lnSpc>
              <a:spcPct val="100000"/>
            </a:lnSpc>
            <a:spcBef>
              <a:spcPts val="0"/>
            </a:spcBef>
            <a:spcAft>
              <a:spcPts val="0"/>
            </a:spcAft>
            <a:buClrTx/>
            <a:buSzTx/>
            <a:buFontTx/>
            <a:buNone/>
            <a:tabLst/>
            <a:defRPr/>
          </a:pPr>
          <a:r>
            <a:rPr lang="en-GB" sz="1100" baseline="0">
              <a:solidFill>
                <a:schemeClr val="dk1"/>
              </a:solidFill>
              <a:effectLst/>
              <a:latin typeface="+mn-lt"/>
              <a:ea typeface="+mn-ea"/>
              <a:cs typeface="+mn-cs"/>
            </a:rPr>
            <a:t>The resupply modelling approach uses the resupply and spare part demand from the selected ECLSS shown in the Output Data sheet.  </a:t>
          </a:r>
          <a:r>
            <a:rPr lang="en-GB" sz="1100" b="1" u="sng" baseline="0">
              <a:solidFill>
                <a:schemeClr val="dk1"/>
              </a:solidFill>
              <a:effectLst/>
              <a:latin typeface="+mn-lt"/>
              <a:ea typeface="+mn-ea"/>
              <a:cs typeface="+mn-cs"/>
            </a:rPr>
            <a:t>Note:</a:t>
          </a:r>
          <a:r>
            <a:rPr lang="en-GB" sz="1100" baseline="0">
              <a:solidFill>
                <a:schemeClr val="dk1"/>
              </a:solidFill>
              <a:effectLst/>
              <a:latin typeface="+mn-lt"/>
              <a:ea typeface="+mn-ea"/>
              <a:cs typeface="+mn-cs"/>
            </a:rPr>
            <a:t> If desired, the user can define an amount of initial consumables available on the station (left overs from previous missions) over the "Initial Consumables" UI, thereby reducing the amount of consumables that would have to be brought along otherwise.</a:t>
          </a:r>
          <a:endParaRPr lang="en-GB" sz="1100" b="1" u="sng"/>
        </a:p>
        <a:p>
          <a:pPr algn="just"/>
          <a:endParaRPr lang="en-GB" sz="800" b="0" u="none"/>
        </a:p>
        <a:p>
          <a:pPr algn="just"/>
          <a:r>
            <a:rPr lang="en-GB" sz="1100" b="1" u="sng"/>
            <a:t>Step 1:</a:t>
          </a:r>
          <a:r>
            <a:rPr lang="en-GB" sz="1100"/>
            <a:t> Define the scope of your campaign by choosing the total amount of crewed missions to be performed on the station</a:t>
          </a:r>
          <a:r>
            <a:rPr lang="en-GB" sz="1100" baseline="0"/>
            <a:t> via the "Perform Analysis" UI. Within the table "Consumables and necessary resupply masses" the values for mission duration, crew size and transport capability (meaning the amount of cargo one resupply flight can deliever to the station) need to be adjusted before proceeding. If the mission required more resupply than can be transported, additional cargo only missions are added before the crewed mission. Currently only architectures with identical cargo capacity for each flight are implemented.</a:t>
          </a:r>
        </a:p>
        <a:p>
          <a:pPr algn="just"/>
          <a:endParaRPr lang="en-GB" sz="800" baseline="0"/>
        </a:p>
        <a:p>
          <a:pPr algn="just"/>
          <a:r>
            <a:rPr lang="en-GB" sz="1100" b="1" u="sng">
              <a:solidFill>
                <a:schemeClr val="dk1"/>
              </a:solidFill>
              <a:effectLst/>
              <a:latin typeface="+mn-lt"/>
              <a:ea typeface="+mn-ea"/>
              <a:cs typeface="+mn-cs"/>
            </a:rPr>
            <a:t>Step 2:</a:t>
          </a:r>
          <a:r>
            <a:rPr lang="en-GB" sz="1100" b="0" u="none" baseline="0">
              <a:solidFill>
                <a:schemeClr val="dk1"/>
              </a:solidFill>
              <a:effectLst/>
              <a:latin typeface="+mn-lt"/>
              <a:ea typeface="+mn-ea"/>
              <a:cs typeface="+mn-cs"/>
            </a:rPr>
            <a:t> Over the "</a:t>
          </a:r>
          <a:r>
            <a:rPr lang="en-GB" sz="1100" b="0" baseline="0">
              <a:solidFill>
                <a:schemeClr val="dk1"/>
              </a:solidFill>
              <a:effectLst/>
              <a:latin typeface="+mn-lt"/>
              <a:ea typeface="+mn-ea"/>
              <a:cs typeface="+mn-cs"/>
            </a:rPr>
            <a:t>Adjust</a:t>
          </a:r>
          <a:r>
            <a:rPr lang="en-GB" sz="1100" b="0" u="none" baseline="0">
              <a:solidFill>
                <a:schemeClr val="dk1"/>
              </a:solidFill>
              <a:effectLst/>
              <a:latin typeface="+mn-lt"/>
              <a:ea typeface="+mn-ea"/>
              <a:cs typeface="+mn-cs"/>
            </a:rPr>
            <a:t> Payload Mass" UI additional payload and cargo can be added to the total mission mass. </a:t>
          </a:r>
        </a:p>
        <a:p>
          <a:pPr algn="just"/>
          <a:endParaRPr lang="en-GB" sz="1100" b="0" u="none" baseline="0">
            <a:solidFill>
              <a:schemeClr val="dk1"/>
            </a:solidFill>
            <a:effectLst/>
            <a:latin typeface="+mn-lt"/>
            <a:ea typeface="+mn-ea"/>
            <a:cs typeface="+mn-cs"/>
          </a:endParaRPr>
        </a:p>
        <a:p>
          <a:pPr marL="0" marR="0" lvl="0" indent="0" algn="just" defTabSz="914400" eaLnBrk="1" fontAlgn="auto" latinLnBrk="0" hangingPunct="1">
            <a:lnSpc>
              <a:spcPct val="100000"/>
            </a:lnSpc>
            <a:spcBef>
              <a:spcPts val="0"/>
            </a:spcBef>
            <a:spcAft>
              <a:spcPts val="0"/>
            </a:spcAft>
            <a:buClrTx/>
            <a:buSzTx/>
            <a:buFontTx/>
            <a:buNone/>
            <a:tabLst/>
            <a:defRPr/>
          </a:pPr>
          <a:r>
            <a:rPr lang="en-GB" sz="1100" b="1" u="sng" baseline="0">
              <a:solidFill>
                <a:schemeClr val="dk1"/>
              </a:solidFill>
              <a:effectLst/>
              <a:latin typeface="+mn-lt"/>
              <a:ea typeface="+mn-ea"/>
              <a:cs typeface="+mn-cs"/>
            </a:rPr>
            <a:t>Step 3: </a:t>
          </a:r>
          <a:r>
            <a:rPr lang="en-GB" sz="1100" b="0" u="none" baseline="0">
              <a:solidFill>
                <a:schemeClr val="dk1"/>
              </a:solidFill>
              <a:effectLst/>
              <a:latin typeface="+mn-lt"/>
              <a:ea typeface="+mn-ea"/>
              <a:cs typeface="+mn-cs"/>
            </a:rPr>
            <a:t>Via the "Adjust Supply" UI the resupply of the required consumables can be moved between different flight. E.g. supplying all the N2 in the first flight, all the O2 in the second flight and so on.</a:t>
          </a:r>
        </a:p>
        <a:p>
          <a:pPr algn="just"/>
          <a:endParaRPr lang="en-GB" sz="800" b="0" u="none" baseline="0">
            <a:solidFill>
              <a:schemeClr val="dk1"/>
            </a:solidFill>
            <a:effectLst/>
            <a:latin typeface="+mn-lt"/>
            <a:ea typeface="+mn-ea"/>
            <a:cs typeface="+mn-cs"/>
          </a:endParaRPr>
        </a:p>
        <a:p>
          <a:pPr algn="just"/>
          <a:r>
            <a:rPr lang="en-GB" sz="1100" b="1" u="sng" baseline="0">
              <a:solidFill>
                <a:schemeClr val="dk1"/>
              </a:solidFill>
              <a:effectLst/>
              <a:latin typeface="+mn-lt"/>
              <a:ea typeface="+mn-ea"/>
              <a:cs typeface="+mn-cs"/>
            </a:rPr>
            <a:t>Step 4:</a:t>
          </a:r>
          <a:r>
            <a:rPr lang="en-GB" sz="1100" b="0" u="none" baseline="0">
              <a:solidFill>
                <a:schemeClr val="dk1"/>
              </a:solidFill>
              <a:effectLst/>
              <a:latin typeface="+mn-lt"/>
              <a:ea typeface="+mn-ea"/>
              <a:cs typeface="+mn-cs"/>
            </a:rPr>
            <a:t> Via the "Plot Resupply Matrix" UI a resupply matrix correspon-ding to the campaign design is generated. The values for and mission mass left and cargo mass left indicate whether and how much required misson mass is remaining (positive values shaded red mean a mission is not fully serviced) and whether to what extent a flight has transportation capabilities left to be used.</a:t>
          </a:r>
        </a:p>
        <a:p>
          <a:pPr algn="just"/>
          <a:r>
            <a:rPr lang="en-GB" sz="1100" b="0" u="none" baseline="0">
              <a:solidFill>
                <a:schemeClr val="dk1"/>
              </a:solidFill>
              <a:effectLst/>
              <a:latin typeface="+mn-lt"/>
              <a:ea typeface="+mn-ea"/>
              <a:cs typeface="+mn-cs"/>
            </a:rPr>
            <a:t>In addition the flight criticality matrix and path are ploted for the campaing to show if any flights are highly critical for the overall architecture</a:t>
          </a:r>
        </a:p>
      </xdr:txBody>
    </xdr:sp>
    <xdr:clientData/>
  </xdr:twoCellAnchor>
  <mc:AlternateContent xmlns:mc="http://schemas.openxmlformats.org/markup-compatibility/2006">
    <mc:Choice xmlns:a14="http://schemas.microsoft.com/office/drawing/2010/main" Requires="a14">
      <xdr:twoCellAnchor>
        <xdr:from>
          <xdr:col>2</xdr:col>
          <xdr:colOff>603250</xdr:colOff>
          <xdr:row>9</xdr:row>
          <xdr:rowOff>0</xdr:rowOff>
        </xdr:from>
        <xdr:to>
          <xdr:col>4</xdr:col>
          <xdr:colOff>336550</xdr:colOff>
          <xdr:row>9</xdr:row>
          <xdr:rowOff>349250</xdr:rowOff>
        </xdr:to>
        <xdr:sp macro="" textlink="">
          <xdr:nvSpPr>
            <xdr:cNvPr id="44034" name="Plot_Resupply_matrix" hidden="1">
              <a:extLst>
                <a:ext uri="{63B3BB69-23CF-44E3-9099-C40C66FF867C}">
                  <a14:compatExt spid="_x0000_s44034"/>
                </a:ext>
                <a:ext uri="{FF2B5EF4-FFF2-40B4-BE49-F238E27FC236}">
                  <a16:creationId xmlns:a16="http://schemas.microsoft.com/office/drawing/2014/main" id="{00000000-0008-0000-0800-000002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Plot Resupply Matrix</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8" name="Label_Resupply_Matrix">
          <a:extLst>
            <a:ext uri="{FF2B5EF4-FFF2-40B4-BE49-F238E27FC236}">
              <a16:creationId xmlns:a16="http://schemas.microsoft.com/office/drawing/2014/main" id="{00000000-0008-0000-0800-000008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mc:AlternateContent xmlns:mc="http://schemas.openxmlformats.org/markup-compatibility/2006">
    <mc:Choice xmlns:a14="http://schemas.microsoft.com/office/drawing/2010/main" Requires="a14">
      <xdr:twoCellAnchor>
        <xdr:from>
          <xdr:col>2</xdr:col>
          <xdr:colOff>603250</xdr:colOff>
          <xdr:row>7</xdr:row>
          <xdr:rowOff>25400</xdr:rowOff>
        </xdr:from>
        <xdr:to>
          <xdr:col>4</xdr:col>
          <xdr:colOff>336550</xdr:colOff>
          <xdr:row>8</xdr:row>
          <xdr:rowOff>6350</xdr:rowOff>
        </xdr:to>
        <xdr:sp macro="" textlink="">
          <xdr:nvSpPr>
            <xdr:cNvPr id="44036" name="Addpayload" hidden="1">
              <a:extLst>
                <a:ext uri="{63B3BB69-23CF-44E3-9099-C40C66FF867C}">
                  <a14:compatExt spid="_x0000_s44036"/>
                </a:ext>
                <a:ext uri="{FF2B5EF4-FFF2-40B4-BE49-F238E27FC236}">
                  <a16:creationId xmlns:a16="http://schemas.microsoft.com/office/drawing/2014/main" id="{00000000-0008-0000-0800-000004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Adjust Payload Mass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7</xdr:row>
          <xdr:rowOff>25400</xdr:rowOff>
        </xdr:from>
        <xdr:to>
          <xdr:col>1</xdr:col>
          <xdr:colOff>596900</xdr:colOff>
          <xdr:row>8</xdr:row>
          <xdr:rowOff>6350</xdr:rowOff>
        </xdr:to>
        <xdr:sp macro="" textlink="">
          <xdr:nvSpPr>
            <xdr:cNvPr id="44038" name="Plot_Resupply_matrix" hidden="1">
              <a:extLst>
                <a:ext uri="{63B3BB69-23CF-44E3-9099-C40C66FF867C}">
                  <a14:compatExt spid="_x0000_s44038"/>
                </a:ext>
                <a:ext uri="{FF2B5EF4-FFF2-40B4-BE49-F238E27FC236}">
                  <a16:creationId xmlns:a16="http://schemas.microsoft.com/office/drawing/2014/main" id="{00000000-0008-0000-0800-000006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Show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8</xdr:row>
          <xdr:rowOff>25400</xdr:rowOff>
        </xdr:from>
        <xdr:to>
          <xdr:col>1</xdr:col>
          <xdr:colOff>596900</xdr:colOff>
          <xdr:row>9</xdr:row>
          <xdr:rowOff>6350</xdr:rowOff>
        </xdr:to>
        <xdr:sp macro="" textlink="">
          <xdr:nvSpPr>
            <xdr:cNvPr id="44039" name="Plot_Resupply_matrix" hidden="1">
              <a:extLst>
                <a:ext uri="{63B3BB69-23CF-44E3-9099-C40C66FF867C}">
                  <a14:compatExt spid="_x0000_s44039"/>
                </a:ext>
                <a:ext uri="{FF2B5EF4-FFF2-40B4-BE49-F238E27FC236}">
                  <a16:creationId xmlns:a16="http://schemas.microsoft.com/office/drawing/2014/main" id="{00000000-0008-0000-0800-000007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Hide Instructions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603250</xdr:colOff>
          <xdr:row>6</xdr:row>
          <xdr:rowOff>25400</xdr:rowOff>
        </xdr:from>
        <xdr:to>
          <xdr:col>4</xdr:col>
          <xdr:colOff>336550</xdr:colOff>
          <xdr:row>7</xdr:row>
          <xdr:rowOff>6350</xdr:rowOff>
        </xdr:to>
        <xdr:sp macro="" textlink="">
          <xdr:nvSpPr>
            <xdr:cNvPr id="44040" name="Initial_Consumables" hidden="1">
              <a:extLst>
                <a:ext uri="{63B3BB69-23CF-44E3-9099-C40C66FF867C}">
                  <a14:compatExt spid="_x0000_s44040"/>
                </a:ext>
                <a:ext uri="{FF2B5EF4-FFF2-40B4-BE49-F238E27FC236}">
                  <a16:creationId xmlns:a16="http://schemas.microsoft.com/office/drawing/2014/main" id="{00000000-0008-0000-0800-000008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Initial Consumables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596900</xdr:colOff>
          <xdr:row>1</xdr:row>
          <xdr:rowOff>177800</xdr:rowOff>
        </xdr:from>
        <xdr:to>
          <xdr:col>2</xdr:col>
          <xdr:colOff>838200</xdr:colOff>
          <xdr:row>3</xdr:row>
          <xdr:rowOff>31750</xdr:rowOff>
        </xdr:to>
        <xdr:sp macro="" textlink="">
          <xdr:nvSpPr>
            <xdr:cNvPr id="44042" name="Check_Box_Crew" hidden="1">
              <a:extLst>
                <a:ext uri="{63B3BB69-23CF-44E3-9099-C40C66FF867C}">
                  <a14:compatExt spid="_x0000_s44042"/>
                </a:ext>
                <a:ext uri="{FF2B5EF4-FFF2-40B4-BE49-F238E27FC236}">
                  <a16:creationId xmlns:a16="http://schemas.microsoft.com/office/drawing/2014/main" id="{00000000-0008-0000-0800-00000AA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596900</xdr:colOff>
          <xdr:row>8</xdr:row>
          <xdr:rowOff>25400</xdr:rowOff>
        </xdr:from>
        <xdr:to>
          <xdr:col>4</xdr:col>
          <xdr:colOff>330200</xdr:colOff>
          <xdr:row>9</xdr:row>
          <xdr:rowOff>6350</xdr:rowOff>
        </xdr:to>
        <xdr:sp macro="" textlink="">
          <xdr:nvSpPr>
            <xdr:cNvPr id="44043" name="Plot_Resupply_matrix" hidden="1">
              <a:extLst>
                <a:ext uri="{63B3BB69-23CF-44E3-9099-C40C66FF867C}">
                  <a14:compatExt spid="_x0000_s44043"/>
                </a:ext>
                <a:ext uri="{FF2B5EF4-FFF2-40B4-BE49-F238E27FC236}">
                  <a16:creationId xmlns:a16="http://schemas.microsoft.com/office/drawing/2014/main" id="{00000000-0008-0000-0800-00000B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Adjust Supply</a:t>
              </a:r>
            </a:p>
          </xdr:txBody>
        </xdr:sp>
        <xdr:clientData fPrintsWithSheet="0"/>
      </xdr:twoCellAnchor>
    </mc:Choice>
    <mc:Fallback/>
  </mc:AlternateContent>
  <xdr:twoCellAnchor>
    <xdr:from>
      <xdr:col>0</xdr:col>
      <xdr:colOff>17145</xdr:colOff>
      <xdr:row>32</xdr:row>
      <xdr:rowOff>0</xdr:rowOff>
    </xdr:from>
    <xdr:to>
      <xdr:col>1</xdr:col>
      <xdr:colOff>920115</xdr:colOff>
      <xdr:row>32</xdr:row>
      <xdr:rowOff>346710</xdr:rowOff>
    </xdr:to>
    <xdr:sp macro="" textlink="">
      <xdr:nvSpPr>
        <xdr:cNvPr id="15" name="Label_Resupply_Matrix">
          <a:extLst>
            <a:ext uri="{FF2B5EF4-FFF2-40B4-BE49-F238E27FC236}">
              <a16:creationId xmlns:a16="http://schemas.microsoft.com/office/drawing/2014/main" id="{00000000-0008-0000-0800-00000F000000}"/>
            </a:ext>
          </a:extLst>
        </xdr:cNvPr>
        <xdr:cNvSpPr txBox="1"/>
      </xdr:nvSpPr>
      <xdr:spPr>
        <a:xfrm>
          <a:off x="17145" y="9467850"/>
          <a:ext cx="1817370" cy="346710"/>
        </a:xfrm>
        <a:prstGeom prst="rect">
          <a:avLst/>
        </a:prstGeom>
        <a:solidFill>
          <a:schemeClr val="lt1"/>
        </a:solidFill>
        <a:ln w="9525" cmpd="sng">
          <a:solidFill>
            <a:schemeClr val="bg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0" i="0" u="sng" strike="noStrike">
              <a:solidFill>
                <a:schemeClr val="dk1"/>
              </a:solidFill>
              <a:effectLst/>
              <a:latin typeface="+mn-lt"/>
              <a:ea typeface="+mn-ea"/>
              <a:cs typeface="+mn-cs"/>
            </a:rPr>
            <a:t>Resupply Mass Matrix</a:t>
          </a:r>
          <a:endParaRPr lang="en-GB" sz="1400" b="0" u="sng"/>
        </a:p>
      </xdr:txBody>
    </xdr:sp>
    <xdr:clientData/>
  </xdr:twoCellAnchor>
  <xdr:twoCellAnchor>
    <xdr:from>
      <xdr:col>8</xdr:col>
      <xdr:colOff>0</xdr:colOff>
      <xdr:row>37</xdr:row>
      <xdr:rowOff>0</xdr:rowOff>
    </xdr:from>
    <xdr:to>
      <xdr:col>13</xdr:col>
      <xdr:colOff>660400</xdr:colOff>
      <xdr:row>47</xdr:row>
      <xdr:rowOff>152400</xdr:rowOff>
    </xdr:to>
    <xdr:graphicFrame macro="">
      <xdr:nvGraphicFramePr>
        <xdr:cNvPr id="5" name="FCP">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iel/Desktop/LiSTOT%20Version%201.4.7%20with%20ref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ser Interface"/>
      <sheetName val="Technology"/>
      <sheetName val="Schedule and Metabolic"/>
      <sheetName val="MCA ESM"/>
      <sheetName val="ECLSS Composition"/>
      <sheetName val="Output Data"/>
      <sheetName val="Graphical Output"/>
      <sheetName val="Resupply Approach"/>
      <sheetName val="ECLSS Functions"/>
    </sheetNames>
    <sheetDataSet>
      <sheetData sheetId="0">
        <row r="10">
          <cell r="B10">
            <v>4</v>
          </cell>
        </row>
        <row r="11">
          <cell r="B11">
            <v>900</v>
          </cell>
        </row>
      </sheetData>
      <sheetData sheetId="1" refreshError="1"/>
      <sheetData sheetId="2">
        <row r="2">
          <cell r="N2" t="str">
            <v>Sleep</v>
          </cell>
        </row>
      </sheetData>
      <sheetData sheetId="3" refreshError="1"/>
      <sheetData sheetId="4" refreshError="1"/>
      <sheetData sheetId="5" refreshError="1"/>
      <sheetData sheetId="6" refreshError="1"/>
      <sheetData sheetId="7" refreshError="1"/>
      <sheetData sheetId="8"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chnologies" displayName="technologies" ref="A1:BD367" totalsRowShown="0" headerRowDxfId="130" dataDxfId="129">
  <autoFilter ref="A1:BD367" xr:uid="{00000000-0009-0000-0100-000001000000}"/>
  <tableColumns count="56">
    <tableColumn id="1" xr3:uid="{00000000-0010-0000-0000-000001000000}" name="Name" dataDxfId="128"/>
    <tableColumn id="13" xr3:uid="{00000000-0010-0000-0000-00000D000000}" name="Abbreviation" dataDxfId="127"/>
    <tableColumn id="2" xr3:uid="{00000000-0010-0000-0000-000002000000}" name="Subsystem" dataDxfId="126"/>
    <tableColumn id="3" xr3:uid="{00000000-0010-0000-0000-000003000000}" name="Type" dataDxfId="125"/>
    <tableColumn id="4" xr3:uid="{00000000-0010-0000-0000-000004000000}" name="Uses" dataDxfId="124"/>
    <tableColumn id="5" xr3:uid="{00000000-0010-0000-0000-000005000000}" name="trace from" dataDxfId="123"/>
    <tableColumn id="6" xr3:uid="{00000000-0010-0000-0000-000006000000}" name="Level" dataDxfId="122"/>
    <tableColumn id="7" xr3:uid="{00000000-0010-0000-0000-000007000000}" name="Description" dataDxfId="121"/>
    <tableColumn id="8" xr3:uid="{00000000-0010-0000-0000-000008000000}" name="Mass_x000a_Literature" dataDxfId="120"/>
    <tableColumn id="34" xr3:uid="{00000000-0010-0000-0000-000022000000}" name="Mass" dataDxfId="119"/>
    <tableColumn id="38" xr3:uid="{00000000-0010-0000-0000-000026000000}" name="Mass Confidence Factor" dataDxfId="118"/>
    <tableColumn id="9" xr3:uid="{00000000-0010-0000-0000-000009000000}" name="Volume_x000a_Literature" dataDxfId="117"/>
    <tableColumn id="35" xr3:uid="{00000000-0010-0000-0000-000023000000}" name="Volume" dataDxfId="116"/>
    <tableColumn id="39" xr3:uid="{00000000-0010-0000-0000-000027000000}" name="Volume Confidence Factor" dataDxfId="115"/>
    <tableColumn id="10" xr3:uid="{00000000-0010-0000-0000-00000A000000}" name="Heat Generated_x000a_Literature" dataDxfId="114"/>
    <tableColumn id="36" xr3:uid="{00000000-0010-0000-0000-000024000000}" name="Heat" dataDxfId="113"/>
    <tableColumn id="40" xr3:uid="{00000000-0010-0000-0000-000028000000}" name="Heat Confidence Factor" dataDxfId="112"/>
    <tableColumn id="11" xr3:uid="{00000000-0010-0000-0000-00000B000000}" name="Power required_x000a_Literature" dataDxfId="111"/>
    <tableColumn id="37" xr3:uid="{00000000-0010-0000-0000-000025000000}" name="Power" dataDxfId="110"/>
    <tableColumn id="41" xr3:uid="{00000000-0010-0000-0000-000029000000}" name="Power Confidence Factor" dataDxfId="109"/>
    <tableColumn id="57" xr3:uid="{00000000-0010-0000-0000-000039000000}" name="Spare Parts" dataDxfId="108"/>
    <tableColumn id="12" xr3:uid="{00000000-0010-0000-0000-00000C000000}" name="Mass of 1 ORU" dataDxfId="107"/>
    <tableColumn id="14" xr3:uid="{00000000-0010-0000-0000-00000E000000}" name="Efficiency" dataDxfId="106"/>
    <tableColumn id="15" xr3:uid="{00000000-0010-0000-0000-00000F000000}" name="Resupply Mass" dataDxfId="105"/>
    <tableColumn id="16" xr3:uid="{00000000-0010-0000-0000-000010000000}" name="TRL_x000a_Literature" dataDxfId="104"/>
    <tableColumn id="42" xr3:uid="{00000000-0010-0000-0000-00002A000000}" name="TRL" dataDxfId="103"/>
    <tableColumn id="43" xr3:uid="{00000000-0010-0000-0000-00002B000000}" name="TRL Confidence Factor" dataDxfId="102"/>
    <tableColumn id="17" xr3:uid="{00000000-0010-0000-0000-000011000000}" name="MTBF" dataDxfId="101"/>
    <tableColumn id="45" xr3:uid="{00000000-0010-0000-0000-00002D000000}" name="MTBF Confidence Factor" dataDxfId="100"/>
    <tableColumn id="18" xr3:uid="{00000000-0010-0000-0000-000012000000}" name="Maintance" dataDxfId="99"/>
    <tableColumn id="46" xr3:uid="{00000000-0010-0000-0000-00002E000000}" name="fix Maintenance" dataDxfId="98"/>
    <tableColumn id="44" xr3:uid="{00000000-0010-0000-0000-00002C000000}" name="Maintenance per CM" dataDxfId="97"/>
    <tableColumn id="47" xr3:uid="{00000000-0010-0000-0000-00002F000000}" name="Maintenance Confidence Factor" dataDxfId="96"/>
    <tableColumn id="19" xr3:uid="{00000000-0010-0000-0000-000013000000}" name="Advantages" dataDxfId="95"/>
    <tableColumn id="20" xr3:uid="{00000000-0010-0000-0000-000014000000}" name="Disadvantages" dataDxfId="94"/>
    <tableColumn id="21" xr3:uid="{00000000-0010-0000-0000-000015000000}" name="Prospective improvements" dataDxfId="93"/>
    <tableColumn id="48" xr3:uid="{00000000-0010-0000-0000-000030000000}" name="Safety" dataDxfId="92"/>
    <tableColumn id="22" xr3:uid="{00000000-0010-0000-0000-000016000000}" name="principial chemical equation" dataDxfId="91"/>
    <tableColumn id="23" xr3:uid="{00000000-0010-0000-0000-000017000000}" name="inflow [kg/day] gas, liquid, solid" dataDxfId="90"/>
    <tableColumn id="24" xr3:uid="{00000000-0010-0000-0000-000018000000}" name="inflow composition gas, liquid, solid" dataDxfId="89"/>
    <tableColumn id="25" xr3:uid="{00000000-0010-0000-0000-000019000000}" name="outflow [kg/day] gas, liquid, solid" dataDxfId="88"/>
    <tableColumn id="26" xr3:uid="{00000000-0010-0000-0000-00001A000000}" name="outflow composition gas, liquid, solid" dataDxfId="87"/>
    <tableColumn id="27" xr3:uid="{00000000-0010-0000-0000-00001B000000}" name="source" dataDxfId="86"/>
    <tableColumn id="28" xr3:uid="{00000000-0010-0000-0000-00001C000000}" name="notes" dataDxfId="85"/>
    <tableColumn id="29" xr3:uid="{00000000-0010-0000-0000-00001D000000}" name="function1" dataDxfId="84"/>
    <tableColumn id="30" xr3:uid="{00000000-0010-0000-0000-00001E000000}" name="function2" dataDxfId="83"/>
    <tableColumn id="31" xr3:uid="{00000000-0010-0000-0000-00001F000000}" name="function3" dataDxfId="82"/>
    <tableColumn id="32" xr3:uid="{00000000-0010-0000-0000-000020000000}" name="function4" dataDxfId="81"/>
    <tableColumn id="33" xr3:uid="{00000000-0010-0000-0000-000021000000}" name="function5" dataDxfId="80"/>
    <tableColumn id="49" xr3:uid="{00000000-0010-0000-0000-000031000000}" name="function6" dataDxfId="79"/>
    <tableColumn id="50" xr3:uid="{00000000-0010-0000-0000-000032000000}" name="function7" dataDxfId="78"/>
    <tableColumn id="51" xr3:uid="{00000000-0010-0000-0000-000033000000}" name="function8" dataDxfId="77"/>
    <tableColumn id="52" xr3:uid="{00000000-0010-0000-0000-000034000000}" name="function9" dataDxfId="76"/>
    <tableColumn id="53" xr3:uid="{00000000-0010-0000-0000-000035000000}" name="function10" dataDxfId="75"/>
    <tableColumn id="60" xr3:uid="{00000000-0010-0000-0000-00003C000000}" name="operating temperatures [K]" dataDxfId="74"/>
    <tableColumn id="61" xr3:uid="{00000000-0010-0000-0000-00003D000000}" name="operating pressures [kPa]" dataDxfId="7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hedule_compl" displayName="schedule_compl" ref="A2:L51" totalsRowCount="1">
  <autoFilter ref="A2:L50" xr:uid="{00000000-0009-0000-0100-000002000000}"/>
  <tableColumns count="12">
    <tableColumn id="1" xr3:uid="{00000000-0010-0000-0100-000001000000}" name="time" dataDxfId="45" totalsRowDxfId="44"/>
    <tableColumn id="57" xr3:uid="{00000000-0010-0000-0100-000039000000}" name="task" dataDxfId="43" totalsRowDxfId="42">
      <calculatedColumnFormula>IF($A$1=1,AH3,IF($A$1=2,AN3,IF($A$1=3,AT3,IF($A$1=4,AZ3,IF($A$1=5,BF3,IF($A$1=6,BL3))))))</calculatedColumnFormula>
    </tableColumn>
    <tableColumn id="62" xr3:uid="{00000000-0010-0000-0100-00003E000000}" name="Crew" dataDxfId="41" totalsRowDxfId="40">
      <calculatedColumnFormula>Crew_Size</calculatedColumnFormula>
    </tableColumn>
    <tableColumn id="2" xr3:uid="{00000000-0010-0000-0100-000002000000}" name="O2" totalsRowFunction="custom" dataDxfId="39" totalsRowDxfId="38">
      <totalsRowFormula array="1">SUM(schedule_compl[O2]*0.5)</totalsRowFormula>
    </tableColumn>
    <tableColumn id="3" xr3:uid="{00000000-0010-0000-0100-000003000000}" name="CO2" totalsRowFunction="custom" dataDxfId="37" totalsRowDxfId="36">
      <totalsRowFormula array="1">SUM(schedule_compl[CO2]*0.5)</totalsRowFormula>
    </tableColumn>
    <tableColumn id="4" xr3:uid="{00000000-0010-0000-0100-000004000000}" name="urine" totalsRowFunction="custom" dataDxfId="35" totalsRowDxfId="34">
      <totalsRowFormula array="1">SUM(schedule_compl[urine]*0.5)</totalsRowFormula>
    </tableColumn>
    <tableColumn id="5" xr3:uid="{00000000-0010-0000-0100-000005000000}" name="feces" totalsRowFunction="custom" dataDxfId="33" totalsRowDxfId="32">
      <totalsRowFormula array="1">SUM(schedule_compl[feces]*0.5)</totalsRowFormula>
    </tableColumn>
    <tableColumn id="6" xr3:uid="{00000000-0010-0000-0100-000006000000}" name="potable" totalsRowFunction="custom" dataDxfId="31" totalsRowDxfId="30">
      <totalsRowFormula array="1">SUM(schedule_compl[potable]*0.5)</totalsRowFormula>
    </tableColumn>
    <tableColumn id="7" xr3:uid="{00000000-0010-0000-0100-000007000000}" name="hygiene" totalsRowFunction="custom" dataDxfId="29" totalsRowDxfId="28">
      <totalsRowFormula array="1">SUM(schedule_compl[hygiene]*0.5)</totalsRowFormula>
    </tableColumn>
    <tableColumn id="8" xr3:uid="{00000000-0010-0000-0100-000008000000}" name="food" totalsRowFunction="custom" dataDxfId="27" totalsRowDxfId="26">
      <totalsRowFormula array="1">SUM(schedule_compl[food]*0.5)</totalsRowFormula>
    </tableColumn>
    <tableColumn id="9" xr3:uid="{00000000-0010-0000-0100-000009000000}" name="sweat" totalsRowFunction="custom" dataDxfId="25" totalsRowDxfId="24">
      <totalsRowFormula array="1">SUM(schedule_compl[sweat]*0.5)</totalsRowFormula>
    </tableColumn>
    <tableColumn id="10" xr3:uid="{00000000-0010-0000-0100-00000A000000}" name="heat" totalsRowFunction="custom" dataDxfId="23" totalsRowDxfId="22">
      <totalsRowFormula array="1">SUM(schedule_compl[heat]*0.5)</totalsRowFormula>
    </tableColumn>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schedule_nomal" displayName="schedule_nomal" ref="N1:AD17" totalsRowShown="0" headerRowDxfId="21" dataDxfId="20">
  <autoFilter ref="N1:AD17" xr:uid="{00000000-0009-0000-0100-000003000000}"/>
  <tableColumns count="17">
    <tableColumn id="1" xr3:uid="{00000000-0010-0000-0200-000001000000}" name="Metabolic factors_x000a_(Values taken from NASA's Life Support Baseline Values and Assumptions Document)"/>
    <tableColumn id="2" xr3:uid="{00000000-0010-0000-0200-000002000000}" name="hr/day" dataDxfId="19"/>
    <tableColumn id="3" xr3:uid="{00000000-0010-0000-0200-000003000000}" name="O2 Consumption" dataDxfId="18"/>
    <tableColumn id="4" xr3:uid="{00000000-0010-0000-0200-000004000000}" name="CO2 Production" dataDxfId="17"/>
    <tableColumn id="5" xr3:uid="{00000000-0010-0000-0200-000005000000}" name="Urine Water Production" dataDxfId="16"/>
    <tableColumn id="6" xr3:uid="{00000000-0010-0000-0200-000006000000}" name="Feces Production" dataDxfId="15"/>
    <tableColumn id="7" xr3:uid="{00000000-0010-0000-0200-000007000000}" name="Potable Water Consumption" dataDxfId="14"/>
    <tableColumn id="8" xr3:uid="{00000000-0010-0000-0200-000008000000}" name="Hygiene Water Consumption" dataDxfId="13"/>
    <tableColumn id="9" xr3:uid="{00000000-0010-0000-0200-000009000000}" name="Food Consumption" dataDxfId="12"/>
    <tableColumn id="17" xr3:uid="{00000000-0010-0000-0200-000011000000}" name="Water Content in Food"/>
    <tableColumn id="10" xr3:uid="{00000000-0010-0000-0200-00000A000000}" name="Sweat/Water Vapor Production" dataDxfId="11"/>
    <tableColumn id="11" xr3:uid="{00000000-0010-0000-0200-00000B000000}" name="Heat Load" dataDxfId="10"/>
    <tableColumn id="12" xr3:uid="{00000000-0010-0000-0200-00000C000000}" name="Metabolic Water" dataDxfId="9"/>
    <tableColumn id="13" xr3:uid="{00000000-0010-0000-0200-00000D000000}" name="Urine Solid Waste Production " dataDxfId="8"/>
    <tableColumn id="16" xr3:uid="{00000000-0010-0000-0200-000010000000}" name="Feces Solid Waste Production"/>
    <tableColumn id="14" xr3:uid="{00000000-0010-0000-0200-00000E000000}" name="Hygiene Solid Waste Production " dataDxfId="7"/>
    <tableColumn id="15" xr3:uid="{00000000-0010-0000-0200-00000F000000}" name="Sweat/Water Vapor Solid Wastes Production" dataDxfId="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references" displayName="references" ref="A1:D80" totalsRowShown="0" headerRowDxfId="5" dataDxfId="4">
  <autoFilter ref="A1:D80" xr:uid="{00000000-0009-0000-0100-000004000000}"/>
  <tableColumns count="4">
    <tableColumn id="1" xr3:uid="{00000000-0010-0000-0300-000001000000}" name="number" dataDxfId="3"/>
    <tableColumn id="2" xr3:uid="{00000000-0010-0000-0300-000002000000}" name="title" dataDxfId="2"/>
    <tableColumn id="3" xr3:uid="{00000000-0010-0000-0300-000003000000}" name="author" dataDxfId="1"/>
    <tableColumn id="4" xr3:uid="{00000000-0010-0000-0300-000004000000}" name="year/version"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table" Target="../tables/table3.xml"/><Relationship Id="rId5" Type="http://schemas.openxmlformats.org/officeDocument/2006/relationships/ctrlProp" Target="../ctrlProps/ctrlProp5.xml"/><Relationship Id="rId10" Type="http://schemas.openxmlformats.org/officeDocument/2006/relationships/table" Target="../tables/table2.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4.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ctrlProp" Target="../ctrlProps/ctrlProp16.xml"/><Relationship Id="rId4" Type="http://schemas.openxmlformats.org/officeDocument/2006/relationships/ctrlProp" Target="../ctrlProps/ctrlProp10.xml"/><Relationship Id="rId9"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4.xml"/><Relationship Id="rId39" Type="http://schemas.openxmlformats.org/officeDocument/2006/relationships/control" Target="../activeX/activeX22.xml"/><Relationship Id="rId21" Type="http://schemas.openxmlformats.org/officeDocument/2006/relationships/image" Target="../media/image9.emf"/><Relationship Id="rId34" Type="http://schemas.openxmlformats.org/officeDocument/2006/relationships/control" Target="../activeX/activeX19.xml"/><Relationship Id="rId42" Type="http://schemas.openxmlformats.org/officeDocument/2006/relationships/ctrlProp" Target="../ctrlProps/ctrlProp19.xml"/><Relationship Id="rId7" Type="http://schemas.openxmlformats.org/officeDocument/2006/relationships/image" Target="../media/image2.emf"/><Relationship Id="rId2" Type="http://schemas.openxmlformats.org/officeDocument/2006/relationships/drawing" Target="../drawings/drawing5.xml"/><Relationship Id="rId16" Type="http://schemas.openxmlformats.org/officeDocument/2006/relationships/control" Target="../activeX/activeX7.xml"/><Relationship Id="rId29" Type="http://schemas.openxmlformats.org/officeDocument/2006/relationships/control" Target="../activeX/activeX16.xml"/><Relationship Id="rId1" Type="http://schemas.openxmlformats.org/officeDocument/2006/relationships/printerSettings" Target="../printerSettings/printerSettings5.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image" Target="../media/image12.emf"/><Relationship Id="rId37" Type="http://schemas.openxmlformats.org/officeDocument/2006/relationships/image" Target="../media/image14.emf"/><Relationship Id="rId40" Type="http://schemas.openxmlformats.org/officeDocument/2006/relationships/ctrlProp" Target="../ctrlProps/ctrlProp17.xml"/><Relationship Id="rId45" Type="http://schemas.openxmlformats.org/officeDocument/2006/relationships/ctrlProp" Target="../ctrlProps/ctrlProp2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image" Target="../media/image10.emf"/><Relationship Id="rId36" Type="http://schemas.openxmlformats.org/officeDocument/2006/relationships/control" Target="../activeX/activeX20.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control" Target="../activeX/activeX17.xml"/><Relationship Id="rId44" Type="http://schemas.openxmlformats.org/officeDocument/2006/relationships/ctrlProp" Target="../ctrlProps/ctrlProp2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5.xml"/><Relationship Id="rId30" Type="http://schemas.openxmlformats.org/officeDocument/2006/relationships/image" Target="../media/image11.emf"/><Relationship Id="rId35" Type="http://schemas.openxmlformats.org/officeDocument/2006/relationships/image" Target="../media/image13.emf"/><Relationship Id="rId43" Type="http://schemas.openxmlformats.org/officeDocument/2006/relationships/ctrlProp" Target="../ctrlProps/ctrlProp20.xml"/><Relationship Id="rId8" Type="http://schemas.openxmlformats.org/officeDocument/2006/relationships/control" Target="../activeX/activeX3.xml"/><Relationship Id="rId3" Type="http://schemas.openxmlformats.org/officeDocument/2006/relationships/vmlDrawing" Target="../drawings/vmlDrawing5.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3.xml"/><Relationship Id="rId33" Type="http://schemas.openxmlformats.org/officeDocument/2006/relationships/control" Target="../activeX/activeX18.xml"/><Relationship Id="rId38" Type="http://schemas.openxmlformats.org/officeDocument/2006/relationships/control" Target="../activeX/activeX21.xml"/><Relationship Id="rId20" Type="http://schemas.openxmlformats.org/officeDocument/2006/relationships/control" Target="../activeX/activeX9.xml"/><Relationship Id="rId41"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vmlDrawing" Target="../drawings/vmlDrawing6.vml"/><Relationship Id="rId7" Type="http://schemas.openxmlformats.org/officeDocument/2006/relationships/ctrlProp" Target="../ctrlProps/ctrlProp26.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25.xml"/><Relationship Id="rId11" Type="http://schemas.openxmlformats.org/officeDocument/2006/relationships/ctrlProp" Target="../ctrlProps/ctrlProp30.xml"/><Relationship Id="rId5" Type="http://schemas.openxmlformats.org/officeDocument/2006/relationships/ctrlProp" Target="../ctrlProps/ctrlProp24.xml"/><Relationship Id="rId10" Type="http://schemas.openxmlformats.org/officeDocument/2006/relationships/ctrlProp" Target="../ctrlProps/ctrlProp29.xml"/><Relationship Id="rId4" Type="http://schemas.openxmlformats.org/officeDocument/2006/relationships/ctrlProp" Target="../ctrlProps/ctrlProp23.xml"/><Relationship Id="rId9" Type="http://schemas.openxmlformats.org/officeDocument/2006/relationships/ctrlProp" Target="../ctrlProps/ctrlProp2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U142"/>
  <sheetViews>
    <sheetView tabSelected="1" workbookViewId="0">
      <selection activeCell="L3" sqref="L3"/>
    </sheetView>
  </sheetViews>
  <sheetFormatPr defaultColWidth="0" defaultRowHeight="14.5" zeroHeight="1" x14ac:dyDescent="0.35"/>
  <cols>
    <col min="1" max="1" width="19.453125" customWidth="1"/>
    <col min="2" max="2" width="10.6328125" customWidth="1"/>
    <col min="3" max="3" width="13.6328125" customWidth="1"/>
    <col min="4" max="4" width="12.54296875" customWidth="1"/>
    <col min="5" max="5" width="7.6328125" customWidth="1"/>
    <col min="6" max="6" width="12.6328125" customWidth="1"/>
    <col min="7" max="7" width="13.453125" customWidth="1"/>
    <col min="8" max="8" width="7.6328125" customWidth="1"/>
    <col min="9" max="9" width="8.6328125" customWidth="1"/>
    <col min="10" max="10" width="12.54296875" customWidth="1"/>
    <col min="11" max="11" width="7.6328125" customWidth="1"/>
    <col min="12" max="12" width="17.36328125" customWidth="1"/>
    <col min="13" max="13" width="57" customWidth="1"/>
    <col min="14" max="16" width="11.54296875" customWidth="1"/>
    <col min="17" max="21" width="0" hidden="1" customWidth="1"/>
    <col min="22" max="16384" width="11.54296875" hidden="1"/>
  </cols>
  <sheetData>
    <row r="1" spans="1:19" ht="26" x14ac:dyDescent="0.6">
      <c r="A1" s="38" t="s">
        <v>766</v>
      </c>
      <c r="B1" s="39"/>
      <c r="C1" s="39"/>
      <c r="D1" s="39"/>
      <c r="E1" s="39"/>
      <c r="F1" s="39"/>
      <c r="G1" s="39"/>
      <c r="H1" s="39"/>
      <c r="I1" s="39"/>
      <c r="J1" s="39"/>
      <c r="K1" s="39"/>
      <c r="L1" s="39"/>
      <c r="M1" s="39"/>
      <c r="N1" s="39"/>
      <c r="O1" s="39"/>
      <c r="P1" s="39"/>
      <c r="Q1" s="39"/>
      <c r="R1" s="39"/>
      <c r="S1" s="39"/>
    </row>
    <row r="2" spans="1:19" x14ac:dyDescent="0.35">
      <c r="A2" s="39"/>
      <c r="B2" s="39"/>
      <c r="C2" s="39"/>
      <c r="D2" s="39"/>
      <c r="E2" s="39"/>
      <c r="F2" s="39"/>
      <c r="G2" s="39"/>
      <c r="H2" s="39"/>
      <c r="I2" s="39"/>
      <c r="J2" s="39"/>
      <c r="K2" s="39"/>
      <c r="L2" s="39"/>
      <c r="M2" s="39"/>
      <c r="N2" s="39"/>
      <c r="O2" s="39"/>
      <c r="P2" s="39"/>
      <c r="Q2" s="39"/>
      <c r="R2" s="39"/>
      <c r="S2" s="39"/>
    </row>
    <row r="3" spans="1:19" ht="15.5" x14ac:dyDescent="0.35">
      <c r="A3" s="40" t="s">
        <v>794</v>
      </c>
      <c r="B3" s="39"/>
      <c r="C3" s="39"/>
      <c r="D3" s="39"/>
      <c r="E3" s="39"/>
      <c r="F3" s="39"/>
      <c r="G3" s="39"/>
      <c r="H3" s="39"/>
      <c r="I3" s="39"/>
      <c r="J3" s="39"/>
      <c r="K3" s="39"/>
      <c r="L3" s="39"/>
      <c r="M3" s="39"/>
      <c r="N3" s="39"/>
      <c r="O3" s="39"/>
      <c r="P3" s="39"/>
      <c r="Q3" s="39"/>
      <c r="R3" s="39"/>
      <c r="S3" s="39"/>
    </row>
    <row r="4" spans="1:19" x14ac:dyDescent="0.35">
      <c r="A4" s="39"/>
      <c r="B4" s="39"/>
      <c r="C4" s="39"/>
      <c r="D4" s="39"/>
      <c r="E4" s="39"/>
      <c r="F4" s="39"/>
      <c r="G4" s="39"/>
      <c r="H4" s="39"/>
      <c r="I4" s="39"/>
      <c r="J4" s="39"/>
      <c r="K4" s="39"/>
      <c r="L4" s="39"/>
      <c r="M4" s="39"/>
      <c r="N4" s="39"/>
      <c r="O4" s="39"/>
      <c r="P4" s="39"/>
      <c r="Q4" s="39"/>
      <c r="R4" s="39"/>
      <c r="S4" s="39"/>
    </row>
    <row r="5" spans="1:19" ht="105" customHeight="1" x14ac:dyDescent="0.35">
      <c r="A5" s="39"/>
      <c r="B5" s="39"/>
      <c r="C5" s="39"/>
      <c r="D5" s="39"/>
      <c r="E5" s="39"/>
      <c r="F5" s="39"/>
      <c r="G5" s="39"/>
      <c r="H5" s="39"/>
      <c r="I5" s="39"/>
      <c r="J5" s="39"/>
      <c r="K5" s="39"/>
      <c r="L5" s="39"/>
      <c r="M5" s="39"/>
      <c r="N5" s="39"/>
      <c r="O5" s="39"/>
      <c r="P5" s="39"/>
      <c r="Q5" s="39"/>
      <c r="R5" s="39"/>
      <c r="S5" s="39"/>
    </row>
    <row r="6" spans="1:19" ht="18.5" x14ac:dyDescent="0.45">
      <c r="A6" s="84"/>
      <c r="B6" s="39"/>
      <c r="C6" s="39"/>
      <c r="D6" s="84"/>
      <c r="E6" s="39"/>
      <c r="F6" s="39"/>
      <c r="G6" s="39"/>
      <c r="H6" s="39"/>
      <c r="I6" s="39"/>
      <c r="J6" s="39"/>
      <c r="K6" s="39"/>
      <c r="L6" s="39"/>
      <c r="M6" s="39"/>
      <c r="N6" s="84"/>
      <c r="O6" s="39"/>
      <c r="P6" s="39"/>
      <c r="Q6" s="39"/>
      <c r="R6" s="39"/>
      <c r="S6" s="39"/>
    </row>
    <row r="7" spans="1:19" ht="29" customHeight="1" x14ac:dyDescent="0.35">
      <c r="A7" s="78" t="s">
        <v>768</v>
      </c>
      <c r="B7" s="32"/>
      <c r="C7" s="32"/>
      <c r="D7" s="79" t="s">
        <v>769</v>
      </c>
      <c r="E7" s="34"/>
      <c r="F7" s="34"/>
      <c r="G7" s="34"/>
      <c r="H7" s="34"/>
      <c r="I7" s="34"/>
      <c r="J7" s="34"/>
      <c r="K7" s="34"/>
      <c r="L7" s="34"/>
      <c r="M7" s="35"/>
      <c r="N7" s="34"/>
      <c r="O7" s="34"/>
      <c r="P7" s="34"/>
      <c r="Q7" s="39"/>
      <c r="R7" s="39"/>
      <c r="S7" s="39"/>
    </row>
    <row r="8" spans="1:19" ht="15.5" x14ac:dyDescent="0.35">
      <c r="A8" s="33" t="s">
        <v>774</v>
      </c>
      <c r="B8" s="32"/>
      <c r="C8" s="32"/>
      <c r="D8" s="35" t="s">
        <v>770</v>
      </c>
      <c r="E8" s="34"/>
      <c r="F8" s="34"/>
      <c r="G8" s="35" t="s">
        <v>771</v>
      </c>
      <c r="H8" s="34"/>
      <c r="I8" s="34"/>
      <c r="J8" s="35" t="s">
        <v>772</v>
      </c>
      <c r="K8" s="34"/>
      <c r="L8" s="34"/>
      <c r="M8" s="35" t="s">
        <v>1177</v>
      </c>
      <c r="N8" s="35"/>
      <c r="O8" s="34"/>
      <c r="P8" s="34"/>
      <c r="Q8" s="39"/>
      <c r="R8" s="39"/>
      <c r="S8" s="39"/>
    </row>
    <row r="9" spans="1:19" x14ac:dyDescent="0.35">
      <c r="A9" s="32"/>
      <c r="B9" s="32"/>
      <c r="C9" s="32"/>
      <c r="D9" s="34"/>
      <c r="E9" s="34"/>
      <c r="F9" s="34"/>
      <c r="G9" s="34"/>
      <c r="H9" s="34"/>
      <c r="I9" s="34"/>
      <c r="J9" s="34"/>
      <c r="K9" s="34"/>
      <c r="L9" s="34"/>
      <c r="M9" s="34"/>
      <c r="N9" s="34"/>
      <c r="O9" s="34"/>
      <c r="P9" s="34"/>
      <c r="Q9" s="39"/>
      <c r="R9" s="39"/>
      <c r="S9" s="39"/>
    </row>
    <row r="10" spans="1:19" x14ac:dyDescent="0.35">
      <c r="A10" s="32" t="s">
        <v>776</v>
      </c>
      <c r="B10" s="111">
        <v>4</v>
      </c>
      <c r="C10" s="32"/>
      <c r="D10" s="34" t="s">
        <v>779</v>
      </c>
      <c r="E10" s="113">
        <v>1</v>
      </c>
      <c r="F10" s="34" t="s">
        <v>991</v>
      </c>
      <c r="G10" s="34"/>
      <c r="H10" s="34"/>
      <c r="I10" s="34"/>
      <c r="J10" s="34" t="s">
        <v>779</v>
      </c>
      <c r="K10" s="117"/>
      <c r="L10" s="34" t="s">
        <v>787</v>
      </c>
      <c r="M10" s="116" t="s">
        <v>1081</v>
      </c>
      <c r="N10" s="34"/>
      <c r="O10" s="51"/>
      <c r="P10" s="34"/>
      <c r="Q10" s="39"/>
      <c r="R10" s="39"/>
      <c r="S10" s="39"/>
    </row>
    <row r="11" spans="1:19" ht="16.5" x14ac:dyDescent="0.35">
      <c r="A11" s="32" t="s">
        <v>777</v>
      </c>
      <c r="B11" s="111">
        <v>600</v>
      </c>
      <c r="C11" s="53" t="s">
        <v>767</v>
      </c>
      <c r="D11" s="34" t="s">
        <v>780</v>
      </c>
      <c r="E11" s="113">
        <v>1</v>
      </c>
      <c r="F11" s="34" t="s">
        <v>991</v>
      </c>
      <c r="G11" s="34"/>
      <c r="H11" s="34"/>
      <c r="I11" s="34"/>
      <c r="J11" s="34" t="s">
        <v>780</v>
      </c>
      <c r="K11" s="118"/>
      <c r="L11" s="34" t="s">
        <v>788</v>
      </c>
      <c r="M11" s="34"/>
      <c r="N11" s="34"/>
      <c r="O11" s="51"/>
      <c r="P11" s="34"/>
      <c r="Q11" s="39"/>
      <c r="R11" s="39"/>
      <c r="S11" s="39"/>
    </row>
    <row r="12" spans="1:19" x14ac:dyDescent="0.35">
      <c r="A12" s="32" t="s">
        <v>778</v>
      </c>
      <c r="B12" s="111">
        <v>1</v>
      </c>
      <c r="C12" s="32"/>
      <c r="D12" s="34" t="s">
        <v>781</v>
      </c>
      <c r="E12" s="113">
        <v>1</v>
      </c>
      <c r="F12" s="34" t="s">
        <v>991</v>
      </c>
      <c r="G12" s="34"/>
      <c r="H12" s="34"/>
      <c r="I12" s="34"/>
      <c r="J12" s="34" t="s">
        <v>781</v>
      </c>
      <c r="K12" s="118"/>
      <c r="L12" s="34" t="s">
        <v>789</v>
      </c>
      <c r="M12" s="72" t="s">
        <v>1248</v>
      </c>
      <c r="N12" s="34"/>
      <c r="O12" s="51"/>
      <c r="P12" s="34"/>
      <c r="Q12" s="39"/>
      <c r="R12" s="39"/>
      <c r="S12" s="39"/>
    </row>
    <row r="13" spans="1:19" x14ac:dyDescent="0.35">
      <c r="A13" s="32"/>
      <c r="B13" s="674"/>
      <c r="C13" s="32"/>
      <c r="D13" s="34" t="s">
        <v>782</v>
      </c>
      <c r="E13" s="113">
        <v>1</v>
      </c>
      <c r="F13" s="34" t="s">
        <v>991</v>
      </c>
      <c r="G13" s="34"/>
      <c r="H13" s="34"/>
      <c r="I13" s="34"/>
      <c r="J13" s="34" t="s">
        <v>782</v>
      </c>
      <c r="K13" s="118"/>
      <c r="L13" s="34" t="s">
        <v>789</v>
      </c>
      <c r="M13" s="52"/>
      <c r="N13" s="34"/>
      <c r="O13" s="51"/>
      <c r="P13" s="34"/>
      <c r="Q13" s="39"/>
      <c r="R13" s="39"/>
      <c r="S13" s="39"/>
    </row>
    <row r="14" spans="1:19" ht="16.5" x14ac:dyDescent="0.35">
      <c r="A14" s="32" t="s">
        <v>818</v>
      </c>
      <c r="B14" s="111">
        <v>125</v>
      </c>
      <c r="C14" s="32" t="s">
        <v>788</v>
      </c>
      <c r="D14" s="34" t="s">
        <v>783</v>
      </c>
      <c r="E14" s="113">
        <v>1</v>
      </c>
      <c r="F14" s="34" t="s">
        <v>991</v>
      </c>
      <c r="G14" s="34"/>
      <c r="H14" s="34"/>
      <c r="I14" s="34"/>
      <c r="J14" s="34" t="s">
        <v>783</v>
      </c>
      <c r="K14" s="118"/>
      <c r="L14" s="34" t="s">
        <v>790</v>
      </c>
      <c r="M14" s="34"/>
      <c r="N14" s="34"/>
      <c r="O14" s="51"/>
      <c r="P14" s="34"/>
      <c r="Q14" s="39"/>
      <c r="R14" s="39"/>
      <c r="S14" s="39"/>
    </row>
    <row r="15" spans="1:19" x14ac:dyDescent="0.35">
      <c r="A15" s="32" t="s">
        <v>1184</v>
      </c>
      <c r="B15" s="111">
        <v>7</v>
      </c>
      <c r="C15" s="32"/>
      <c r="D15" s="34" t="s">
        <v>784</v>
      </c>
      <c r="E15" s="113">
        <v>1</v>
      </c>
      <c r="F15" s="34" t="s">
        <v>991</v>
      </c>
      <c r="G15" s="34" t="s">
        <v>784</v>
      </c>
      <c r="H15" s="114"/>
      <c r="I15" s="34" t="s">
        <v>991</v>
      </c>
      <c r="J15" s="34"/>
      <c r="K15" s="34"/>
      <c r="L15" s="34"/>
      <c r="M15" s="34"/>
      <c r="N15" s="34"/>
      <c r="O15" s="51"/>
      <c r="P15" s="34"/>
      <c r="Q15" s="39"/>
      <c r="R15" s="39"/>
      <c r="S15" s="39"/>
    </row>
    <row r="16" spans="1:19" x14ac:dyDescent="0.35">
      <c r="A16" s="32" t="s">
        <v>1166</v>
      </c>
      <c r="B16" s="112"/>
      <c r="C16" s="32" t="s">
        <v>1167</v>
      </c>
      <c r="D16" s="34" t="s">
        <v>785</v>
      </c>
      <c r="E16" s="113">
        <v>1</v>
      </c>
      <c r="F16" s="34" t="s">
        <v>991</v>
      </c>
      <c r="G16" s="34" t="s">
        <v>785</v>
      </c>
      <c r="H16" s="115">
        <v>5</v>
      </c>
      <c r="I16" s="63"/>
      <c r="J16" s="34"/>
      <c r="K16" s="34"/>
      <c r="L16" s="34"/>
      <c r="M16" s="34"/>
      <c r="N16" s="34"/>
      <c r="O16" s="34"/>
      <c r="P16" s="34"/>
      <c r="Q16" s="39"/>
      <c r="R16" s="39"/>
      <c r="S16" s="39"/>
    </row>
    <row r="17" spans="1:19" x14ac:dyDescent="0.35">
      <c r="A17" s="32"/>
      <c r="B17" s="32"/>
      <c r="C17" s="32"/>
      <c r="D17" s="34"/>
      <c r="E17" s="34"/>
      <c r="F17" s="34"/>
      <c r="G17" s="34"/>
      <c r="H17" s="34"/>
      <c r="I17" s="34"/>
      <c r="J17" s="34"/>
      <c r="K17" s="34"/>
      <c r="L17" s="34"/>
      <c r="M17" s="34"/>
      <c r="N17" s="34"/>
      <c r="O17" s="34"/>
      <c r="P17" s="34"/>
      <c r="Q17" s="39"/>
      <c r="R17" s="39"/>
      <c r="S17" s="39"/>
    </row>
    <row r="18" spans="1:19" x14ac:dyDescent="0.35">
      <c r="A18" s="32"/>
      <c r="B18" s="32"/>
      <c r="C18" s="32"/>
      <c r="D18" s="34"/>
      <c r="E18" s="34"/>
      <c r="F18" s="34"/>
      <c r="G18" s="34"/>
      <c r="H18" s="34"/>
      <c r="I18" s="34"/>
      <c r="J18" s="34"/>
      <c r="K18" s="34"/>
      <c r="L18" s="34"/>
      <c r="M18" s="34"/>
      <c r="N18" s="34"/>
      <c r="O18" s="34"/>
      <c r="P18" s="34"/>
      <c r="Q18" s="39"/>
      <c r="R18" s="39"/>
      <c r="S18" s="39"/>
    </row>
    <row r="19" spans="1:19" x14ac:dyDescent="0.35">
      <c r="A19" s="32"/>
      <c r="B19" s="32"/>
      <c r="C19" s="32"/>
      <c r="D19" s="34"/>
      <c r="E19" s="34"/>
      <c r="F19" s="34"/>
      <c r="G19" s="34"/>
      <c r="H19" s="34"/>
      <c r="I19" s="34"/>
      <c r="J19" s="34"/>
      <c r="K19" s="34"/>
      <c r="L19" s="34"/>
      <c r="M19" s="34"/>
      <c r="N19" s="34"/>
      <c r="O19" s="34"/>
      <c r="P19" s="34"/>
      <c r="Q19" s="39"/>
      <c r="R19" s="39"/>
      <c r="S19" s="39"/>
    </row>
    <row r="20" spans="1:19" ht="18.649999999999999" customHeight="1" x14ac:dyDescent="0.35">
      <c r="A20" s="80" t="s">
        <v>773</v>
      </c>
      <c r="B20" s="36"/>
      <c r="C20" s="36"/>
      <c r="D20" s="81" t="s">
        <v>992</v>
      </c>
      <c r="E20" s="60"/>
      <c r="F20" s="60"/>
      <c r="G20" s="60"/>
      <c r="H20" s="60"/>
      <c r="I20" s="60"/>
      <c r="J20" s="81"/>
      <c r="K20" s="82" t="s">
        <v>1194</v>
      </c>
      <c r="L20" s="64"/>
      <c r="M20" s="64"/>
      <c r="N20" s="64"/>
      <c r="O20" s="64"/>
      <c r="P20" s="64"/>
      <c r="Q20" s="39"/>
      <c r="R20" s="39"/>
      <c r="S20" s="39"/>
    </row>
    <row r="21" spans="1:19" ht="15" customHeight="1" x14ac:dyDescent="0.35">
      <c r="A21" s="37"/>
      <c r="B21" s="36"/>
      <c r="C21" s="36"/>
      <c r="D21" s="60"/>
      <c r="E21" s="60"/>
      <c r="F21" s="60"/>
      <c r="G21" s="60"/>
      <c r="H21" s="60"/>
      <c r="I21" s="60"/>
      <c r="J21" s="60"/>
      <c r="K21" s="64"/>
      <c r="L21" s="64"/>
      <c r="M21" s="64"/>
      <c r="N21" s="64"/>
      <c r="O21" s="64"/>
      <c r="P21" s="64"/>
      <c r="Q21" s="39"/>
      <c r="R21" s="39"/>
      <c r="S21" s="39"/>
    </row>
    <row r="22" spans="1:19" ht="15.5" x14ac:dyDescent="0.35">
      <c r="A22" s="37" t="s">
        <v>775</v>
      </c>
      <c r="B22" s="36"/>
      <c r="C22" s="36"/>
      <c r="D22" s="60" t="s">
        <v>962</v>
      </c>
      <c r="E22" s="60"/>
      <c r="F22" s="119" t="s">
        <v>35</v>
      </c>
      <c r="G22" s="60"/>
      <c r="H22" s="60"/>
      <c r="I22" s="111">
        <v>0</v>
      </c>
      <c r="J22" s="60" t="s">
        <v>991</v>
      </c>
      <c r="K22" s="64" t="s">
        <v>1195</v>
      </c>
      <c r="L22" s="64"/>
      <c r="M22" s="64"/>
      <c r="N22" s="64"/>
      <c r="O22" s="64"/>
      <c r="P22" s="64"/>
      <c r="Q22" s="39"/>
      <c r="R22" s="39"/>
      <c r="S22" s="39"/>
    </row>
    <row r="23" spans="1:19" x14ac:dyDescent="0.35">
      <c r="A23" s="36"/>
      <c r="B23" s="36"/>
      <c r="C23" s="36"/>
      <c r="D23" s="60"/>
      <c r="E23" s="60"/>
      <c r="F23" s="60"/>
      <c r="G23" s="60"/>
      <c r="H23" s="60"/>
      <c r="I23" s="60"/>
      <c r="J23" s="60"/>
      <c r="K23" s="64"/>
      <c r="L23" s="64"/>
      <c r="M23" s="64"/>
      <c r="N23" s="64"/>
      <c r="O23" s="64"/>
      <c r="P23" s="64"/>
      <c r="Q23" s="39"/>
      <c r="R23" s="39"/>
      <c r="S23" s="39"/>
    </row>
    <row r="24" spans="1:19" x14ac:dyDescent="0.35">
      <c r="A24" s="36" t="s">
        <v>1261</v>
      </c>
      <c r="B24" s="113">
        <v>7.3</v>
      </c>
      <c r="C24" s="36" t="s">
        <v>791</v>
      </c>
      <c r="D24" s="60"/>
      <c r="E24" s="60"/>
      <c r="F24" s="119" t="s">
        <v>1232</v>
      </c>
      <c r="G24" s="60"/>
      <c r="H24" s="60"/>
      <c r="I24" s="60"/>
      <c r="J24" s="60"/>
      <c r="K24" s="64"/>
      <c r="L24" s="64"/>
      <c r="M24" s="64"/>
      <c r="N24" s="64"/>
      <c r="O24" s="64"/>
      <c r="P24" s="64"/>
      <c r="Q24" s="39"/>
      <c r="R24" s="39"/>
      <c r="S24" s="39"/>
    </row>
    <row r="25" spans="1:19" ht="16.5" x14ac:dyDescent="0.35">
      <c r="A25" s="36" t="s">
        <v>780</v>
      </c>
      <c r="B25" s="113">
        <v>215.5</v>
      </c>
      <c r="C25" s="36" t="s">
        <v>792</v>
      </c>
      <c r="D25" s="60"/>
      <c r="E25" s="60"/>
      <c r="F25" s="60"/>
      <c r="G25" s="60"/>
      <c r="H25" s="60"/>
      <c r="I25" s="60"/>
      <c r="J25" s="60"/>
      <c r="K25" s="64"/>
      <c r="L25" s="64"/>
      <c r="M25" s="64"/>
      <c r="N25" s="64"/>
      <c r="O25" s="64"/>
      <c r="P25" s="64"/>
      <c r="Q25" s="39"/>
      <c r="R25" s="39"/>
      <c r="S25" s="39"/>
    </row>
    <row r="26" spans="1:19" x14ac:dyDescent="0.35">
      <c r="A26" s="36" t="s">
        <v>781</v>
      </c>
      <c r="B26" s="113">
        <v>87</v>
      </c>
      <c r="C26" s="36" t="s">
        <v>793</v>
      </c>
      <c r="D26" s="60"/>
      <c r="E26" s="60"/>
      <c r="F26" s="60"/>
      <c r="G26" s="60"/>
      <c r="H26" s="60"/>
      <c r="I26" s="60"/>
      <c r="J26" s="60"/>
      <c r="K26" s="64"/>
      <c r="L26" s="64"/>
      <c r="M26" s="64"/>
      <c r="N26" s="64"/>
      <c r="O26" s="64"/>
      <c r="P26" s="64"/>
      <c r="Q26" s="39"/>
      <c r="R26" s="39"/>
      <c r="S26" s="39"/>
    </row>
    <row r="27" spans="1:19" x14ac:dyDescent="0.35">
      <c r="A27" s="36" t="s">
        <v>782</v>
      </c>
      <c r="B27" s="113">
        <v>146</v>
      </c>
      <c r="C27" s="36" t="s">
        <v>793</v>
      </c>
      <c r="D27" s="60"/>
      <c r="E27" s="60"/>
      <c r="F27" s="60"/>
      <c r="G27" s="60"/>
      <c r="H27" s="60"/>
      <c r="I27" s="60"/>
      <c r="J27" s="60"/>
      <c r="K27" s="64"/>
      <c r="L27" s="64"/>
      <c r="M27" s="64"/>
      <c r="N27" s="64"/>
      <c r="O27" s="64"/>
      <c r="P27" s="64"/>
      <c r="Q27" s="39"/>
      <c r="R27" s="39"/>
      <c r="S27" s="39"/>
    </row>
    <row r="28" spans="1:19" x14ac:dyDescent="0.35">
      <c r="A28" s="36" t="s">
        <v>786</v>
      </c>
      <c r="B28" s="113">
        <v>0.46500000000000002</v>
      </c>
      <c r="C28" s="36" t="s">
        <v>1253</v>
      </c>
      <c r="D28" s="60"/>
      <c r="E28" s="60"/>
      <c r="F28" s="319"/>
      <c r="G28" s="60"/>
      <c r="H28" s="60"/>
      <c r="I28" s="60"/>
      <c r="J28" s="60"/>
      <c r="K28" s="64"/>
      <c r="L28" s="64"/>
      <c r="M28" s="64"/>
      <c r="N28" s="64"/>
      <c r="O28" s="64"/>
      <c r="P28" s="64"/>
      <c r="Q28" s="39"/>
      <c r="R28" s="39"/>
      <c r="S28" s="39"/>
    </row>
    <row r="29" spans="1:19" x14ac:dyDescent="0.35">
      <c r="A29" s="36"/>
      <c r="B29" s="227"/>
      <c r="C29" s="36"/>
      <c r="D29" s="60"/>
      <c r="E29" s="60"/>
      <c r="F29" s="319"/>
      <c r="G29" s="60"/>
      <c r="H29" s="60"/>
      <c r="I29" s="60"/>
      <c r="J29" s="60"/>
      <c r="K29" s="64"/>
      <c r="L29" s="64"/>
      <c r="M29" s="64"/>
      <c r="N29" s="64"/>
      <c r="O29" s="64"/>
      <c r="P29" s="64"/>
      <c r="Q29" s="39"/>
      <c r="R29" s="39"/>
      <c r="S29" s="39"/>
    </row>
    <row r="30" spans="1:19" x14ac:dyDescent="0.35">
      <c r="A30" s="36"/>
      <c r="B30" s="36"/>
      <c r="C30" s="36"/>
      <c r="D30" s="60"/>
      <c r="E30" s="60"/>
      <c r="F30" s="319"/>
      <c r="G30" s="60"/>
      <c r="H30" s="60"/>
      <c r="I30" s="60"/>
      <c r="J30" s="60"/>
      <c r="K30" s="64"/>
      <c r="L30" s="64"/>
      <c r="M30" s="64"/>
      <c r="N30" s="64"/>
      <c r="O30" s="64"/>
      <c r="P30" s="64"/>
      <c r="Q30" s="39"/>
      <c r="R30" s="39"/>
      <c r="S30" s="39"/>
    </row>
    <row r="31" spans="1:19" x14ac:dyDescent="0.35">
      <c r="A31" s="36"/>
      <c r="B31" s="36"/>
      <c r="C31" s="36"/>
      <c r="D31" s="60"/>
      <c r="E31" s="60"/>
      <c r="F31" s="119" t="s">
        <v>1216</v>
      </c>
      <c r="G31" s="60"/>
      <c r="H31" s="60"/>
      <c r="I31" s="119">
        <v>3</v>
      </c>
      <c r="J31" s="60" t="s">
        <v>1266</v>
      </c>
      <c r="K31" s="64"/>
      <c r="L31" s="64"/>
      <c r="M31" s="64"/>
      <c r="N31" s="64"/>
      <c r="O31" s="64"/>
      <c r="P31" s="64"/>
      <c r="Q31" s="39"/>
      <c r="R31" s="39"/>
      <c r="S31" s="39"/>
    </row>
    <row r="32" spans="1:19" x14ac:dyDescent="0.35">
      <c r="A32" s="36"/>
      <c r="B32" s="36"/>
      <c r="C32" s="36"/>
      <c r="D32" s="60"/>
      <c r="E32" s="60"/>
      <c r="F32" s="60"/>
      <c r="G32" s="60"/>
      <c r="H32" s="60"/>
      <c r="I32" s="60"/>
      <c r="J32" s="60"/>
      <c r="K32" s="64"/>
      <c r="L32" s="64"/>
      <c r="M32" s="64"/>
      <c r="N32" s="64"/>
      <c r="O32" s="64"/>
      <c r="P32" s="64"/>
      <c r="Q32" s="39"/>
      <c r="R32" s="39"/>
      <c r="S32" s="39"/>
    </row>
    <row r="33" spans="1:19" x14ac:dyDescent="0.35">
      <c r="A33" s="36"/>
      <c r="B33" s="36"/>
      <c r="C33" s="36"/>
      <c r="D33" s="60"/>
      <c r="E33" s="60"/>
      <c r="F33" s="644"/>
      <c r="G33" s="60"/>
      <c r="H33" s="60"/>
      <c r="I33" s="60"/>
      <c r="J33" s="60"/>
      <c r="K33" s="64"/>
      <c r="L33" s="64"/>
      <c r="M33" s="64"/>
      <c r="N33" s="64"/>
      <c r="O33" s="64"/>
      <c r="P33" s="64"/>
      <c r="Q33" s="39"/>
      <c r="R33" s="39"/>
      <c r="S33" s="39"/>
    </row>
    <row r="34" spans="1:19" x14ac:dyDescent="0.35">
      <c r="A34" s="36"/>
      <c r="B34" s="36"/>
      <c r="C34" s="36"/>
      <c r="D34" s="60"/>
      <c r="E34" s="60"/>
      <c r="F34" s="60"/>
      <c r="G34" s="60"/>
      <c r="H34" s="60"/>
      <c r="I34" s="60"/>
      <c r="J34" s="60"/>
      <c r="K34" s="64"/>
      <c r="L34" s="64"/>
      <c r="M34" s="64"/>
      <c r="N34" s="64"/>
      <c r="O34" s="64"/>
      <c r="P34" s="64"/>
      <c r="Q34" s="39"/>
      <c r="R34" s="39"/>
      <c r="S34" s="39"/>
    </row>
    <row r="35" spans="1:19" x14ac:dyDescent="0.35">
      <c r="A35" s="36"/>
      <c r="B35" s="36"/>
      <c r="C35" s="36"/>
      <c r="D35" s="60"/>
      <c r="E35" s="60"/>
      <c r="F35" s="60"/>
      <c r="G35" s="644"/>
      <c r="H35" s="60"/>
      <c r="I35" s="60"/>
      <c r="J35" s="60"/>
      <c r="K35" s="64"/>
      <c r="L35" s="64"/>
      <c r="M35" s="64"/>
      <c r="N35" s="64"/>
      <c r="O35" s="64"/>
      <c r="P35" s="64"/>
      <c r="Q35" s="39"/>
      <c r="R35" s="39"/>
      <c r="S35" s="39"/>
    </row>
    <row r="36" spans="1:19" x14ac:dyDescent="0.35">
      <c r="A36" s="36"/>
      <c r="B36" s="36"/>
      <c r="C36" s="36"/>
      <c r="D36" s="60"/>
      <c r="E36" s="60"/>
      <c r="F36" s="60"/>
      <c r="G36" s="60"/>
      <c r="H36" s="60"/>
      <c r="I36" s="60"/>
      <c r="J36" s="60"/>
      <c r="K36" s="64"/>
      <c r="L36" s="64"/>
      <c r="M36" s="64"/>
      <c r="N36" s="64"/>
      <c r="O36" s="64"/>
      <c r="P36" s="64"/>
      <c r="Q36" s="39"/>
      <c r="R36" s="39"/>
      <c r="S36" s="39"/>
    </row>
    <row r="37" spans="1:19" x14ac:dyDescent="0.35">
      <c r="A37" s="36"/>
      <c r="B37" s="36"/>
      <c r="C37" s="36"/>
      <c r="D37" s="60"/>
      <c r="E37" s="60"/>
      <c r="F37" s="60"/>
      <c r="G37" s="60"/>
      <c r="H37" s="60"/>
      <c r="I37" s="60"/>
      <c r="J37" s="60"/>
      <c r="K37" s="64"/>
      <c r="L37" s="64"/>
      <c r="M37" s="64"/>
      <c r="N37" s="64"/>
      <c r="O37" s="64"/>
      <c r="P37" s="64"/>
      <c r="Q37" s="39"/>
      <c r="R37" s="39"/>
      <c r="S37" s="39"/>
    </row>
    <row r="38" spans="1:19" hidden="1" x14ac:dyDescent="0.35">
      <c r="A38" s="39"/>
      <c r="B38" s="39"/>
      <c r="C38" s="39"/>
      <c r="D38" s="39"/>
      <c r="E38" s="39"/>
      <c r="F38" s="39"/>
      <c r="G38" s="39"/>
      <c r="H38" s="39"/>
      <c r="I38" s="39"/>
      <c r="J38" s="39"/>
      <c r="K38" s="39"/>
      <c r="L38" s="39"/>
      <c r="M38" s="39"/>
      <c r="N38" s="39"/>
      <c r="O38" s="39"/>
      <c r="P38" s="39"/>
      <c r="Q38" s="39"/>
      <c r="R38" s="39"/>
      <c r="S38" s="39"/>
    </row>
    <row r="39" spans="1:19" hidden="1" x14ac:dyDescent="0.35">
      <c r="A39" s="39"/>
      <c r="B39" s="39"/>
      <c r="C39" s="39"/>
      <c r="D39" s="39"/>
      <c r="E39" s="39"/>
      <c r="F39" s="39"/>
      <c r="G39" s="39"/>
      <c r="H39" s="39"/>
      <c r="I39" s="39"/>
      <c r="J39" s="39"/>
      <c r="K39" s="39"/>
      <c r="L39" s="39"/>
      <c r="M39" s="39"/>
      <c r="N39" s="39"/>
      <c r="O39" s="39"/>
      <c r="P39" s="39"/>
      <c r="Q39" s="39"/>
      <c r="R39" s="39"/>
      <c r="S39" s="39"/>
    </row>
    <row r="40" spans="1:19" hidden="1" x14ac:dyDescent="0.35">
      <c r="A40" s="39"/>
      <c r="B40" s="39"/>
      <c r="C40" s="39"/>
      <c r="D40" s="39"/>
      <c r="E40" s="39"/>
      <c r="F40" s="39"/>
      <c r="G40" s="39"/>
      <c r="H40" s="39"/>
      <c r="I40" s="39"/>
      <c r="J40" s="39"/>
      <c r="K40" s="39"/>
      <c r="L40" s="39"/>
      <c r="M40" s="39"/>
      <c r="N40" s="39"/>
      <c r="O40" s="39"/>
      <c r="P40" s="39"/>
      <c r="Q40" s="39"/>
      <c r="R40" s="39"/>
      <c r="S40" s="39"/>
    </row>
    <row r="41" spans="1:19" hidden="1" x14ac:dyDescent="0.35">
      <c r="A41" s="39"/>
      <c r="B41" s="39"/>
      <c r="C41" s="39"/>
      <c r="D41" s="39"/>
      <c r="E41" s="39"/>
      <c r="F41" s="39"/>
      <c r="G41" s="39"/>
      <c r="H41" s="39"/>
      <c r="I41" s="39"/>
      <c r="J41" s="39"/>
      <c r="K41" s="39"/>
      <c r="L41" s="39"/>
      <c r="M41" s="39"/>
      <c r="N41" s="39"/>
      <c r="O41" s="39"/>
      <c r="P41" s="39"/>
      <c r="Q41" s="39"/>
      <c r="R41" s="39"/>
      <c r="S41" s="39"/>
    </row>
    <row r="42" spans="1:19" ht="16" hidden="1" x14ac:dyDescent="0.45">
      <c r="A42" s="39"/>
      <c r="B42" s="39"/>
      <c r="C42" s="39"/>
      <c r="D42" s="39"/>
      <c r="E42" s="39"/>
      <c r="F42" s="39"/>
      <c r="G42" s="39"/>
      <c r="H42" s="39"/>
      <c r="I42" s="39"/>
      <c r="J42" s="39"/>
      <c r="K42" s="39"/>
      <c r="L42" s="83"/>
      <c r="M42" s="39"/>
      <c r="N42" s="39"/>
      <c r="O42" s="39"/>
      <c r="P42" s="39"/>
      <c r="Q42" s="39"/>
      <c r="R42" s="39"/>
      <c r="S42" s="39"/>
    </row>
    <row r="43" spans="1:19" hidden="1" x14ac:dyDescent="0.35">
      <c r="A43" s="39"/>
      <c r="B43" s="39"/>
      <c r="C43" s="39"/>
      <c r="D43" s="39"/>
      <c r="E43" s="39"/>
      <c r="F43" s="39"/>
      <c r="G43" s="39"/>
      <c r="H43" s="39"/>
      <c r="I43" s="39"/>
      <c r="J43" s="39"/>
      <c r="K43" s="39"/>
      <c r="L43" s="39"/>
      <c r="M43" s="39"/>
      <c r="N43" s="39"/>
      <c r="O43" s="39"/>
      <c r="P43" s="39"/>
      <c r="Q43" s="39"/>
      <c r="R43" s="39"/>
      <c r="S43" s="39"/>
    </row>
    <row r="44" spans="1:19" hidden="1" x14ac:dyDescent="0.35">
      <c r="A44" s="39"/>
      <c r="B44" s="39"/>
      <c r="C44" s="39"/>
      <c r="D44" s="39"/>
      <c r="E44" s="39"/>
      <c r="F44" s="39"/>
      <c r="G44" s="39"/>
      <c r="H44" s="39"/>
      <c r="I44" s="39"/>
      <c r="J44" s="39"/>
      <c r="K44" s="39"/>
      <c r="L44" s="39"/>
      <c r="M44" s="39"/>
      <c r="N44" s="39"/>
      <c r="O44" s="39"/>
      <c r="P44" s="39"/>
      <c r="Q44" s="39"/>
      <c r="R44" s="39"/>
      <c r="S44" s="39"/>
    </row>
    <row r="45" spans="1:19" hidden="1" x14ac:dyDescent="0.35">
      <c r="A45" s="39"/>
      <c r="B45" s="39"/>
      <c r="C45" s="39"/>
      <c r="D45" s="39"/>
      <c r="E45" s="39"/>
      <c r="F45" s="39"/>
      <c r="G45" s="39"/>
      <c r="H45" s="39"/>
      <c r="I45" s="39"/>
      <c r="J45" s="39"/>
      <c r="K45" s="39"/>
      <c r="L45" s="39"/>
      <c r="M45" s="39"/>
      <c r="N45" s="39"/>
      <c r="O45" s="39"/>
      <c r="P45" s="39"/>
      <c r="Q45" s="39"/>
      <c r="R45" s="39"/>
      <c r="S45" s="39"/>
    </row>
    <row r="47" spans="1:19" ht="14.4" hidden="1" customHeight="1" x14ac:dyDescent="0.35">
      <c r="L47" s="41"/>
      <c r="M47" s="41"/>
      <c r="N47" s="6"/>
    </row>
    <row r="89" spans="12:14" ht="15" hidden="1" thickBot="1" x14ac:dyDescent="0.4"/>
    <row r="90" spans="12:14" ht="31.5" hidden="1" thickBot="1" x14ac:dyDescent="0.4">
      <c r="L90" s="220" t="s">
        <v>864</v>
      </c>
      <c r="M90" s="221" t="s">
        <v>911</v>
      </c>
      <c r="N90" s="157" t="s">
        <v>865</v>
      </c>
    </row>
    <row r="91" spans="12:14" ht="29" hidden="1" customHeight="1" x14ac:dyDescent="0.35">
      <c r="L91" s="169" t="s">
        <v>953</v>
      </c>
      <c r="M91" s="153" t="s">
        <v>882</v>
      </c>
      <c r="N91" s="170" t="s">
        <v>68</v>
      </c>
    </row>
    <row r="92" spans="12:14" ht="58" hidden="1" x14ac:dyDescent="0.35">
      <c r="L92" s="158" t="s">
        <v>898</v>
      </c>
      <c r="M92" s="150" t="s">
        <v>897</v>
      </c>
      <c r="N92" s="159" t="s">
        <v>68</v>
      </c>
    </row>
    <row r="93" spans="12:14" ht="29" hidden="1" customHeight="1" x14ac:dyDescent="0.35">
      <c r="L93" s="160" t="s">
        <v>957</v>
      </c>
      <c r="M93" s="151" t="s">
        <v>913</v>
      </c>
      <c r="N93" s="161" t="s">
        <v>68</v>
      </c>
    </row>
    <row r="94" spans="12:14" ht="29" hidden="1" x14ac:dyDescent="0.35">
      <c r="L94" s="162" t="s">
        <v>954</v>
      </c>
      <c r="M94" s="152" t="s">
        <v>881</v>
      </c>
      <c r="N94" s="159" t="s">
        <v>68</v>
      </c>
    </row>
    <row r="95" spans="12:14" ht="43.5" hidden="1" x14ac:dyDescent="0.35">
      <c r="L95" s="163" t="s">
        <v>952</v>
      </c>
      <c r="M95" s="153" t="s">
        <v>884</v>
      </c>
      <c r="N95" s="161" t="s">
        <v>68</v>
      </c>
    </row>
    <row r="96" spans="12:14" ht="72.5" hidden="1" x14ac:dyDescent="0.35">
      <c r="L96" s="158" t="s">
        <v>955</v>
      </c>
      <c r="M96" s="150" t="s">
        <v>940</v>
      </c>
      <c r="N96" s="159" t="s">
        <v>68</v>
      </c>
    </row>
    <row r="97" spans="12:14" ht="27" hidden="1" customHeight="1" x14ac:dyDescent="0.35">
      <c r="L97" s="160" t="s">
        <v>950</v>
      </c>
      <c r="M97" s="151" t="s">
        <v>885</v>
      </c>
      <c r="N97" s="161" t="s">
        <v>68</v>
      </c>
    </row>
    <row r="98" spans="12:14" ht="27" hidden="1" customHeight="1" x14ac:dyDescent="0.35">
      <c r="L98" s="164" t="s">
        <v>951</v>
      </c>
      <c r="M98" s="150" t="s">
        <v>886</v>
      </c>
      <c r="N98" s="159" t="s">
        <v>68</v>
      </c>
    </row>
    <row r="99" spans="12:14" ht="43.5" hidden="1" x14ac:dyDescent="0.35">
      <c r="L99" s="165" t="s">
        <v>866</v>
      </c>
      <c r="M99" s="151" t="s">
        <v>883</v>
      </c>
      <c r="N99" s="161" t="s">
        <v>68</v>
      </c>
    </row>
    <row r="100" spans="12:14" ht="43.5" hidden="1" x14ac:dyDescent="0.35">
      <c r="L100" s="162" t="s">
        <v>867</v>
      </c>
      <c r="M100" s="150" t="s">
        <v>888</v>
      </c>
      <c r="N100" s="159" t="s">
        <v>68</v>
      </c>
    </row>
    <row r="101" spans="12:14" ht="43.5" hidden="1" x14ac:dyDescent="0.35">
      <c r="L101" s="165" t="s">
        <v>868</v>
      </c>
      <c r="M101" s="151" t="s">
        <v>887</v>
      </c>
      <c r="N101" s="161" t="s">
        <v>68</v>
      </c>
    </row>
    <row r="102" spans="12:14" ht="44" hidden="1" thickBot="1" x14ac:dyDescent="0.4">
      <c r="L102" s="166" t="s">
        <v>869</v>
      </c>
      <c r="M102" s="167" t="s">
        <v>889</v>
      </c>
      <c r="N102" s="168" t="s">
        <v>68</v>
      </c>
    </row>
    <row r="103" spans="12:14" ht="72.5" hidden="1" x14ac:dyDescent="0.35">
      <c r="L103" s="171" t="s">
        <v>944</v>
      </c>
      <c r="M103" s="172" t="s">
        <v>896</v>
      </c>
      <c r="N103" s="173" t="s">
        <v>128</v>
      </c>
    </row>
    <row r="104" spans="12:14" ht="43.5" hidden="1" x14ac:dyDescent="0.35">
      <c r="L104" s="174" t="s">
        <v>945</v>
      </c>
      <c r="M104" s="55" t="s">
        <v>901</v>
      </c>
      <c r="N104" s="175" t="s">
        <v>128</v>
      </c>
    </row>
    <row r="105" spans="12:14" ht="29" hidden="1" x14ac:dyDescent="0.35">
      <c r="L105" s="176" t="s">
        <v>890</v>
      </c>
      <c r="M105" s="54" t="s">
        <v>900</v>
      </c>
      <c r="N105" s="177" t="s">
        <v>128</v>
      </c>
    </row>
    <row r="106" spans="12:14" ht="87" hidden="1" x14ac:dyDescent="0.35">
      <c r="L106" s="174" t="s">
        <v>903</v>
      </c>
      <c r="M106" s="55" t="s">
        <v>904</v>
      </c>
      <c r="N106" s="175" t="s">
        <v>128</v>
      </c>
    </row>
    <row r="107" spans="12:14" ht="29" hidden="1" x14ac:dyDescent="0.35">
      <c r="L107" s="178" t="s">
        <v>905</v>
      </c>
      <c r="M107" s="54" t="s">
        <v>906</v>
      </c>
      <c r="N107" s="177" t="s">
        <v>128</v>
      </c>
    </row>
    <row r="108" spans="12:14" ht="43.5" hidden="1" x14ac:dyDescent="0.35">
      <c r="L108" s="179" t="s">
        <v>891</v>
      </c>
      <c r="M108" s="55" t="s">
        <v>902</v>
      </c>
      <c r="N108" s="175" t="s">
        <v>128</v>
      </c>
    </row>
    <row r="109" spans="12:14" ht="58" hidden="1" x14ac:dyDescent="0.35">
      <c r="L109" s="178" t="s">
        <v>892</v>
      </c>
      <c r="M109" s="54" t="s">
        <v>907</v>
      </c>
      <c r="N109" s="177" t="s">
        <v>128</v>
      </c>
    </row>
    <row r="110" spans="12:14" ht="29" hidden="1" x14ac:dyDescent="0.35">
      <c r="L110" s="179" t="s">
        <v>893</v>
      </c>
      <c r="M110" s="55" t="s">
        <v>908</v>
      </c>
      <c r="N110" s="175" t="s">
        <v>128</v>
      </c>
    </row>
    <row r="111" spans="12:14" ht="29" hidden="1" x14ac:dyDescent="0.35">
      <c r="L111" s="178" t="s">
        <v>862</v>
      </c>
      <c r="M111" s="54" t="s">
        <v>909</v>
      </c>
      <c r="N111" s="177" t="s">
        <v>128</v>
      </c>
    </row>
    <row r="112" spans="12:14" ht="29" hidden="1" x14ac:dyDescent="0.35">
      <c r="L112" s="179" t="s">
        <v>894</v>
      </c>
      <c r="M112" s="55" t="s">
        <v>910</v>
      </c>
      <c r="N112" s="175" t="s">
        <v>128</v>
      </c>
    </row>
    <row r="113" spans="12:14" ht="29" hidden="1" x14ac:dyDescent="0.35">
      <c r="L113" s="178" t="s">
        <v>895</v>
      </c>
      <c r="M113" s="54" t="s">
        <v>912</v>
      </c>
      <c r="N113" s="177" t="s">
        <v>128</v>
      </c>
    </row>
    <row r="114" spans="12:14" ht="43.5" hidden="1" x14ac:dyDescent="0.35">
      <c r="L114" s="180" t="s">
        <v>870</v>
      </c>
      <c r="M114" s="55" t="s">
        <v>914</v>
      </c>
      <c r="N114" s="175" t="s">
        <v>128</v>
      </c>
    </row>
    <row r="115" spans="12:14" ht="44" hidden="1" thickBot="1" x14ac:dyDescent="0.4">
      <c r="L115" s="181" t="s">
        <v>916</v>
      </c>
      <c r="M115" s="182" t="s">
        <v>915</v>
      </c>
      <c r="N115" s="183" t="s">
        <v>128</v>
      </c>
    </row>
    <row r="116" spans="12:14" ht="87" hidden="1" x14ac:dyDescent="0.35">
      <c r="L116" s="184" t="s">
        <v>855</v>
      </c>
      <c r="M116" s="185" t="s">
        <v>994</v>
      </c>
      <c r="N116" s="186" t="s">
        <v>941</v>
      </c>
    </row>
    <row r="117" spans="12:14" hidden="1" x14ac:dyDescent="0.35">
      <c r="L117" s="187" t="s">
        <v>1081</v>
      </c>
      <c r="M117" s="154" t="s">
        <v>1117</v>
      </c>
      <c r="N117" s="188" t="s">
        <v>941</v>
      </c>
    </row>
    <row r="118" spans="12:14" hidden="1" x14ac:dyDescent="0.35">
      <c r="L118" s="189" t="s">
        <v>1082</v>
      </c>
      <c r="M118" s="154" t="s">
        <v>1083</v>
      </c>
      <c r="N118" s="188" t="s">
        <v>941</v>
      </c>
    </row>
    <row r="119" spans="12:14" ht="89" hidden="1" x14ac:dyDescent="0.35">
      <c r="L119" s="190" t="s">
        <v>946</v>
      </c>
      <c r="M119" s="69" t="s">
        <v>918</v>
      </c>
      <c r="N119" s="191" t="s">
        <v>941</v>
      </c>
    </row>
    <row r="120" spans="12:14" ht="29" hidden="1" x14ac:dyDescent="0.35">
      <c r="L120" s="192" t="s">
        <v>947</v>
      </c>
      <c r="M120" s="154" t="s">
        <v>917</v>
      </c>
      <c r="N120" s="188" t="s">
        <v>941</v>
      </c>
    </row>
    <row r="121" spans="12:14" ht="78.5" hidden="1" x14ac:dyDescent="0.35">
      <c r="L121" s="193" t="s">
        <v>871</v>
      </c>
      <c r="M121" s="154" t="s">
        <v>919</v>
      </c>
      <c r="N121" s="188" t="s">
        <v>941</v>
      </c>
    </row>
    <row r="122" spans="12:14" ht="29" hidden="1" x14ac:dyDescent="0.35">
      <c r="L122" s="194" t="s">
        <v>956</v>
      </c>
      <c r="M122" s="69" t="s">
        <v>917</v>
      </c>
      <c r="N122" s="191" t="s">
        <v>941</v>
      </c>
    </row>
    <row r="123" spans="12:14" ht="58" hidden="1" x14ac:dyDescent="0.35">
      <c r="L123" s="193" t="s">
        <v>863</v>
      </c>
      <c r="M123" s="154" t="s">
        <v>880</v>
      </c>
      <c r="N123" s="188" t="s">
        <v>941</v>
      </c>
    </row>
    <row r="124" spans="12:14" ht="43.5" hidden="1" x14ac:dyDescent="0.35">
      <c r="L124" s="195" t="s">
        <v>899</v>
      </c>
      <c r="M124" s="69" t="s">
        <v>920</v>
      </c>
      <c r="N124" s="191" t="s">
        <v>941</v>
      </c>
    </row>
    <row r="125" spans="12:14" hidden="1" x14ac:dyDescent="0.35">
      <c r="L125" s="193" t="s">
        <v>857</v>
      </c>
      <c r="M125" s="154" t="s">
        <v>921</v>
      </c>
      <c r="N125" s="188" t="s">
        <v>941</v>
      </c>
    </row>
    <row r="126" spans="12:14" ht="29.5" hidden="1" thickBot="1" x14ac:dyDescent="0.4">
      <c r="L126" s="196" t="s">
        <v>856</v>
      </c>
      <c r="M126" s="197" t="s">
        <v>932</v>
      </c>
      <c r="N126" s="198" t="s">
        <v>941</v>
      </c>
    </row>
    <row r="127" spans="12:14" ht="43.5" hidden="1" x14ac:dyDescent="0.35">
      <c r="L127" s="199" t="s">
        <v>872</v>
      </c>
      <c r="M127" s="200" t="s">
        <v>922</v>
      </c>
      <c r="N127" s="201" t="s">
        <v>942</v>
      </c>
    </row>
    <row r="128" spans="12:14" ht="29" hidden="1" x14ac:dyDescent="0.35">
      <c r="L128" s="202" t="s">
        <v>861</v>
      </c>
      <c r="M128" s="156" t="s">
        <v>923</v>
      </c>
      <c r="N128" s="203" t="s">
        <v>942</v>
      </c>
    </row>
    <row r="129" spans="12:14" ht="130.5" hidden="1" x14ac:dyDescent="0.35">
      <c r="L129" s="204" t="s">
        <v>873</v>
      </c>
      <c r="M129" s="155" t="s">
        <v>924</v>
      </c>
      <c r="N129" s="205" t="s">
        <v>942</v>
      </c>
    </row>
    <row r="130" spans="12:14" ht="29" hidden="1" x14ac:dyDescent="0.35">
      <c r="L130" s="204" t="s">
        <v>874</v>
      </c>
      <c r="M130" s="155" t="s">
        <v>925</v>
      </c>
      <c r="N130" s="205" t="s">
        <v>942</v>
      </c>
    </row>
    <row r="131" spans="12:14" ht="29" hidden="1" x14ac:dyDescent="0.35">
      <c r="L131" s="204" t="s">
        <v>875</v>
      </c>
      <c r="M131" s="155" t="s">
        <v>926</v>
      </c>
      <c r="N131" s="205" t="s">
        <v>942</v>
      </c>
    </row>
    <row r="132" spans="12:14" ht="29" hidden="1" x14ac:dyDescent="0.35">
      <c r="L132" s="206" t="s">
        <v>876</v>
      </c>
      <c r="M132" s="156" t="s">
        <v>927</v>
      </c>
      <c r="N132" s="203" t="s">
        <v>942</v>
      </c>
    </row>
    <row r="133" spans="12:14" ht="29" hidden="1" x14ac:dyDescent="0.35">
      <c r="L133" s="204" t="s">
        <v>858</v>
      </c>
      <c r="M133" s="155" t="s">
        <v>928</v>
      </c>
      <c r="N133" s="205" t="s">
        <v>942</v>
      </c>
    </row>
    <row r="134" spans="12:14" ht="29" hidden="1" x14ac:dyDescent="0.35">
      <c r="L134" s="206" t="s">
        <v>859</v>
      </c>
      <c r="M134" s="156" t="s">
        <v>929</v>
      </c>
      <c r="N134" s="203" t="s">
        <v>942</v>
      </c>
    </row>
    <row r="135" spans="12:14" ht="29.5" hidden="1" thickBot="1" x14ac:dyDescent="0.4">
      <c r="L135" s="207" t="s">
        <v>860</v>
      </c>
      <c r="M135" s="208" t="s">
        <v>930</v>
      </c>
      <c r="N135" s="209" t="s">
        <v>942</v>
      </c>
    </row>
    <row r="136" spans="12:14" ht="29" hidden="1" x14ac:dyDescent="0.35">
      <c r="L136" s="210" t="s">
        <v>877</v>
      </c>
      <c r="M136" s="211" t="s">
        <v>931</v>
      </c>
      <c r="N136" s="212" t="s">
        <v>943</v>
      </c>
    </row>
    <row r="137" spans="12:14" ht="43.5" hidden="1" x14ac:dyDescent="0.35">
      <c r="L137" s="213" t="s">
        <v>916</v>
      </c>
      <c r="M137" s="56" t="s">
        <v>933</v>
      </c>
      <c r="N137" s="214" t="s">
        <v>943</v>
      </c>
    </row>
    <row r="138" spans="12:14" ht="43.5" hidden="1" x14ac:dyDescent="0.35">
      <c r="L138" s="215" t="s">
        <v>878</v>
      </c>
      <c r="M138" s="57" t="s">
        <v>934</v>
      </c>
      <c r="N138" s="216" t="s">
        <v>943</v>
      </c>
    </row>
    <row r="139" spans="12:14" ht="43.5" hidden="1" x14ac:dyDescent="0.35">
      <c r="L139" s="213" t="s">
        <v>936</v>
      </c>
      <c r="M139" s="56" t="s">
        <v>935</v>
      </c>
      <c r="N139" s="214" t="s">
        <v>943</v>
      </c>
    </row>
    <row r="140" spans="12:14" ht="43.5" hidden="1" x14ac:dyDescent="0.35">
      <c r="L140" s="215" t="s">
        <v>937</v>
      </c>
      <c r="M140" s="57" t="s">
        <v>938</v>
      </c>
      <c r="N140" s="216" t="s">
        <v>943</v>
      </c>
    </row>
    <row r="141" spans="12:14" ht="44" hidden="1" thickBot="1" x14ac:dyDescent="0.4">
      <c r="L141" s="217" t="s">
        <v>879</v>
      </c>
      <c r="M141" s="218" t="s">
        <v>939</v>
      </c>
      <c r="N141" s="219" t="s">
        <v>943</v>
      </c>
    </row>
    <row r="142" spans="12:14" hidden="1" x14ac:dyDescent="0.35">
      <c r="L142" s="65"/>
      <c r="M142" s="223"/>
      <c r="N142" s="222"/>
    </row>
  </sheetData>
  <dataValidations count="10">
    <dataValidation type="list" allowBlank="1" showInputMessage="1" showErrorMessage="1" sqref="H16" xr:uid="{00000000-0002-0000-0000-000000000000}">
      <formula1>"1,2,3,4,5,6,7,8,9"</formula1>
    </dataValidation>
    <dataValidation type="list" allowBlank="1" showInputMessage="1" showErrorMessage="1" sqref="M10" xr:uid="{00000000-0002-0000-0000-000001000000}">
      <formula1>$L$91:$L$141</formula1>
    </dataValidation>
    <dataValidation type="list" allowBlank="1" showInputMessage="1" showErrorMessage="1" sqref="F22" xr:uid="{00000000-0002-0000-0000-000002000000}">
      <formula1>"assembly,component,both"</formula1>
    </dataValidation>
    <dataValidation type="list" allowBlank="1" showInputMessage="1" showErrorMessage="1" sqref="F24 F29:F30" xr:uid="{00000000-0002-0000-0000-000003000000}">
      <formula1>"Yes,No"</formula1>
    </dataValidation>
    <dataValidation type="decimal" allowBlank="1" showInputMessage="1" showErrorMessage="1" sqref="E10:E16 H15 K24" xr:uid="{00000000-0002-0000-0000-000004000000}">
      <formula1>0</formula1>
      <formula2>1</formula2>
    </dataValidation>
    <dataValidation type="list" allowBlank="1" showInputMessage="1" showErrorMessage="1" sqref="F31" xr:uid="{00000000-0002-0000-0000-000005000000}">
      <formula1>"A. of ORUs, 0.001"</formula1>
    </dataValidation>
    <dataValidation type="date" allowBlank="1" showInputMessage="1" showErrorMessage="1" sqref="B16" xr:uid="{00000000-0002-0000-0000-000006000000}">
      <formula1>44927</formula1>
      <formula2>48580</formula2>
    </dataValidation>
    <dataValidation type="whole" allowBlank="1" showInputMessage="1" showErrorMessage="1" sqref="I31" xr:uid="{00000000-0002-0000-0000-000007000000}">
      <formula1>1</formula1>
      <formula2>5</formula2>
    </dataValidation>
    <dataValidation type="whole" allowBlank="1" showInputMessage="1" showErrorMessage="1" sqref="B15" xr:uid="{00000000-0002-0000-0000-000008000000}">
      <formula1>1</formula1>
      <formula2>10</formula2>
    </dataValidation>
    <dataValidation type="list" allowBlank="1" showInputMessage="1" showErrorMessage="1" sqref="B12" xr:uid="{00000000-0002-0000-0000-000009000000}">
      <formula1>"1,2"</formula1>
    </dataValidation>
  </dataValidations>
  <hyperlinks>
    <hyperlink ref="M12" location="'ECLSS Functions'!A1" display="Descriptions of all currently available functions can be found here" xr:uid="{00000000-0004-0000-0000-000000000000}"/>
  </hyperlink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Tabelle1.PerformMCA">
                <anchor moveWithCells="1" sizeWithCells="1">
                  <from>
                    <xdr:col>12</xdr:col>
                    <xdr:colOff>1949450</xdr:colOff>
                    <xdr:row>14</xdr:row>
                    <xdr:rowOff>25400</xdr:rowOff>
                  </from>
                  <to>
                    <xdr:col>12</xdr:col>
                    <xdr:colOff>3346450</xdr:colOff>
                    <xdr:row>17</xdr:row>
                    <xdr:rowOff>44450</xdr:rowOff>
                  </to>
                </anchor>
              </controlPr>
            </control>
          </mc:Choice>
        </mc:AlternateContent>
        <mc:AlternateContent xmlns:mc="http://schemas.openxmlformats.org/markup-compatibility/2006">
          <mc:Choice Requires="x14">
            <control shapeId="1030" r:id="rId5" name="Button 6">
              <controlPr defaultSize="0" print="0" autoFill="0" autoPict="0" macro="[0]!Tabelle1.calculatesystemproperties">
                <anchor moveWithCells="1" sizeWithCells="1">
                  <from>
                    <xdr:col>12</xdr:col>
                    <xdr:colOff>31750</xdr:colOff>
                    <xdr:row>14</xdr:row>
                    <xdr:rowOff>25400</xdr:rowOff>
                  </from>
                  <to>
                    <xdr:col>12</xdr:col>
                    <xdr:colOff>1790700</xdr:colOff>
                    <xdr:row>17</xdr:row>
                    <xdr:rowOff>44450</xdr:rowOff>
                  </to>
                </anchor>
              </controlPr>
            </control>
          </mc:Choice>
        </mc:AlternateContent>
        <mc:AlternateContent xmlns:mc="http://schemas.openxmlformats.org/markup-compatibility/2006">
          <mc:Choice Requires="x14">
            <control shapeId="1031" r:id="rId6" name="Button 7">
              <controlPr defaultSize="0" print="0" autoFill="0" autoPict="0" macro="[0]!Tabelle1.usersguide">
                <anchor moveWithCells="1" sizeWithCells="1">
                  <from>
                    <xdr:col>12</xdr:col>
                    <xdr:colOff>0</xdr:colOff>
                    <xdr:row>0</xdr:row>
                    <xdr:rowOff>152400</xdr:rowOff>
                  </from>
                  <to>
                    <xdr:col>12</xdr:col>
                    <xdr:colOff>1720850</xdr:colOff>
                    <xdr:row>2</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BD444"/>
  <sheetViews>
    <sheetView zoomScale="85" zoomScaleNormal="85" workbookViewId="0">
      <pane xSplit="1" ySplit="2" topLeftCell="B3" activePane="bottomRight" state="frozen"/>
      <selection pane="topRight" activeCell="B1" sqref="B1"/>
      <selection pane="bottomLeft" activeCell="A3" sqref="A3"/>
      <selection pane="bottomRight" activeCell="A3" sqref="A3"/>
    </sheetView>
  </sheetViews>
  <sheetFormatPr defaultColWidth="11.453125" defaultRowHeight="14.5" x14ac:dyDescent="0.35"/>
  <cols>
    <col min="1" max="1" width="27.6328125" customWidth="1"/>
    <col min="2" max="2" width="13.08984375" customWidth="1"/>
    <col min="5" max="5" width="10.6328125" bestFit="1" customWidth="1"/>
    <col min="6" max="6" width="6.08984375" bestFit="1" customWidth="1"/>
    <col min="8" max="8" width="56.54296875" customWidth="1"/>
    <col min="9" max="9" width="13.453125" customWidth="1"/>
    <col min="10" max="10" width="12.54296875" bestFit="1" customWidth="1"/>
    <col min="13" max="13" width="12.08984375" customWidth="1"/>
    <col min="15" max="15" width="13.6328125" customWidth="1"/>
    <col min="19" max="19" width="12.453125" bestFit="1" customWidth="1"/>
    <col min="21" max="21" width="10" style="59" bestFit="1" customWidth="1"/>
    <col min="22" max="22" width="14" customWidth="1"/>
    <col min="24" max="24" width="11.6328125" customWidth="1"/>
    <col min="27" max="27" width="12.08984375" customWidth="1"/>
    <col min="28" max="28" width="10.90625" bestFit="1" customWidth="1"/>
    <col min="30" max="30" width="23.36328125" customWidth="1"/>
    <col min="31" max="31" width="17.08984375" customWidth="1"/>
    <col min="32" max="32" width="20" customWidth="1"/>
    <col min="33" max="33" width="15.08984375" customWidth="1"/>
    <col min="34" max="34" width="34.6328125" customWidth="1"/>
    <col min="35" max="35" width="44.36328125" customWidth="1"/>
    <col min="36" max="36" width="23.36328125" customWidth="1"/>
    <col min="37" max="37" width="37.54296875" customWidth="1"/>
    <col min="38" max="38" width="34.54296875" hidden="1" customWidth="1"/>
    <col min="39" max="39" width="12.36328125" hidden="1" customWidth="1"/>
    <col min="40" max="40" width="34.90625" hidden="1" customWidth="1"/>
    <col min="41" max="41" width="12.36328125" hidden="1" customWidth="1"/>
    <col min="42" max="42" width="33.6328125" hidden="1" customWidth="1"/>
    <col min="43" max="43" width="0" hidden="1" customWidth="1"/>
    <col min="44" max="44" width="80.90625" hidden="1" customWidth="1"/>
    <col min="45" max="45" width="16.90625" customWidth="1"/>
    <col min="46" max="46" width="19.54296875" customWidth="1"/>
    <col min="47" max="47" width="18.36328125" customWidth="1"/>
    <col min="48" max="48" width="19.36328125" customWidth="1"/>
    <col min="49" max="49" width="18.6328125" customWidth="1"/>
    <col min="50" max="50" width="18.90625" customWidth="1"/>
    <col min="51" max="51" width="20.08984375" customWidth="1"/>
    <col min="52" max="52" width="18.36328125" customWidth="1"/>
    <col min="53" max="54" width="18.90625" customWidth="1"/>
    <col min="55" max="55" width="13.6328125" bestFit="1" customWidth="1"/>
  </cols>
  <sheetData>
    <row r="1" spans="1:56" ht="60.75" customHeight="1" x14ac:dyDescent="0.35">
      <c r="A1" s="1" t="s">
        <v>1073</v>
      </c>
      <c r="B1" s="1" t="s">
        <v>1469</v>
      </c>
      <c r="C1" s="73" t="s">
        <v>1144</v>
      </c>
      <c r="D1" s="1" t="s">
        <v>964</v>
      </c>
      <c r="E1" s="1" t="s">
        <v>1151</v>
      </c>
      <c r="F1" s="1" t="s">
        <v>0</v>
      </c>
      <c r="G1" s="1" t="s">
        <v>1145</v>
      </c>
      <c r="H1" s="1" t="s">
        <v>911</v>
      </c>
      <c r="I1" s="1" t="s">
        <v>1433</v>
      </c>
      <c r="J1" s="1" t="s">
        <v>1254</v>
      </c>
      <c r="K1" s="1" t="s">
        <v>1435</v>
      </c>
      <c r="L1" s="1" t="s">
        <v>1436</v>
      </c>
      <c r="M1" s="1" t="s">
        <v>1255</v>
      </c>
      <c r="N1" s="1" t="s">
        <v>1439</v>
      </c>
      <c r="O1" s="1" t="s">
        <v>1440</v>
      </c>
      <c r="P1" s="1" t="s">
        <v>1449</v>
      </c>
      <c r="Q1" s="1" t="s">
        <v>1442</v>
      </c>
      <c r="R1" s="1" t="s">
        <v>1443</v>
      </c>
      <c r="S1" s="1" t="s">
        <v>1256</v>
      </c>
      <c r="T1" s="1" t="s">
        <v>1444</v>
      </c>
      <c r="U1" s="58" t="s">
        <v>1456</v>
      </c>
      <c r="V1" s="1" t="s">
        <v>1445</v>
      </c>
      <c r="W1" s="1" t="s">
        <v>1446</v>
      </c>
      <c r="X1" s="1" t="s">
        <v>1400</v>
      </c>
      <c r="Y1" s="1" t="s">
        <v>1146</v>
      </c>
      <c r="Z1" s="1" t="s">
        <v>1</v>
      </c>
      <c r="AA1" s="1" t="s">
        <v>1461</v>
      </c>
      <c r="AB1" s="1" t="s">
        <v>1450</v>
      </c>
      <c r="AC1" s="1" t="s">
        <v>1451</v>
      </c>
      <c r="AD1" s="1" t="s">
        <v>1147</v>
      </c>
      <c r="AE1" s="1" t="s">
        <v>1454</v>
      </c>
      <c r="AF1" s="1" t="s">
        <v>1455</v>
      </c>
      <c r="AG1" s="1" t="s">
        <v>1462</v>
      </c>
      <c r="AH1" s="2" t="s">
        <v>1148</v>
      </c>
      <c r="AI1" s="2" t="s">
        <v>1149</v>
      </c>
      <c r="AJ1" s="2" t="s">
        <v>1150</v>
      </c>
      <c r="AK1" s="2" t="s">
        <v>3</v>
      </c>
      <c r="AL1" s="1" t="s">
        <v>4</v>
      </c>
      <c r="AM1" s="1" t="s">
        <v>5</v>
      </c>
      <c r="AN1" s="1" t="s">
        <v>6</v>
      </c>
      <c r="AO1" s="1" t="s">
        <v>7</v>
      </c>
      <c r="AP1" s="1" t="s">
        <v>8</v>
      </c>
      <c r="AQ1" s="3" t="s">
        <v>9</v>
      </c>
      <c r="AR1" s="1" t="s">
        <v>10</v>
      </c>
      <c r="AS1" s="1" t="s">
        <v>11</v>
      </c>
      <c r="AT1" s="1" t="s">
        <v>12</v>
      </c>
      <c r="AU1" s="1" t="s">
        <v>13</v>
      </c>
      <c r="AV1" s="1" t="s">
        <v>14</v>
      </c>
      <c r="AW1" s="1" t="s">
        <v>15</v>
      </c>
      <c r="AX1" s="1" t="s">
        <v>16</v>
      </c>
      <c r="AY1" s="1" t="s">
        <v>17</v>
      </c>
      <c r="AZ1" s="1" t="s">
        <v>18</v>
      </c>
      <c r="BA1" s="1" t="s">
        <v>19</v>
      </c>
      <c r="BB1" s="1" t="s">
        <v>20</v>
      </c>
      <c r="BC1" s="1" t="s">
        <v>1141</v>
      </c>
      <c r="BD1" s="1" t="s">
        <v>1142</v>
      </c>
    </row>
    <row r="2" spans="1:56" s="292" customFormat="1" ht="16.5" x14ac:dyDescent="0.35">
      <c r="A2" s="284"/>
      <c r="B2" s="284"/>
      <c r="C2" s="285"/>
      <c r="D2" s="284"/>
      <c r="E2" s="286"/>
      <c r="F2" s="287"/>
      <c r="G2" s="287"/>
      <c r="H2" s="284"/>
      <c r="I2" s="288" t="s">
        <v>787</v>
      </c>
      <c r="J2" s="288" t="s">
        <v>1434</v>
      </c>
      <c r="K2" s="288" t="s">
        <v>1399</v>
      </c>
      <c r="L2" s="288" t="s">
        <v>1437</v>
      </c>
      <c r="M2" s="288" t="s">
        <v>1438</v>
      </c>
      <c r="N2" s="288" t="s">
        <v>1399</v>
      </c>
      <c r="O2" s="288" t="s">
        <v>789</v>
      </c>
      <c r="P2" s="288" t="s">
        <v>1441</v>
      </c>
      <c r="Q2" s="288" t="s">
        <v>1399</v>
      </c>
      <c r="R2" s="288" t="s">
        <v>789</v>
      </c>
      <c r="S2" s="288" t="s">
        <v>1448</v>
      </c>
      <c r="T2" s="288" t="s">
        <v>1399</v>
      </c>
      <c r="U2" s="289" t="s">
        <v>787</v>
      </c>
      <c r="V2" s="289" t="s">
        <v>1434</v>
      </c>
      <c r="W2" s="288" t="s">
        <v>1252</v>
      </c>
      <c r="X2" s="289" t="s">
        <v>1447</v>
      </c>
      <c r="Y2" s="288" t="s">
        <v>1399</v>
      </c>
      <c r="Z2" s="288" t="s">
        <v>1399</v>
      </c>
      <c r="AA2" s="288" t="s">
        <v>1399</v>
      </c>
      <c r="AB2" s="288" t="s">
        <v>790</v>
      </c>
      <c r="AC2" s="288"/>
      <c r="AD2" s="284" t="s">
        <v>790</v>
      </c>
      <c r="AE2" s="284" t="s">
        <v>1452</v>
      </c>
      <c r="AF2" s="284" t="s">
        <v>1453</v>
      </c>
      <c r="AG2" s="284" t="s">
        <v>1399</v>
      </c>
      <c r="AH2" s="290"/>
      <c r="AI2" s="290"/>
      <c r="AJ2" s="290"/>
      <c r="AK2" s="290"/>
      <c r="AL2" s="291"/>
      <c r="AM2" s="291"/>
      <c r="AN2" s="291"/>
      <c r="AO2" s="291"/>
      <c r="AP2" s="291"/>
      <c r="AQ2" s="286"/>
      <c r="AR2" s="284"/>
      <c r="AS2" s="291"/>
      <c r="AT2" s="291"/>
      <c r="AU2" s="291"/>
      <c r="AV2" s="291"/>
      <c r="AW2" s="291"/>
      <c r="AX2" s="291"/>
      <c r="AY2" s="291"/>
      <c r="AZ2" s="291"/>
      <c r="BA2" s="291"/>
      <c r="BB2" s="291"/>
      <c r="BC2" s="291"/>
      <c r="BD2" s="291"/>
    </row>
    <row r="3" spans="1:56" ht="72.5" x14ac:dyDescent="0.35">
      <c r="A3" s="4" t="s">
        <v>21</v>
      </c>
      <c r="B3" s="4"/>
      <c r="C3" s="4" t="s">
        <v>22</v>
      </c>
      <c r="D3" s="4" t="s">
        <v>23</v>
      </c>
      <c r="E3" s="5" t="s">
        <v>24</v>
      </c>
      <c r="F3" s="4" t="s">
        <v>25</v>
      </c>
      <c r="G3" s="4" t="s">
        <v>26</v>
      </c>
      <c r="H3" s="65" t="s">
        <v>1079</v>
      </c>
      <c r="I3" s="7">
        <v>36.65</v>
      </c>
      <c r="J3" s="7">
        <v>36.65</v>
      </c>
      <c r="K3" s="7">
        <v>0.75</v>
      </c>
      <c r="L3" s="7">
        <v>7.5999999999999998E-2</v>
      </c>
      <c r="M3" s="67">
        <v>7.5999999999999998E-2</v>
      </c>
      <c r="N3" s="7">
        <v>0.75</v>
      </c>
      <c r="O3" s="7">
        <v>0</v>
      </c>
      <c r="P3" s="7">
        <v>0</v>
      </c>
      <c r="Q3" s="7">
        <v>0.75</v>
      </c>
      <c r="R3" s="7">
        <v>0</v>
      </c>
      <c r="S3" s="7">
        <v>0</v>
      </c>
      <c r="T3" s="7">
        <v>1</v>
      </c>
      <c r="U3" s="12"/>
      <c r="V3" s="12"/>
      <c r="W3" s="7" t="s">
        <v>27</v>
      </c>
      <c r="X3" s="12"/>
      <c r="Y3" s="7">
        <v>8</v>
      </c>
      <c r="Z3" s="7">
        <v>8</v>
      </c>
      <c r="AA3" s="7">
        <v>1</v>
      </c>
      <c r="AB3" s="7">
        <v>215000</v>
      </c>
      <c r="AC3" s="7">
        <v>1</v>
      </c>
      <c r="AD3" s="4">
        <f>2.25*365</f>
        <v>821.25</v>
      </c>
      <c r="AE3" s="13">
        <f>1/technologies[[#This Row],[Maintance]]</f>
        <v>1.2176560121765602E-3</v>
      </c>
      <c r="AF3" s="13"/>
      <c r="AG3" s="4">
        <v>0.75</v>
      </c>
      <c r="AH3" s="9" t="s">
        <v>28</v>
      </c>
      <c r="AI3" s="9" t="s">
        <v>29</v>
      </c>
      <c r="AJ3" s="9"/>
      <c r="AK3" s="9" t="s">
        <v>30</v>
      </c>
      <c r="AL3" s="10"/>
      <c r="AM3" s="10"/>
      <c r="AN3" s="10"/>
      <c r="AO3" s="10"/>
      <c r="AP3" s="10"/>
      <c r="AQ3" s="11" t="s">
        <v>31</v>
      </c>
      <c r="AR3" s="4" t="s">
        <v>32</v>
      </c>
      <c r="AS3" s="10" t="s">
        <v>855</v>
      </c>
      <c r="AT3" s="10"/>
      <c r="AU3" s="10"/>
      <c r="AV3" s="10"/>
      <c r="AW3" s="10"/>
      <c r="AX3" s="10"/>
      <c r="AY3" s="10"/>
      <c r="AZ3" s="10"/>
      <c r="BA3" s="10"/>
      <c r="BB3" s="10"/>
      <c r="BC3" s="10">
        <v>293</v>
      </c>
      <c r="BD3" s="10">
        <v>101</v>
      </c>
    </row>
    <row r="4" spans="1:56" ht="72.5" x14ac:dyDescent="0.35">
      <c r="A4" s="4" t="s">
        <v>989</v>
      </c>
      <c r="B4" s="4" t="s">
        <v>1470</v>
      </c>
      <c r="C4" s="4" t="s">
        <v>22</v>
      </c>
      <c r="D4" s="4" t="s">
        <v>116</v>
      </c>
      <c r="E4" s="5" t="s">
        <v>34</v>
      </c>
      <c r="F4" s="4"/>
      <c r="G4" s="4" t="s">
        <v>35</v>
      </c>
      <c r="H4" s="65" t="s">
        <v>1078</v>
      </c>
      <c r="I4" s="7" t="s">
        <v>36</v>
      </c>
      <c r="J4" s="7">
        <v>60</v>
      </c>
      <c r="K4" s="7">
        <v>0.75</v>
      </c>
      <c r="L4" s="7">
        <v>0.3</v>
      </c>
      <c r="M4" s="67">
        <v>9.9999999999999992E-2</v>
      </c>
      <c r="N4" s="7">
        <v>0.75</v>
      </c>
      <c r="O4" s="7">
        <v>150</v>
      </c>
      <c r="P4" s="7">
        <v>50</v>
      </c>
      <c r="Q4" s="7">
        <v>0.75</v>
      </c>
      <c r="R4" s="7" t="s">
        <v>1080</v>
      </c>
      <c r="S4" s="12">
        <v>133.33333333333331</v>
      </c>
      <c r="T4" s="7">
        <v>0.75</v>
      </c>
      <c r="U4" s="12">
        <v>52.260000000000005</v>
      </c>
      <c r="V4" s="12">
        <v>52.260000000000005</v>
      </c>
      <c r="W4" s="7">
        <v>90</v>
      </c>
      <c r="X4" s="12">
        <v>0</v>
      </c>
      <c r="Y4" s="7" t="s">
        <v>39</v>
      </c>
      <c r="Z4" s="7">
        <v>3</v>
      </c>
      <c r="AA4" s="7">
        <v>1</v>
      </c>
      <c r="AB4" s="7"/>
      <c r="AC4" s="7"/>
      <c r="AD4" s="4" t="s">
        <v>1168</v>
      </c>
      <c r="AE4" s="4">
        <f>1/(20)</f>
        <v>0.05</v>
      </c>
      <c r="AF4" s="4"/>
      <c r="AG4" s="4"/>
      <c r="AH4" s="9" t="s">
        <v>40</v>
      </c>
      <c r="AI4" s="9" t="s">
        <v>41</v>
      </c>
      <c r="AJ4" s="9" t="s">
        <v>42</v>
      </c>
      <c r="AK4" s="9" t="s">
        <v>43</v>
      </c>
      <c r="AL4" s="10" t="s">
        <v>44</v>
      </c>
      <c r="AM4" s="10" t="s">
        <v>995</v>
      </c>
      <c r="AN4" s="10"/>
      <c r="AO4" s="10" t="s">
        <v>996</v>
      </c>
      <c r="AP4" s="10"/>
      <c r="AQ4" s="11" t="s">
        <v>45</v>
      </c>
      <c r="AR4" s="4"/>
      <c r="AS4" s="10" t="s">
        <v>856</v>
      </c>
      <c r="AT4" s="10" t="s">
        <v>857</v>
      </c>
      <c r="AU4" s="10" t="s">
        <v>1082</v>
      </c>
      <c r="AV4" s="10"/>
      <c r="AW4" s="10"/>
      <c r="AX4" s="10"/>
      <c r="AY4" s="10"/>
      <c r="AZ4" s="10"/>
      <c r="BA4" s="10"/>
      <c r="BB4" s="10"/>
      <c r="BC4" s="10" t="s">
        <v>37</v>
      </c>
      <c r="BD4" s="10" t="s">
        <v>38</v>
      </c>
    </row>
    <row r="5" spans="1:56" ht="221.4" customHeight="1" x14ac:dyDescent="0.35">
      <c r="A5" s="4" t="s">
        <v>988</v>
      </c>
      <c r="B5" s="4" t="s">
        <v>657</v>
      </c>
      <c r="C5" s="4" t="s">
        <v>46</v>
      </c>
      <c r="D5" s="4" t="s">
        <v>1160</v>
      </c>
      <c r="E5" s="5" t="s">
        <v>24</v>
      </c>
      <c r="F5" s="4" t="s">
        <v>48</v>
      </c>
      <c r="G5" s="4" t="s">
        <v>35</v>
      </c>
      <c r="H5" s="65" t="s">
        <v>1084</v>
      </c>
      <c r="I5" s="7" t="s">
        <v>1085</v>
      </c>
      <c r="J5" s="12">
        <v>23.787717801047119</v>
      </c>
      <c r="K5" s="7">
        <v>0.5</v>
      </c>
      <c r="L5" s="7" t="s">
        <v>1086</v>
      </c>
      <c r="M5" s="67">
        <v>7.8767277486910994E-2</v>
      </c>
      <c r="N5" s="7">
        <v>0.5</v>
      </c>
      <c r="O5" s="7" t="s">
        <v>49</v>
      </c>
      <c r="P5" s="12">
        <v>302.99146073298431</v>
      </c>
      <c r="Q5" s="7">
        <v>0.5</v>
      </c>
      <c r="R5" s="7" t="s">
        <v>50</v>
      </c>
      <c r="S5" s="8">
        <v>303.51657591623035</v>
      </c>
      <c r="T5" s="7">
        <v>0.5</v>
      </c>
      <c r="U5" s="12">
        <v>14.569977153141361</v>
      </c>
      <c r="V5" s="12">
        <v>14.569977153141361</v>
      </c>
      <c r="W5" s="7" t="s">
        <v>52</v>
      </c>
      <c r="X5" s="12">
        <v>3.72831780104712E-2</v>
      </c>
      <c r="Y5" s="7" t="s">
        <v>53</v>
      </c>
      <c r="Z5" s="7">
        <v>5</v>
      </c>
      <c r="AA5" s="7">
        <v>1</v>
      </c>
      <c r="AB5" s="7">
        <v>20000</v>
      </c>
      <c r="AC5" s="7">
        <v>0.5</v>
      </c>
      <c r="AD5" s="65" t="s">
        <v>54</v>
      </c>
      <c r="AE5" s="13">
        <f>207/9*Crew_Size/500*Mission_Duration</f>
        <v>110.39999999999999</v>
      </c>
      <c r="AF5" s="13"/>
      <c r="AG5" s="4">
        <v>0.5</v>
      </c>
      <c r="AH5" s="9" t="s">
        <v>55</v>
      </c>
      <c r="AI5" s="9" t="s">
        <v>56</v>
      </c>
      <c r="AJ5" s="9" t="s">
        <v>57</v>
      </c>
      <c r="AK5" s="9" t="s">
        <v>58</v>
      </c>
      <c r="AL5" s="10"/>
      <c r="AM5" s="10"/>
      <c r="AN5" s="10"/>
      <c r="AO5" s="10"/>
      <c r="AP5" s="10"/>
      <c r="AQ5" s="11" t="s">
        <v>59</v>
      </c>
      <c r="AR5" s="4" t="s">
        <v>60</v>
      </c>
      <c r="AS5" s="10" t="s">
        <v>861</v>
      </c>
      <c r="AT5" s="10"/>
      <c r="AU5" s="10"/>
      <c r="AV5" s="10" t="s">
        <v>860</v>
      </c>
      <c r="AW5" s="10"/>
      <c r="AX5" s="10"/>
      <c r="AY5" s="10"/>
      <c r="AZ5" s="10"/>
      <c r="BA5" s="10"/>
      <c r="BB5" s="10"/>
      <c r="BC5" s="10" t="s">
        <v>51</v>
      </c>
      <c r="BD5" s="10">
        <v>103.4</v>
      </c>
    </row>
    <row r="6" spans="1:56" ht="58" x14ac:dyDescent="0.35">
      <c r="A6" s="4" t="s">
        <v>61</v>
      </c>
      <c r="B6" s="4"/>
      <c r="C6" s="4" t="s">
        <v>22</v>
      </c>
      <c r="D6" s="4" t="s">
        <v>62</v>
      </c>
      <c r="E6" s="5" t="s">
        <v>34</v>
      </c>
      <c r="F6" s="6"/>
      <c r="G6" s="4" t="s">
        <v>26</v>
      </c>
      <c r="H6" s="4" t="s">
        <v>63</v>
      </c>
      <c r="I6" s="7"/>
      <c r="J6" s="7"/>
      <c r="K6" s="7"/>
      <c r="L6" s="7"/>
      <c r="M6" s="67"/>
      <c r="N6" s="7"/>
      <c r="O6" s="7"/>
      <c r="P6" s="7"/>
      <c r="Q6" s="7"/>
      <c r="R6" s="7"/>
      <c r="S6" s="7"/>
      <c r="T6" s="7"/>
      <c r="U6" s="12"/>
      <c r="V6" s="12"/>
      <c r="W6" s="7"/>
      <c r="X6" s="12"/>
      <c r="Y6" s="7"/>
      <c r="Z6" s="7"/>
      <c r="AA6" s="7"/>
      <c r="AB6" s="7"/>
      <c r="AC6" s="7"/>
      <c r="AD6" s="4"/>
      <c r="AE6" s="4"/>
      <c r="AF6" s="4"/>
      <c r="AG6" s="4"/>
      <c r="AH6" s="9"/>
      <c r="AI6" s="9" t="s">
        <v>64</v>
      </c>
      <c r="AJ6" s="9"/>
      <c r="AK6" s="9" t="s">
        <v>30</v>
      </c>
      <c r="AL6" s="10"/>
      <c r="AM6" s="10"/>
      <c r="AN6" s="10"/>
      <c r="AO6" s="10"/>
      <c r="AP6" s="10"/>
      <c r="AQ6" s="11">
        <v>1</v>
      </c>
      <c r="AR6" s="4"/>
      <c r="AS6" s="10"/>
      <c r="AT6" s="10"/>
      <c r="AU6" s="10" t="s">
        <v>857</v>
      </c>
      <c r="AV6" s="10"/>
      <c r="AW6" s="10"/>
      <c r="AX6" s="10"/>
      <c r="AY6" s="10"/>
      <c r="AZ6" s="10"/>
      <c r="BA6" s="10"/>
      <c r="BB6" s="10"/>
      <c r="BC6" s="10"/>
      <c r="BD6" s="10"/>
    </row>
    <row r="7" spans="1:56" ht="29" x14ac:dyDescent="0.35">
      <c r="A7" s="4" t="s">
        <v>65</v>
      </c>
      <c r="B7" s="4"/>
      <c r="C7" s="4" t="s">
        <v>66</v>
      </c>
      <c r="D7" s="4" t="s">
        <v>23</v>
      </c>
      <c r="E7" s="5" t="s">
        <v>34</v>
      </c>
      <c r="F7" s="6"/>
      <c r="G7" s="4" t="s">
        <v>67</v>
      </c>
      <c r="H7" s="4" t="s">
        <v>1118</v>
      </c>
      <c r="I7" s="7">
        <v>119.4</v>
      </c>
      <c r="J7" s="7">
        <v>119.4</v>
      </c>
      <c r="K7" s="7">
        <v>0.75</v>
      </c>
      <c r="L7" s="7">
        <v>0.26</v>
      </c>
      <c r="M7" s="67">
        <v>0.26</v>
      </c>
      <c r="N7" s="7">
        <v>0.75</v>
      </c>
      <c r="O7" s="7">
        <v>70.5</v>
      </c>
      <c r="P7" s="7">
        <v>70.5</v>
      </c>
      <c r="Q7" s="7">
        <v>0.75</v>
      </c>
      <c r="R7" s="7">
        <v>70.5</v>
      </c>
      <c r="S7" s="7">
        <v>70.5</v>
      </c>
      <c r="T7" s="7">
        <v>0.75</v>
      </c>
      <c r="U7" s="12"/>
      <c r="V7" s="12"/>
      <c r="W7" s="7"/>
      <c r="X7" s="12"/>
      <c r="Y7" s="7"/>
      <c r="Z7" s="7"/>
      <c r="AA7" s="7"/>
      <c r="AB7" s="7"/>
      <c r="AC7" s="7"/>
      <c r="AD7" s="4"/>
      <c r="AE7" s="4"/>
      <c r="AF7" s="4"/>
      <c r="AG7" s="4"/>
      <c r="AH7" s="9"/>
      <c r="AI7" s="9"/>
      <c r="AJ7" s="9"/>
      <c r="AK7" s="9" t="s">
        <v>30</v>
      </c>
      <c r="AL7" s="10"/>
      <c r="AM7" s="10"/>
      <c r="AN7" s="10"/>
      <c r="AO7" s="10"/>
      <c r="AP7" s="10"/>
      <c r="AQ7" s="11">
        <v>14</v>
      </c>
      <c r="AR7" s="4" t="s">
        <v>32</v>
      </c>
      <c r="AS7" s="10" t="s">
        <v>68</v>
      </c>
      <c r="AT7" s="10"/>
      <c r="AU7" s="10"/>
      <c r="AV7" s="10"/>
      <c r="AW7" s="10"/>
      <c r="AX7" s="10"/>
      <c r="AY7" s="10"/>
      <c r="AZ7" s="10"/>
      <c r="BA7" s="10"/>
      <c r="BB7" s="10"/>
      <c r="BC7" s="10"/>
      <c r="BD7" s="10"/>
    </row>
    <row r="8" spans="1:56" ht="58" x14ac:dyDescent="0.35">
      <c r="A8" s="4" t="s">
        <v>69</v>
      </c>
      <c r="B8" s="4" t="s">
        <v>1471</v>
      </c>
      <c r="C8" s="4" t="s">
        <v>70</v>
      </c>
      <c r="D8" s="4" t="s">
        <v>23</v>
      </c>
      <c r="E8" s="5" t="s">
        <v>34</v>
      </c>
      <c r="F8" s="6"/>
      <c r="G8" s="4" t="s">
        <v>35</v>
      </c>
      <c r="H8" s="4" t="s">
        <v>1179</v>
      </c>
      <c r="I8" s="7" t="s">
        <v>717</v>
      </c>
      <c r="J8" s="7">
        <v>12.519</v>
      </c>
      <c r="K8" s="7">
        <v>1</v>
      </c>
      <c r="L8" s="7" t="s">
        <v>718</v>
      </c>
      <c r="M8" s="67">
        <v>0.03</v>
      </c>
      <c r="N8" s="7">
        <v>1</v>
      </c>
      <c r="O8" s="7" t="s">
        <v>71</v>
      </c>
      <c r="P8" s="7">
        <v>175</v>
      </c>
      <c r="Q8" s="7">
        <v>1</v>
      </c>
      <c r="R8" s="7" t="s">
        <v>72</v>
      </c>
      <c r="S8" s="7">
        <v>175</v>
      </c>
      <c r="T8" s="7">
        <v>1</v>
      </c>
      <c r="U8" s="12">
        <v>7.7617799999999999</v>
      </c>
      <c r="V8" s="12">
        <v>7.7617799999999999</v>
      </c>
      <c r="W8" s="7"/>
      <c r="X8" s="12"/>
      <c r="Y8" s="7"/>
      <c r="Z8" s="7"/>
      <c r="AA8" s="7"/>
      <c r="AB8" s="7"/>
      <c r="AC8" s="7"/>
      <c r="AD8" s="4"/>
      <c r="AE8" s="4"/>
      <c r="AF8" s="4"/>
      <c r="AG8" s="4"/>
      <c r="AH8" s="9"/>
      <c r="AI8" s="9"/>
      <c r="AJ8" s="9"/>
      <c r="AK8" s="9" t="s">
        <v>30</v>
      </c>
      <c r="AL8" s="10"/>
      <c r="AM8" s="10"/>
      <c r="AN8" s="10"/>
      <c r="AO8" s="10"/>
      <c r="AP8" s="10"/>
      <c r="AQ8" s="11" t="s">
        <v>73</v>
      </c>
      <c r="AR8" s="4" t="s">
        <v>32</v>
      </c>
      <c r="AS8" s="10" t="s">
        <v>862</v>
      </c>
      <c r="AT8" s="10" t="s">
        <v>863</v>
      </c>
      <c r="AU8" s="10"/>
      <c r="AV8" s="10"/>
      <c r="AW8" s="10"/>
      <c r="AX8" s="10"/>
      <c r="AY8" s="10"/>
      <c r="AZ8" s="10"/>
      <c r="BA8" s="10"/>
      <c r="BB8" s="10"/>
      <c r="BC8" s="10"/>
      <c r="BD8" s="10"/>
    </row>
    <row r="9" spans="1:56" ht="246.5" x14ac:dyDescent="0.35">
      <c r="A9" s="4" t="s">
        <v>74</v>
      </c>
      <c r="B9" s="4" t="s">
        <v>1472</v>
      </c>
      <c r="C9" s="4" t="s">
        <v>70</v>
      </c>
      <c r="D9" s="4" t="s">
        <v>23</v>
      </c>
      <c r="E9" s="5" t="s">
        <v>24</v>
      </c>
      <c r="F9" s="6"/>
      <c r="G9" s="4" t="s">
        <v>35</v>
      </c>
      <c r="H9" s="65" t="s">
        <v>75</v>
      </c>
      <c r="I9" s="7">
        <v>26.36</v>
      </c>
      <c r="J9" s="7">
        <v>26.36</v>
      </c>
      <c r="K9" s="7">
        <v>0.75</v>
      </c>
      <c r="L9" s="7">
        <v>1.8780999999999999E-2</v>
      </c>
      <c r="M9" s="67">
        <v>1.8780999999999999E-2</v>
      </c>
      <c r="N9" s="7">
        <v>0.75</v>
      </c>
      <c r="O9" s="7">
        <v>0</v>
      </c>
      <c r="P9" s="7">
        <v>0</v>
      </c>
      <c r="Q9" s="7">
        <v>1</v>
      </c>
      <c r="R9" s="7">
        <v>0</v>
      </c>
      <c r="S9" s="7">
        <v>0</v>
      </c>
      <c r="T9" s="7">
        <v>1</v>
      </c>
      <c r="U9" s="12">
        <v>16.3432</v>
      </c>
      <c r="V9" s="12">
        <v>16.3432</v>
      </c>
      <c r="W9" s="7">
        <v>99.97</v>
      </c>
      <c r="X9" s="12"/>
      <c r="Y9" s="7" t="s">
        <v>76</v>
      </c>
      <c r="Z9" s="7">
        <v>9</v>
      </c>
      <c r="AA9" s="7">
        <v>1</v>
      </c>
      <c r="AB9" s="7">
        <f>2*10^8</f>
        <v>200000000</v>
      </c>
      <c r="AC9" s="7">
        <v>0.75</v>
      </c>
      <c r="AD9" s="65" t="s">
        <v>77</v>
      </c>
      <c r="AE9" s="13">
        <f>1/(2*365)+2*Mission_Duration/7</f>
        <v>171.42994129158512</v>
      </c>
      <c r="AF9" s="13"/>
      <c r="AG9" s="4">
        <v>0.75</v>
      </c>
      <c r="AH9" s="9" t="s">
        <v>28</v>
      </c>
      <c r="AI9" s="9"/>
      <c r="AJ9" s="9" t="s">
        <v>78</v>
      </c>
      <c r="AK9" s="9" t="s">
        <v>30</v>
      </c>
      <c r="AL9" s="10"/>
      <c r="AM9" s="10"/>
      <c r="AN9" s="10"/>
      <c r="AO9" s="10"/>
      <c r="AP9" s="10"/>
      <c r="AQ9" s="11" t="s">
        <v>79</v>
      </c>
      <c r="AR9" s="4" t="s">
        <v>80</v>
      </c>
      <c r="AS9" s="10" t="s">
        <v>946</v>
      </c>
      <c r="AT9" s="10" t="s">
        <v>947</v>
      </c>
      <c r="AU9" s="10" t="s">
        <v>871</v>
      </c>
      <c r="AV9" s="10" t="s">
        <v>956</v>
      </c>
      <c r="AW9" s="10"/>
      <c r="AX9" s="10"/>
      <c r="AY9" s="10"/>
      <c r="AZ9" s="10"/>
      <c r="BA9" s="10"/>
      <c r="BB9" s="10"/>
      <c r="BC9" s="10">
        <v>293</v>
      </c>
      <c r="BD9" s="10">
        <v>101</v>
      </c>
    </row>
    <row r="10" spans="1:56" ht="29" x14ac:dyDescent="0.35">
      <c r="A10" s="4" t="s">
        <v>81</v>
      </c>
      <c r="B10" s="4"/>
      <c r="C10" s="4" t="s">
        <v>22</v>
      </c>
      <c r="D10" s="4" t="s">
        <v>23</v>
      </c>
      <c r="E10" s="5" t="s">
        <v>34</v>
      </c>
      <c r="F10" s="6" t="s">
        <v>25</v>
      </c>
      <c r="G10" s="6" t="s">
        <v>26</v>
      </c>
      <c r="H10" s="4" t="s">
        <v>1087</v>
      </c>
      <c r="I10" s="7">
        <v>2.9392</v>
      </c>
      <c r="J10" s="7">
        <v>2.9392</v>
      </c>
      <c r="K10" s="7">
        <v>0.75</v>
      </c>
      <c r="L10" s="7">
        <v>5.8989999999999997E-3</v>
      </c>
      <c r="M10" s="67">
        <v>5.8989999999999997E-3</v>
      </c>
      <c r="N10" s="7">
        <v>0.75</v>
      </c>
      <c r="O10" s="7"/>
      <c r="P10" s="7">
        <v>0</v>
      </c>
      <c r="Q10" s="7">
        <v>0.5</v>
      </c>
      <c r="R10" s="7">
        <v>34.5</v>
      </c>
      <c r="S10" s="7">
        <v>34.5</v>
      </c>
      <c r="T10" s="7">
        <v>0.75</v>
      </c>
      <c r="U10" s="12"/>
      <c r="V10" s="12"/>
      <c r="W10" s="7"/>
      <c r="X10" s="12"/>
      <c r="Y10" s="7">
        <v>8</v>
      </c>
      <c r="Z10" s="7">
        <v>8</v>
      </c>
      <c r="AA10" s="7">
        <v>0.75</v>
      </c>
      <c r="AB10" s="7">
        <v>121500</v>
      </c>
      <c r="AC10" s="7">
        <v>0.75</v>
      </c>
      <c r="AD10" s="4"/>
      <c r="AE10" s="4"/>
      <c r="AF10" s="4"/>
      <c r="AG10" s="4"/>
      <c r="AH10" s="9"/>
      <c r="AI10" s="9"/>
      <c r="AJ10" s="9"/>
      <c r="AK10" s="9" t="s">
        <v>30</v>
      </c>
      <c r="AL10" s="10"/>
      <c r="AM10" s="10"/>
      <c r="AN10" s="10"/>
      <c r="AO10" s="10"/>
      <c r="AP10" s="10"/>
      <c r="AQ10" s="11">
        <v>10</v>
      </c>
      <c r="AR10" s="4" t="s">
        <v>32</v>
      </c>
      <c r="AS10" s="10"/>
      <c r="AT10" s="10"/>
      <c r="AU10" s="10"/>
      <c r="AV10" s="10"/>
      <c r="AW10" s="10"/>
      <c r="AX10" s="10"/>
      <c r="AY10" s="10"/>
      <c r="AZ10" s="10"/>
      <c r="BA10" s="10"/>
      <c r="BB10" s="10"/>
      <c r="BC10" s="10"/>
      <c r="BD10" s="10"/>
    </row>
    <row r="11" spans="1:56" ht="203" x14ac:dyDescent="0.35">
      <c r="A11" s="4" t="s">
        <v>82</v>
      </c>
      <c r="B11" s="4" t="s">
        <v>672</v>
      </c>
      <c r="C11" s="4" t="s">
        <v>22</v>
      </c>
      <c r="D11" s="4" t="s">
        <v>116</v>
      </c>
      <c r="E11" s="5" t="s">
        <v>34</v>
      </c>
      <c r="F11" s="4"/>
      <c r="G11" s="6" t="s">
        <v>35</v>
      </c>
      <c r="H11" s="65" t="s">
        <v>83</v>
      </c>
      <c r="I11" s="7" t="s">
        <v>719</v>
      </c>
      <c r="J11" s="12">
        <v>56.768591249999993</v>
      </c>
      <c r="K11" s="7">
        <v>0.75</v>
      </c>
      <c r="L11" s="7" t="s">
        <v>720</v>
      </c>
      <c r="M11" s="67">
        <v>8.741249999999999E-2</v>
      </c>
      <c r="N11" s="7">
        <v>0.75</v>
      </c>
      <c r="O11" s="7" t="s">
        <v>1273</v>
      </c>
      <c r="P11" s="8">
        <v>91.200374999999994</v>
      </c>
      <c r="Q11" s="7">
        <v>1</v>
      </c>
      <c r="R11" s="7" t="s">
        <v>84</v>
      </c>
      <c r="S11" s="8">
        <v>276.80624999999998</v>
      </c>
      <c r="T11" s="7">
        <v>0.5</v>
      </c>
      <c r="U11" s="12">
        <v>45.641947364999993</v>
      </c>
      <c r="V11" s="12">
        <v>45.641947364999993</v>
      </c>
      <c r="W11" s="7">
        <v>100</v>
      </c>
      <c r="X11" s="12">
        <v>0</v>
      </c>
      <c r="Y11" s="7" t="s">
        <v>86</v>
      </c>
      <c r="Z11" s="7">
        <v>6</v>
      </c>
      <c r="AA11" s="7">
        <v>0.75</v>
      </c>
      <c r="AB11" s="7">
        <f>10^5</f>
        <v>100000</v>
      </c>
      <c r="AC11" s="7">
        <v>0.75</v>
      </c>
      <c r="AD11" s="4" t="s">
        <v>87</v>
      </c>
      <c r="AE11" s="13">
        <f>Mission_Duration*Crew_Size/20*8/60</f>
        <v>16</v>
      </c>
      <c r="AF11" s="13"/>
      <c r="AG11" s="4">
        <v>0.25</v>
      </c>
      <c r="AH11" s="9" t="s">
        <v>88</v>
      </c>
      <c r="AI11" s="9" t="s">
        <v>89</v>
      </c>
      <c r="AJ11" s="9" t="s">
        <v>90</v>
      </c>
      <c r="AK11" s="9" t="s">
        <v>91</v>
      </c>
      <c r="AL11" s="10" t="s">
        <v>92</v>
      </c>
      <c r="AM11" s="10" t="s">
        <v>93</v>
      </c>
      <c r="AN11" s="10" t="s">
        <v>94</v>
      </c>
      <c r="AO11" s="10" t="s">
        <v>95</v>
      </c>
      <c r="AP11" s="10" t="s">
        <v>96</v>
      </c>
      <c r="AQ11" s="11" t="s">
        <v>97</v>
      </c>
      <c r="AR11" s="4" t="s">
        <v>98</v>
      </c>
      <c r="AS11" s="10"/>
      <c r="AT11" s="10" t="s">
        <v>856</v>
      </c>
      <c r="AU11" s="10" t="s">
        <v>1082</v>
      </c>
      <c r="AV11" s="10"/>
      <c r="AW11" s="10"/>
      <c r="AX11" s="10"/>
      <c r="AY11" s="10"/>
      <c r="AZ11" s="10"/>
      <c r="BA11" s="10"/>
      <c r="BB11" s="10"/>
      <c r="BC11" s="10" t="s">
        <v>85</v>
      </c>
      <c r="BD11" s="10">
        <v>130</v>
      </c>
    </row>
    <row r="12" spans="1:56" ht="29" customHeight="1" x14ac:dyDescent="0.35">
      <c r="A12" s="4" t="s">
        <v>99</v>
      </c>
      <c r="B12" s="4"/>
      <c r="C12" s="4" t="s">
        <v>70</v>
      </c>
      <c r="D12" s="4" t="s">
        <v>23</v>
      </c>
      <c r="E12" s="5" t="s">
        <v>34</v>
      </c>
      <c r="F12" s="6"/>
      <c r="G12" s="4" t="s">
        <v>26</v>
      </c>
      <c r="H12" s="4" t="s">
        <v>1088</v>
      </c>
      <c r="I12" s="12">
        <v>0.82</v>
      </c>
      <c r="J12" s="12">
        <v>0.82</v>
      </c>
      <c r="K12" s="12">
        <v>0.75</v>
      </c>
      <c r="L12" s="12">
        <v>3.398E-3</v>
      </c>
      <c r="M12" s="67">
        <f>technologies[[#This Row],[Volume
Literature]]</f>
        <v>3.398E-3</v>
      </c>
      <c r="N12" s="12">
        <v>0.75</v>
      </c>
      <c r="O12" s="7"/>
      <c r="P12" s="7"/>
      <c r="Q12" s="7"/>
      <c r="R12" s="7"/>
      <c r="S12" s="7"/>
      <c r="T12" s="7"/>
      <c r="U12" s="12"/>
      <c r="V12" s="12"/>
      <c r="W12" s="7"/>
      <c r="X12" s="12"/>
      <c r="Y12" s="7"/>
      <c r="Z12" s="7"/>
      <c r="AA12" s="7"/>
      <c r="AB12" s="7"/>
      <c r="AC12" s="7"/>
      <c r="AD12" s="4"/>
      <c r="AE12" s="4"/>
      <c r="AF12" s="4"/>
      <c r="AG12" s="4"/>
      <c r="AH12" s="9"/>
      <c r="AI12" s="9"/>
      <c r="AJ12" s="9"/>
      <c r="AK12" s="9" t="s">
        <v>30</v>
      </c>
      <c r="AL12" s="10"/>
      <c r="AM12" s="10"/>
      <c r="AN12" s="10"/>
      <c r="AO12" s="10"/>
      <c r="AP12" s="10"/>
      <c r="AQ12" s="11">
        <v>10</v>
      </c>
      <c r="AR12" s="4" t="s">
        <v>32</v>
      </c>
      <c r="AS12" s="10" t="s">
        <v>866</v>
      </c>
      <c r="AT12" s="10" t="s">
        <v>961</v>
      </c>
      <c r="AU12" s="10"/>
      <c r="AV12" s="10"/>
      <c r="AW12" s="10"/>
      <c r="AX12" s="10"/>
      <c r="AY12" s="10"/>
      <c r="AZ12" s="10"/>
      <c r="BA12" s="10"/>
      <c r="BB12" s="10"/>
      <c r="BC12" s="10"/>
      <c r="BD12" s="10"/>
    </row>
    <row r="13" spans="1:56" ht="27" customHeight="1" x14ac:dyDescent="0.35">
      <c r="A13" s="4" t="s">
        <v>100</v>
      </c>
      <c r="B13" s="4"/>
      <c r="C13" s="4" t="s">
        <v>66</v>
      </c>
      <c r="D13" s="4" t="s">
        <v>101</v>
      </c>
      <c r="E13" s="5" t="s">
        <v>34</v>
      </c>
      <c r="F13" s="4" t="s">
        <v>102</v>
      </c>
      <c r="G13" s="4" t="s">
        <v>26</v>
      </c>
      <c r="H13" s="4"/>
      <c r="I13" s="12">
        <v>0.33160000000000001</v>
      </c>
      <c r="J13" s="12">
        <v>0.33160000000000001</v>
      </c>
      <c r="K13" s="12">
        <v>0.75</v>
      </c>
      <c r="L13" s="12">
        <v>3.6900000000000002E-4</v>
      </c>
      <c r="M13" s="67"/>
      <c r="N13" s="12"/>
      <c r="O13" s="7"/>
      <c r="P13" s="7"/>
      <c r="Q13" s="7"/>
      <c r="R13" s="7"/>
      <c r="S13" s="7"/>
      <c r="T13" s="7"/>
      <c r="U13" s="12"/>
      <c r="V13" s="12"/>
      <c r="W13" s="7"/>
      <c r="X13" s="12"/>
      <c r="Y13" s="7"/>
      <c r="Z13" s="7"/>
      <c r="AA13" s="7"/>
      <c r="AB13" s="7"/>
      <c r="AC13" s="7"/>
      <c r="AD13" s="4"/>
      <c r="AE13" s="4"/>
      <c r="AF13" s="4"/>
      <c r="AG13" s="4"/>
      <c r="AH13" s="9"/>
      <c r="AI13" s="9"/>
      <c r="AJ13" s="9"/>
      <c r="AK13" s="9" t="s">
        <v>30</v>
      </c>
      <c r="AL13" s="10"/>
      <c r="AM13" s="10"/>
      <c r="AN13" s="10"/>
      <c r="AO13" s="10"/>
      <c r="AP13" s="10"/>
      <c r="AQ13" s="11">
        <v>11</v>
      </c>
      <c r="AR13" s="4" t="s">
        <v>103</v>
      </c>
      <c r="AS13" s="10" t="s">
        <v>953</v>
      </c>
      <c r="AT13" s="10"/>
      <c r="AU13" s="10"/>
      <c r="AV13" s="10"/>
      <c r="AW13" s="10"/>
      <c r="AX13" s="10"/>
      <c r="AY13" s="10"/>
      <c r="AZ13" s="10"/>
      <c r="BA13" s="10"/>
      <c r="BB13" s="10"/>
      <c r="BC13" s="10"/>
      <c r="BD13" s="10"/>
    </row>
    <row r="14" spans="1:56" ht="217.5" x14ac:dyDescent="0.35">
      <c r="A14" s="4" t="s">
        <v>993</v>
      </c>
      <c r="B14" s="4" t="s">
        <v>1276</v>
      </c>
      <c r="C14" s="4" t="s">
        <v>22</v>
      </c>
      <c r="D14" s="4" t="s">
        <v>33</v>
      </c>
      <c r="E14" s="5" t="s">
        <v>24</v>
      </c>
      <c r="F14" s="4"/>
      <c r="G14" s="4" t="s">
        <v>35</v>
      </c>
      <c r="H14" s="65" t="s">
        <v>1089</v>
      </c>
      <c r="I14" s="12" t="s">
        <v>721</v>
      </c>
      <c r="J14" s="12">
        <v>77.66</v>
      </c>
      <c r="K14" s="12">
        <v>0.5</v>
      </c>
      <c r="L14" s="12" t="s">
        <v>722</v>
      </c>
      <c r="M14" s="67">
        <v>0.3</v>
      </c>
      <c r="N14" s="12">
        <v>0.5</v>
      </c>
      <c r="O14" s="7"/>
      <c r="P14" s="7">
        <v>12</v>
      </c>
      <c r="Q14" s="7">
        <v>0.25</v>
      </c>
      <c r="R14" s="7" t="s">
        <v>1267</v>
      </c>
      <c r="S14" s="7">
        <v>12</v>
      </c>
      <c r="T14" s="7">
        <v>0.5</v>
      </c>
      <c r="U14" s="12">
        <v>63.991840000000003</v>
      </c>
      <c r="V14" s="12">
        <v>63.991840000000003</v>
      </c>
      <c r="W14" s="7">
        <v>41</v>
      </c>
      <c r="X14" s="12">
        <v>0</v>
      </c>
      <c r="Y14" s="7">
        <v>7</v>
      </c>
      <c r="Z14" s="7">
        <v>9</v>
      </c>
      <c r="AA14" s="7">
        <v>1</v>
      </c>
      <c r="AB14" s="7">
        <v>100000</v>
      </c>
      <c r="AC14" s="7">
        <v>0.25</v>
      </c>
      <c r="AD14" s="4">
        <v>0</v>
      </c>
      <c r="AE14" s="4">
        <v>0</v>
      </c>
      <c r="AF14" s="4"/>
      <c r="AG14" s="4">
        <v>0.5</v>
      </c>
      <c r="AH14" s="9"/>
      <c r="AI14" s="9" t="s">
        <v>1130</v>
      </c>
      <c r="AJ14" s="9"/>
      <c r="AK14" s="9" t="s">
        <v>104</v>
      </c>
      <c r="AL14" s="10"/>
      <c r="AM14" s="10"/>
      <c r="AN14" s="10"/>
      <c r="AO14" s="10"/>
      <c r="AP14" s="10"/>
      <c r="AQ14" s="11" t="s">
        <v>105</v>
      </c>
      <c r="AR14" s="4"/>
      <c r="AS14" s="10" t="s">
        <v>905</v>
      </c>
      <c r="AT14" s="10"/>
      <c r="AU14" s="10" t="s">
        <v>948</v>
      </c>
      <c r="AV14" s="10" t="s">
        <v>903</v>
      </c>
      <c r="AW14" s="10" t="s">
        <v>1081</v>
      </c>
      <c r="AX14" s="10"/>
      <c r="AY14" s="10"/>
      <c r="AZ14" s="10"/>
      <c r="BA14" s="10"/>
      <c r="BB14" s="10"/>
      <c r="BC14" s="10">
        <f>26.8+263.15</f>
        <v>289.95</v>
      </c>
      <c r="BD14" s="10"/>
    </row>
    <row r="15" spans="1:56" ht="43.5" x14ac:dyDescent="0.35">
      <c r="A15" s="4" t="s">
        <v>106</v>
      </c>
      <c r="B15" s="4" t="s">
        <v>1624</v>
      </c>
      <c r="C15" s="4" t="s">
        <v>22</v>
      </c>
      <c r="D15" s="4" t="s">
        <v>23</v>
      </c>
      <c r="E15" s="5" t="s">
        <v>24</v>
      </c>
      <c r="F15" s="4" t="s">
        <v>25</v>
      </c>
      <c r="G15" s="4" t="s">
        <v>35</v>
      </c>
      <c r="H15" s="4" t="s">
        <v>1202</v>
      </c>
      <c r="I15" s="12">
        <v>11.05</v>
      </c>
      <c r="J15" s="12">
        <v>11.05</v>
      </c>
      <c r="K15" s="12">
        <v>0.75</v>
      </c>
      <c r="L15" s="12">
        <v>4.7289999999999997E-3</v>
      </c>
      <c r="M15" s="67">
        <f>technologies[[#This Row],[Volume
Literature]]</f>
        <v>4.7289999999999997E-3</v>
      </c>
      <c r="N15" s="12">
        <v>0.75</v>
      </c>
      <c r="O15" s="7"/>
      <c r="P15" s="7">
        <v>0</v>
      </c>
      <c r="Q15" s="7">
        <v>0.5</v>
      </c>
      <c r="R15" s="7">
        <v>0</v>
      </c>
      <c r="S15" s="7">
        <v>0</v>
      </c>
      <c r="T15" s="7">
        <v>0.75</v>
      </c>
      <c r="U15" s="12">
        <v>6.851</v>
      </c>
      <c r="V15" s="12">
        <v>6.851</v>
      </c>
      <c r="W15" s="7"/>
      <c r="X15" s="12"/>
      <c r="Y15" s="7"/>
      <c r="Z15" s="7"/>
      <c r="AA15" s="7"/>
      <c r="AB15" s="8">
        <f>1/(1.12*10^-5)</f>
        <v>89285.714285714275</v>
      </c>
      <c r="AC15" s="12">
        <v>0.75</v>
      </c>
      <c r="AD15" s="4"/>
      <c r="AE15" s="4"/>
      <c r="AF15" s="4"/>
      <c r="AG15" s="4"/>
      <c r="AH15" s="9"/>
      <c r="AI15" s="9"/>
      <c r="AJ15" s="9"/>
      <c r="AK15" s="9" t="s">
        <v>30</v>
      </c>
      <c r="AL15" s="10"/>
      <c r="AM15" s="10"/>
      <c r="AN15" s="10"/>
      <c r="AO15" s="10"/>
      <c r="AP15" s="10"/>
      <c r="AQ15" s="11" t="s">
        <v>107</v>
      </c>
      <c r="AR15" s="4" t="s">
        <v>108</v>
      </c>
      <c r="AS15" s="10" t="s">
        <v>855</v>
      </c>
      <c r="AT15" s="10"/>
      <c r="AU15" s="10"/>
      <c r="AV15" s="10"/>
      <c r="AW15" s="10"/>
      <c r="AX15" s="10"/>
      <c r="AY15" s="10"/>
      <c r="AZ15" s="10"/>
      <c r="BA15" s="10"/>
      <c r="BB15" s="10"/>
      <c r="BC15" s="10"/>
      <c r="BD15" s="10"/>
    </row>
    <row r="16" spans="1:56" ht="116" x14ac:dyDescent="0.35">
      <c r="A16" s="4" t="s">
        <v>109</v>
      </c>
      <c r="B16" s="4" t="s">
        <v>1473</v>
      </c>
      <c r="C16" s="4" t="s">
        <v>22</v>
      </c>
      <c r="D16" s="4" t="s">
        <v>23</v>
      </c>
      <c r="E16" s="5" t="s">
        <v>24</v>
      </c>
      <c r="F16" s="4" t="s">
        <v>25</v>
      </c>
      <c r="G16" s="4" t="s">
        <v>35</v>
      </c>
      <c r="H16" s="65" t="s">
        <v>997</v>
      </c>
      <c r="I16" s="12">
        <v>11.0449</v>
      </c>
      <c r="J16" s="12">
        <v>11.0449</v>
      </c>
      <c r="K16" s="12">
        <v>0.75</v>
      </c>
      <c r="L16" s="12">
        <v>2.4312E-2</v>
      </c>
      <c r="M16" s="67">
        <v>2.4312E-2</v>
      </c>
      <c r="N16" s="12">
        <v>0.75</v>
      </c>
      <c r="O16" s="7" t="s">
        <v>110</v>
      </c>
      <c r="P16" s="7">
        <v>0</v>
      </c>
      <c r="Q16" s="7">
        <v>0.75</v>
      </c>
      <c r="R16" s="7">
        <v>120.96</v>
      </c>
      <c r="S16" s="7">
        <v>120.96</v>
      </c>
      <c r="T16" s="7">
        <v>0.75</v>
      </c>
      <c r="U16" s="12">
        <v>6.8478380000000003</v>
      </c>
      <c r="V16" s="12">
        <v>6.8478380000000003</v>
      </c>
      <c r="W16" s="7">
        <v>100</v>
      </c>
      <c r="X16" s="12"/>
      <c r="Y16" s="7"/>
      <c r="Z16" s="7"/>
      <c r="AA16" s="7"/>
      <c r="AB16" s="7">
        <v>89500</v>
      </c>
      <c r="AC16" s="7">
        <v>0.75</v>
      </c>
      <c r="AD16" s="65" t="s">
        <v>112</v>
      </c>
      <c r="AE16" s="13">
        <f>1/(365)</f>
        <v>2.7397260273972603E-3</v>
      </c>
      <c r="AF16" s="13"/>
      <c r="AG16" s="4"/>
      <c r="AH16" s="9" t="s">
        <v>113</v>
      </c>
      <c r="AI16" s="9"/>
      <c r="AJ16" s="9"/>
      <c r="AK16" s="9" t="s">
        <v>30</v>
      </c>
      <c r="AL16" s="10"/>
      <c r="AM16" s="10"/>
      <c r="AN16" s="10"/>
      <c r="AO16" s="10"/>
      <c r="AP16" s="10"/>
      <c r="AQ16" s="11" t="s">
        <v>114</v>
      </c>
      <c r="AR16" s="4" t="s">
        <v>32</v>
      </c>
      <c r="AS16" s="10" t="s">
        <v>855</v>
      </c>
      <c r="AT16" s="10"/>
      <c r="AU16" s="10"/>
      <c r="AV16" s="10"/>
      <c r="AW16" s="10"/>
      <c r="AX16" s="10"/>
      <c r="AY16" s="10"/>
      <c r="AZ16" s="10"/>
      <c r="BA16" s="10"/>
      <c r="BB16" s="10"/>
      <c r="BC16" s="10" t="s">
        <v>111</v>
      </c>
      <c r="BD16" s="10">
        <v>101</v>
      </c>
    </row>
    <row r="17" spans="1:56" ht="188.5" x14ac:dyDescent="0.35">
      <c r="A17" s="4" t="s">
        <v>115</v>
      </c>
      <c r="B17" s="4" t="s">
        <v>622</v>
      </c>
      <c r="C17" s="4" t="s">
        <v>22</v>
      </c>
      <c r="D17" s="4" t="s">
        <v>116</v>
      </c>
      <c r="E17" s="5" t="s">
        <v>34</v>
      </c>
      <c r="F17" s="4"/>
      <c r="G17" s="4" t="s">
        <v>35</v>
      </c>
      <c r="H17" s="65" t="s">
        <v>1047</v>
      </c>
      <c r="I17" s="7">
        <v>356</v>
      </c>
      <c r="J17" s="12">
        <v>14.211815625000003</v>
      </c>
      <c r="K17" s="7">
        <v>0.5</v>
      </c>
      <c r="L17" s="7">
        <v>0.28000000000000003</v>
      </c>
      <c r="M17" s="67">
        <v>8.8679347826086975E-3</v>
      </c>
      <c r="N17" s="7">
        <v>0.5</v>
      </c>
      <c r="O17" s="7">
        <v>3500</v>
      </c>
      <c r="P17" s="12">
        <v>110.84918478260872</v>
      </c>
      <c r="Q17" s="7">
        <v>0.5</v>
      </c>
      <c r="R17" s="7">
        <v>13300</v>
      </c>
      <c r="S17" s="8">
        <v>421.22690217391312</v>
      </c>
      <c r="T17" s="7">
        <v>0.5</v>
      </c>
      <c r="U17" s="12">
        <v>11.902395585937503</v>
      </c>
      <c r="V17" s="12">
        <v>11.902395585937503</v>
      </c>
      <c r="W17" s="7"/>
      <c r="X17" s="12">
        <v>0</v>
      </c>
      <c r="Y17" s="7">
        <v>5</v>
      </c>
      <c r="Z17" s="7">
        <v>5</v>
      </c>
      <c r="AA17" s="7">
        <v>1</v>
      </c>
      <c r="AB17" s="7"/>
      <c r="AC17" s="7"/>
      <c r="AD17" s="4"/>
      <c r="AE17" s="4"/>
      <c r="AF17" s="4"/>
      <c r="AG17" s="4"/>
      <c r="AH17" s="9" t="s">
        <v>118</v>
      </c>
      <c r="AI17" s="9" t="s">
        <v>119</v>
      </c>
      <c r="AJ17" s="9"/>
      <c r="AK17" s="9" t="s">
        <v>91</v>
      </c>
      <c r="AL17" s="10" t="s">
        <v>120</v>
      </c>
      <c r="AM17" s="10" t="s">
        <v>121</v>
      </c>
      <c r="AN17" s="10" t="s">
        <v>122</v>
      </c>
      <c r="AO17" s="10" t="s">
        <v>123</v>
      </c>
      <c r="AP17" s="10" t="s">
        <v>124</v>
      </c>
      <c r="AQ17" s="11" t="s">
        <v>125</v>
      </c>
      <c r="AR17" s="4" t="s">
        <v>126</v>
      </c>
      <c r="AS17" s="10" t="s">
        <v>1082</v>
      </c>
      <c r="AT17" s="10"/>
      <c r="AU17" s="10" t="s">
        <v>857</v>
      </c>
      <c r="AV17" s="10" t="s">
        <v>856</v>
      </c>
      <c r="AW17" s="10"/>
      <c r="AX17" s="10"/>
      <c r="AY17" s="10"/>
      <c r="AZ17" s="10"/>
      <c r="BA17" s="10"/>
      <c r="BB17" s="10"/>
      <c r="BC17" s="10" t="s">
        <v>117</v>
      </c>
      <c r="BD17" s="10"/>
    </row>
    <row r="18" spans="1:56" ht="159.5" x14ac:dyDescent="0.35">
      <c r="A18" s="4" t="s">
        <v>127</v>
      </c>
      <c r="B18" s="4" t="s">
        <v>552</v>
      </c>
      <c r="C18" s="4" t="s">
        <v>70</v>
      </c>
      <c r="D18" s="4" t="s">
        <v>23</v>
      </c>
      <c r="E18" s="5" t="s">
        <v>34</v>
      </c>
      <c r="F18" s="4" t="s">
        <v>128</v>
      </c>
      <c r="G18" s="65" t="s">
        <v>35</v>
      </c>
      <c r="H18" s="4" t="s">
        <v>1702</v>
      </c>
      <c r="I18" s="7" t="s">
        <v>723</v>
      </c>
      <c r="J18" s="12">
        <f>112/6</f>
        <v>18.666666666666668</v>
      </c>
      <c r="K18" s="7">
        <v>0.75</v>
      </c>
      <c r="L18" s="7" t="s">
        <v>724</v>
      </c>
      <c r="M18" s="67">
        <f>0.4/6</f>
        <v>6.6666666666666666E-2</v>
      </c>
      <c r="N18" s="7">
        <v>0.75</v>
      </c>
      <c r="O18" s="7" t="s">
        <v>826</v>
      </c>
      <c r="P18" s="8">
        <f>470/6</f>
        <v>78.333333333333329</v>
      </c>
      <c r="Q18" s="7">
        <v>0.5</v>
      </c>
      <c r="R18" s="7" t="s">
        <v>1178</v>
      </c>
      <c r="S18" s="8">
        <f>470/6</f>
        <v>78.333333333333329</v>
      </c>
      <c r="T18" s="7">
        <v>0.75</v>
      </c>
      <c r="U18" s="12">
        <v>24.78525511724138</v>
      </c>
      <c r="V18" s="12">
        <v>24.78525511724138</v>
      </c>
      <c r="W18" s="7">
        <f>1000</f>
        <v>1000</v>
      </c>
      <c r="X18" s="12">
        <v>1.8599999999999998E-2</v>
      </c>
      <c r="Y18" s="7" t="str">
        <f>Y128</f>
        <v>8
9</v>
      </c>
      <c r="Z18" s="7">
        <v>9</v>
      </c>
      <c r="AA18" s="7">
        <v>1</v>
      </c>
      <c r="AB18" s="8">
        <f>1/(1/832600+1/2350600+1/1136300+1/332900+1/32880+1/37594000+1/130800)</f>
        <v>22937.926397134179</v>
      </c>
      <c r="AC18" s="7">
        <v>0.75</v>
      </c>
      <c r="AD18" s="7" t="s">
        <v>1701</v>
      </c>
      <c r="AE18" s="4">
        <v>0</v>
      </c>
      <c r="AF18" s="4">
        <v>1.5</v>
      </c>
      <c r="AG18" s="4">
        <v>0.75</v>
      </c>
      <c r="AH18" s="9"/>
      <c r="AI18" s="9"/>
      <c r="AJ18" s="9"/>
      <c r="AK18" s="9" t="s">
        <v>30</v>
      </c>
      <c r="AL18" s="10"/>
      <c r="AM18" s="10"/>
      <c r="AN18" s="10"/>
      <c r="AO18" s="10"/>
      <c r="AP18" s="10"/>
      <c r="AQ18" s="11" t="s">
        <v>130</v>
      </c>
      <c r="AR18" s="4" t="s">
        <v>32</v>
      </c>
      <c r="AS18" s="10" t="s">
        <v>944</v>
      </c>
      <c r="AT18" s="10" t="s">
        <v>945</v>
      </c>
      <c r="AU18" s="10"/>
      <c r="AV18" s="10" t="s">
        <v>890</v>
      </c>
      <c r="AW18" s="10" t="s">
        <v>903</v>
      </c>
      <c r="AX18" s="10"/>
      <c r="AY18" s="10" t="s">
        <v>905</v>
      </c>
      <c r="AZ18" s="10"/>
      <c r="BA18" s="10"/>
      <c r="BB18" s="10"/>
      <c r="BC18" s="10"/>
      <c r="BD18" s="10"/>
    </row>
    <row r="19" spans="1:56" ht="101.5" x14ac:dyDescent="0.35">
      <c r="A19" s="4" t="s">
        <v>985</v>
      </c>
      <c r="B19" s="4" t="s">
        <v>1501</v>
      </c>
      <c r="C19" s="4" t="s">
        <v>66</v>
      </c>
      <c r="D19" s="4" t="s">
        <v>131</v>
      </c>
      <c r="E19" s="5" t="s">
        <v>24</v>
      </c>
      <c r="F19" s="6"/>
      <c r="G19" s="4" t="s">
        <v>35</v>
      </c>
      <c r="H19" s="65" t="s">
        <v>1170</v>
      </c>
      <c r="I19" s="12" t="s">
        <v>825</v>
      </c>
      <c r="J19" s="14">
        <v>90.065509139309626</v>
      </c>
      <c r="K19" s="7">
        <v>0.75</v>
      </c>
      <c r="L19" s="7"/>
      <c r="M19" s="67">
        <v>0.19149676631146648</v>
      </c>
      <c r="N19" s="7">
        <v>0.75</v>
      </c>
      <c r="O19" s="7"/>
      <c r="P19" s="7">
        <v>0</v>
      </c>
      <c r="Q19" s="7">
        <v>0.75</v>
      </c>
      <c r="R19" s="7">
        <v>16</v>
      </c>
      <c r="S19" s="7">
        <v>9</v>
      </c>
      <c r="T19" s="7">
        <v>0.75</v>
      </c>
      <c r="U19" s="12">
        <v>20</v>
      </c>
      <c r="V19" s="12">
        <v>20</v>
      </c>
      <c r="W19" s="7"/>
      <c r="X19" s="12">
        <v>179.49279778592958</v>
      </c>
      <c r="Y19" s="7">
        <v>8</v>
      </c>
      <c r="Z19" s="7">
        <v>9</v>
      </c>
      <c r="AA19" s="7">
        <v>0.75</v>
      </c>
      <c r="AB19" s="7">
        <v>81400</v>
      </c>
      <c r="AC19" s="7">
        <v>0.75</v>
      </c>
      <c r="AD19" s="4"/>
      <c r="AE19" s="4">
        <v>0</v>
      </c>
      <c r="AF19" s="4"/>
      <c r="AG19" s="4">
        <v>0.75</v>
      </c>
      <c r="AH19" s="9" t="s">
        <v>134</v>
      </c>
      <c r="AI19" s="9" t="s">
        <v>135</v>
      </c>
      <c r="AJ19" s="9" t="s">
        <v>136</v>
      </c>
      <c r="AK19" s="9" t="s">
        <v>30</v>
      </c>
      <c r="AL19" s="10"/>
      <c r="AM19" s="10"/>
      <c r="AN19" s="10"/>
      <c r="AO19" s="10"/>
      <c r="AP19" s="10"/>
      <c r="AQ19" s="11" t="s">
        <v>137</v>
      </c>
      <c r="AR19" s="4" t="s">
        <v>138</v>
      </c>
      <c r="AS19" s="10" t="s">
        <v>867</v>
      </c>
      <c r="AT19" s="10" t="s">
        <v>869</v>
      </c>
      <c r="AU19" s="10" t="s">
        <v>877</v>
      </c>
      <c r="AV19" s="10" t="s">
        <v>957</v>
      </c>
      <c r="AW19" s="10"/>
      <c r="AX19" s="10"/>
      <c r="AY19" s="10"/>
      <c r="AZ19" s="10"/>
      <c r="BA19" s="10"/>
      <c r="BB19" s="10"/>
      <c r="BC19" s="10" t="s">
        <v>132</v>
      </c>
      <c r="BD19" s="10" t="s">
        <v>133</v>
      </c>
    </row>
    <row r="20" spans="1:56" ht="116" x14ac:dyDescent="0.35">
      <c r="A20" s="4" t="s">
        <v>986</v>
      </c>
      <c r="B20" s="4"/>
      <c r="C20" s="4" t="s">
        <v>139</v>
      </c>
      <c r="D20" s="4" t="s">
        <v>23</v>
      </c>
      <c r="E20" s="5" t="s">
        <v>34</v>
      </c>
      <c r="F20" s="6"/>
      <c r="G20" s="4" t="s">
        <v>26</v>
      </c>
      <c r="H20" s="65" t="s">
        <v>140</v>
      </c>
      <c r="I20" s="7">
        <v>72.599999999999994</v>
      </c>
      <c r="J20" s="7"/>
      <c r="K20" s="7"/>
      <c r="L20" s="7">
        <v>0.56999999999999995</v>
      </c>
      <c r="M20" s="67"/>
      <c r="N20" s="7"/>
      <c r="O20" s="7"/>
      <c r="P20" s="7"/>
      <c r="Q20" s="7"/>
      <c r="R20" s="7">
        <v>388</v>
      </c>
      <c r="S20" s="7"/>
      <c r="T20" s="7"/>
      <c r="U20" s="12"/>
      <c r="V20" s="12"/>
      <c r="W20" s="7"/>
      <c r="X20" s="12"/>
      <c r="Y20" s="7">
        <v>4</v>
      </c>
      <c r="Z20" s="7"/>
      <c r="AA20" s="7"/>
      <c r="AB20" s="7"/>
      <c r="AC20" s="7"/>
      <c r="AD20" s="4"/>
      <c r="AE20" s="4"/>
      <c r="AF20" s="4"/>
      <c r="AG20" s="4"/>
      <c r="AH20" s="9" t="s">
        <v>142</v>
      </c>
      <c r="AI20" s="9" t="s">
        <v>143</v>
      </c>
      <c r="AJ20" s="9"/>
      <c r="AK20" s="9" t="s">
        <v>30</v>
      </c>
      <c r="AL20" s="10"/>
      <c r="AM20" s="10"/>
      <c r="AN20" s="10"/>
      <c r="AO20" s="10"/>
      <c r="AP20" s="10"/>
      <c r="AQ20" s="11" t="s">
        <v>144</v>
      </c>
      <c r="AR20" s="4"/>
      <c r="AS20" s="10" t="s">
        <v>879</v>
      </c>
      <c r="AT20" s="10"/>
      <c r="AU20" s="10"/>
      <c r="AV20" s="10"/>
      <c r="AW20" s="10"/>
      <c r="AX20" s="10"/>
      <c r="AY20" s="10"/>
      <c r="AZ20" s="10"/>
      <c r="BA20" s="10"/>
      <c r="BB20" s="10"/>
      <c r="BC20" s="10" t="s">
        <v>141</v>
      </c>
      <c r="BD20" s="10"/>
    </row>
    <row r="21" spans="1:56" ht="101.5" x14ac:dyDescent="0.35">
      <c r="A21" s="4" t="s">
        <v>987</v>
      </c>
      <c r="B21" s="4"/>
      <c r="C21" s="4" t="s">
        <v>22</v>
      </c>
      <c r="D21" s="4" t="s">
        <v>116</v>
      </c>
      <c r="E21" s="5" t="s">
        <v>34</v>
      </c>
      <c r="F21" s="6"/>
      <c r="G21" s="4" t="s">
        <v>26</v>
      </c>
      <c r="H21" s="65" t="s">
        <v>1171</v>
      </c>
      <c r="I21" s="7"/>
      <c r="J21" s="7"/>
      <c r="K21" s="7"/>
      <c r="L21" s="7"/>
      <c r="M21" s="67"/>
      <c r="N21" s="7"/>
      <c r="O21" s="7"/>
      <c r="P21" s="7"/>
      <c r="Q21" s="7"/>
      <c r="R21" s="7"/>
      <c r="S21" s="7"/>
      <c r="T21" s="7"/>
      <c r="U21" s="12"/>
      <c r="V21" s="12"/>
      <c r="W21" s="7"/>
      <c r="X21" s="12"/>
      <c r="Y21" s="7" t="s">
        <v>39</v>
      </c>
      <c r="Z21" s="7">
        <v>3</v>
      </c>
      <c r="AA21" s="7">
        <v>0.75</v>
      </c>
      <c r="AB21" s="7"/>
      <c r="AC21" s="7"/>
      <c r="AD21" s="4"/>
      <c r="AE21" s="4"/>
      <c r="AF21" s="4"/>
      <c r="AG21" s="4"/>
      <c r="AH21" s="9" t="s">
        <v>145</v>
      </c>
      <c r="AI21" s="9" t="s">
        <v>64</v>
      </c>
      <c r="AJ21" s="9"/>
      <c r="AK21" s="9" t="s">
        <v>30</v>
      </c>
      <c r="AL21" s="10"/>
      <c r="AM21" s="10"/>
      <c r="AN21" s="10"/>
      <c r="AO21" s="10"/>
      <c r="AP21" s="10"/>
      <c r="AQ21" s="11" t="s">
        <v>146</v>
      </c>
      <c r="AR21" s="4"/>
      <c r="AS21" s="10" t="s">
        <v>855</v>
      </c>
      <c r="AT21" s="10" t="s">
        <v>1082</v>
      </c>
      <c r="AU21" s="10"/>
      <c r="AV21" s="10"/>
      <c r="AW21" s="10"/>
      <c r="AX21" s="10"/>
      <c r="AY21" s="10"/>
      <c r="AZ21" s="10"/>
      <c r="BA21" s="10"/>
      <c r="BB21" s="10"/>
      <c r="BC21" s="10"/>
      <c r="BD21" s="10"/>
    </row>
    <row r="22" spans="1:56" ht="159.5" x14ac:dyDescent="0.35">
      <c r="A22" s="4" t="s">
        <v>147</v>
      </c>
      <c r="B22" s="4" t="s">
        <v>594</v>
      </c>
      <c r="C22" s="4" t="s">
        <v>22</v>
      </c>
      <c r="D22" s="4" t="s">
        <v>33</v>
      </c>
      <c r="E22" s="5" t="s">
        <v>34</v>
      </c>
      <c r="F22" s="4"/>
      <c r="G22" s="4" t="s">
        <v>35</v>
      </c>
      <c r="H22" s="65" t="s">
        <v>1210</v>
      </c>
      <c r="I22" s="7" t="s">
        <v>828</v>
      </c>
      <c r="J22" s="12">
        <v>33.449849999999998</v>
      </c>
      <c r="K22" s="7">
        <v>0.75</v>
      </c>
      <c r="L22" s="12" t="s">
        <v>827</v>
      </c>
      <c r="M22" s="67">
        <v>2.0396250000000001E-2</v>
      </c>
      <c r="N22" s="7">
        <v>0.75</v>
      </c>
      <c r="O22" s="7" t="s">
        <v>148</v>
      </c>
      <c r="P22" s="8">
        <v>97.902000000000001</v>
      </c>
      <c r="Q22" s="7">
        <v>0.75</v>
      </c>
      <c r="R22" s="7" t="s">
        <v>149</v>
      </c>
      <c r="S22" s="8">
        <v>12.23775</v>
      </c>
      <c r="T22" s="7">
        <v>0.75</v>
      </c>
      <c r="U22" s="12">
        <v>33.449849999999998</v>
      </c>
      <c r="V22" s="12">
        <v>33.449849999999998</v>
      </c>
      <c r="W22" s="7"/>
      <c r="X22" s="12">
        <v>3.4965E-3</v>
      </c>
      <c r="Y22" s="7" t="s">
        <v>152</v>
      </c>
      <c r="Z22" s="7">
        <v>6</v>
      </c>
      <c r="AA22" s="7">
        <v>1</v>
      </c>
      <c r="AB22" s="7" t="s">
        <v>153</v>
      </c>
      <c r="AC22" s="7">
        <v>0.75</v>
      </c>
      <c r="AD22" s="65" t="s">
        <v>1161</v>
      </c>
      <c r="AE22" s="4">
        <v>0</v>
      </c>
      <c r="AF22" s="4"/>
      <c r="AG22" s="4">
        <v>0.25</v>
      </c>
      <c r="AH22" s="9" t="s">
        <v>154</v>
      </c>
      <c r="AI22" s="9" t="s">
        <v>155</v>
      </c>
      <c r="AJ22" s="9"/>
      <c r="AK22" s="9" t="s">
        <v>156</v>
      </c>
      <c r="AL22" s="10" t="s">
        <v>157</v>
      </c>
      <c r="AM22" s="10" t="s">
        <v>158</v>
      </c>
      <c r="AN22" s="10" t="s">
        <v>159</v>
      </c>
      <c r="AO22" s="10" t="s">
        <v>158</v>
      </c>
      <c r="AP22" s="10" t="s">
        <v>160</v>
      </c>
      <c r="AQ22" s="11" t="s">
        <v>161</v>
      </c>
      <c r="AR22" s="4"/>
      <c r="AS22" s="10"/>
      <c r="AT22" s="10" t="s">
        <v>903</v>
      </c>
      <c r="AU22" s="10" t="s">
        <v>1081</v>
      </c>
      <c r="AV22" s="10"/>
      <c r="AW22" s="10"/>
      <c r="AX22" s="10"/>
      <c r="AY22" s="10"/>
      <c r="AZ22" s="10"/>
      <c r="BA22" s="10"/>
      <c r="BB22" s="10"/>
      <c r="BC22" s="10" t="s">
        <v>150</v>
      </c>
      <c r="BD22" s="10" t="s">
        <v>151</v>
      </c>
    </row>
    <row r="23" spans="1:56" ht="58" x14ac:dyDescent="0.35">
      <c r="A23" s="4" t="s">
        <v>990</v>
      </c>
      <c r="B23" s="4"/>
      <c r="C23" s="4" t="s">
        <v>139</v>
      </c>
      <c r="D23" s="4" t="s">
        <v>23</v>
      </c>
      <c r="E23" s="5" t="s">
        <v>34</v>
      </c>
      <c r="F23" s="6"/>
      <c r="G23" s="4" t="s">
        <v>26</v>
      </c>
      <c r="H23" s="65" t="s">
        <v>162</v>
      </c>
      <c r="I23" s="7"/>
      <c r="J23" s="7"/>
      <c r="K23" s="7"/>
      <c r="L23" s="7"/>
      <c r="M23" s="67"/>
      <c r="N23" s="7"/>
      <c r="O23" s="7"/>
      <c r="P23" s="7"/>
      <c r="Q23" s="7"/>
      <c r="R23" s="7"/>
      <c r="S23" s="7"/>
      <c r="T23" s="7"/>
      <c r="U23" s="12"/>
      <c r="V23" s="12"/>
      <c r="W23" s="7"/>
      <c r="X23" s="12"/>
      <c r="Y23" s="7">
        <v>3</v>
      </c>
      <c r="Z23" s="7"/>
      <c r="AA23" s="7"/>
      <c r="AB23" s="7"/>
      <c r="AC23" s="7"/>
      <c r="AD23" s="4"/>
      <c r="AE23" s="4"/>
      <c r="AF23" s="4"/>
      <c r="AG23" s="4"/>
      <c r="AH23" s="9" t="s">
        <v>163</v>
      </c>
      <c r="AI23" s="9" t="s">
        <v>64</v>
      </c>
      <c r="AJ23" s="9"/>
      <c r="AK23" s="9" t="s">
        <v>30</v>
      </c>
      <c r="AL23" s="10"/>
      <c r="AM23" s="10"/>
      <c r="AN23" s="10"/>
      <c r="AO23" s="10"/>
      <c r="AP23" s="10"/>
      <c r="AQ23" s="11" t="s">
        <v>144</v>
      </c>
      <c r="AR23" s="4"/>
      <c r="AS23" s="10" t="s">
        <v>879</v>
      </c>
      <c r="AT23" s="10"/>
      <c r="AU23" s="10"/>
      <c r="AV23" s="10"/>
      <c r="AW23" s="10"/>
      <c r="AX23" s="10"/>
      <c r="AY23" s="10"/>
      <c r="AZ23" s="10"/>
      <c r="BA23" s="10"/>
      <c r="BB23" s="10"/>
      <c r="BC23" s="10">
        <v>422</v>
      </c>
      <c r="BD23" s="10"/>
    </row>
    <row r="24" spans="1:56" ht="145" x14ac:dyDescent="0.35">
      <c r="A24" s="4" t="s">
        <v>164</v>
      </c>
      <c r="B24" s="4" t="s">
        <v>1474</v>
      </c>
      <c r="C24" s="4" t="s">
        <v>46</v>
      </c>
      <c r="D24" s="4" t="s">
        <v>165</v>
      </c>
      <c r="E24" s="5" t="s">
        <v>34</v>
      </c>
      <c r="F24" s="4"/>
      <c r="G24" s="4" t="s">
        <v>35</v>
      </c>
      <c r="H24" s="65" t="s">
        <v>166</v>
      </c>
      <c r="I24" s="7" t="s">
        <v>167</v>
      </c>
      <c r="J24" s="7"/>
      <c r="K24" s="7"/>
      <c r="L24" s="7" t="s">
        <v>725</v>
      </c>
      <c r="M24" s="67"/>
      <c r="N24" s="7"/>
      <c r="O24" s="7" t="s">
        <v>168</v>
      </c>
      <c r="P24" s="7"/>
      <c r="Q24" s="7"/>
      <c r="R24" s="7" t="s">
        <v>169</v>
      </c>
      <c r="S24" s="7"/>
      <c r="T24" s="7"/>
      <c r="U24" s="12"/>
      <c r="V24" s="12"/>
      <c r="W24" s="7" t="s">
        <v>172</v>
      </c>
      <c r="X24" s="12"/>
      <c r="Y24" s="7" t="s">
        <v>173</v>
      </c>
      <c r="Z24" s="7">
        <v>4</v>
      </c>
      <c r="AA24" s="7">
        <v>1</v>
      </c>
      <c r="AB24" s="7">
        <f>1*10^7</f>
        <v>10000000</v>
      </c>
      <c r="AC24" s="7"/>
      <c r="AD24" s="4" t="s">
        <v>174</v>
      </c>
      <c r="AE24" s="4"/>
      <c r="AF24" s="4"/>
      <c r="AG24" s="4"/>
      <c r="AH24" s="9" t="s">
        <v>175</v>
      </c>
      <c r="AI24" s="9" t="s">
        <v>176</v>
      </c>
      <c r="AJ24" s="9"/>
      <c r="AK24" s="9" t="s">
        <v>30</v>
      </c>
      <c r="AL24" s="10" t="s">
        <v>177</v>
      </c>
      <c r="AM24" s="10" t="s">
        <v>178</v>
      </c>
      <c r="AN24" s="10" t="s">
        <v>179</v>
      </c>
      <c r="AO24" s="10" t="s">
        <v>178</v>
      </c>
      <c r="AP24" s="10" t="s">
        <v>180</v>
      </c>
      <c r="AQ24" s="11" t="s">
        <v>181</v>
      </c>
      <c r="AR24" s="4"/>
      <c r="AS24" s="10"/>
      <c r="AT24" s="10"/>
      <c r="AU24" s="10"/>
      <c r="AV24" s="10" t="s">
        <v>858</v>
      </c>
      <c r="AW24" s="10" t="s">
        <v>859</v>
      </c>
      <c r="AX24" s="10"/>
      <c r="AY24" s="10"/>
      <c r="AZ24" s="10"/>
      <c r="BA24" s="10"/>
      <c r="BB24" s="10"/>
      <c r="BC24" s="10" t="s">
        <v>170</v>
      </c>
      <c r="BD24" s="10" t="s">
        <v>171</v>
      </c>
    </row>
    <row r="25" spans="1:56" ht="29" x14ac:dyDescent="0.35">
      <c r="A25" s="4" t="s">
        <v>182</v>
      </c>
      <c r="B25" s="4"/>
      <c r="C25" s="4" t="s">
        <v>22</v>
      </c>
      <c r="D25" s="4" t="s">
        <v>23</v>
      </c>
      <c r="E25" s="5" t="s">
        <v>34</v>
      </c>
      <c r="F25" s="6" t="s">
        <v>25</v>
      </c>
      <c r="G25" s="6" t="s">
        <v>26</v>
      </c>
      <c r="H25" s="4" t="s">
        <v>1211</v>
      </c>
      <c r="I25" s="12">
        <v>3.4201000000000001</v>
      </c>
      <c r="J25" s="12">
        <v>3.4201000000000001</v>
      </c>
      <c r="K25" s="12">
        <v>0.75</v>
      </c>
      <c r="L25" s="12">
        <v>3.7490000000000002E-3</v>
      </c>
      <c r="M25" s="67">
        <v>3.7490000000000002E-3</v>
      </c>
      <c r="N25" s="12">
        <v>0.75</v>
      </c>
      <c r="O25" s="12"/>
      <c r="P25" s="12">
        <v>0</v>
      </c>
      <c r="Q25" s="12">
        <v>0.5</v>
      </c>
      <c r="R25" s="7">
        <v>7.64</v>
      </c>
      <c r="S25" s="7">
        <v>7.64</v>
      </c>
      <c r="T25" s="7">
        <v>0.75</v>
      </c>
      <c r="U25" s="12"/>
      <c r="V25" s="12"/>
      <c r="W25" s="7"/>
      <c r="X25" s="12"/>
      <c r="Y25" s="7">
        <v>8</v>
      </c>
      <c r="Z25" s="7"/>
      <c r="AA25" s="7"/>
      <c r="AB25" s="7">
        <v>483000</v>
      </c>
      <c r="AC25" s="7"/>
      <c r="AD25" s="4"/>
      <c r="AE25" s="4"/>
      <c r="AF25" s="4"/>
      <c r="AG25" s="4"/>
      <c r="AH25" s="9"/>
      <c r="AI25" s="9"/>
      <c r="AJ25" s="9"/>
      <c r="AK25" s="9" t="s">
        <v>30</v>
      </c>
      <c r="AL25" s="10"/>
      <c r="AM25" s="10"/>
      <c r="AN25" s="10"/>
      <c r="AO25" s="10"/>
      <c r="AP25" s="10"/>
      <c r="AQ25" s="11">
        <v>10</v>
      </c>
      <c r="AR25" s="4" t="s">
        <v>32</v>
      </c>
      <c r="AS25" s="10"/>
      <c r="AT25" s="10"/>
      <c r="AU25" s="10"/>
      <c r="AV25" s="10"/>
      <c r="AW25" s="10"/>
      <c r="AX25" s="10"/>
      <c r="AY25" s="10"/>
      <c r="AZ25" s="10"/>
      <c r="BA25" s="10"/>
      <c r="BB25" s="10"/>
      <c r="BC25" s="10"/>
      <c r="BD25" s="10"/>
    </row>
    <row r="26" spans="1:56" ht="43.5" x14ac:dyDescent="0.35">
      <c r="A26" s="4" t="s">
        <v>983</v>
      </c>
      <c r="B26" s="4"/>
      <c r="C26" s="4" t="s">
        <v>139</v>
      </c>
      <c r="D26" s="4" t="s">
        <v>131</v>
      </c>
      <c r="E26" s="5"/>
      <c r="F26" s="6"/>
      <c r="G26" s="65" t="s">
        <v>26</v>
      </c>
      <c r="H26" s="4"/>
      <c r="I26" s="12"/>
      <c r="J26" s="12"/>
      <c r="K26" s="12"/>
      <c r="L26" s="12"/>
      <c r="M26" s="67"/>
      <c r="N26" s="12"/>
      <c r="O26" s="12"/>
      <c r="P26" s="12"/>
      <c r="Q26" s="12"/>
      <c r="R26" s="7"/>
      <c r="S26" s="7"/>
      <c r="T26" s="7"/>
      <c r="U26" s="12"/>
      <c r="V26" s="12"/>
      <c r="W26" s="7"/>
      <c r="X26" s="12"/>
      <c r="Y26" s="7"/>
      <c r="Z26" s="7"/>
      <c r="AA26" s="7"/>
      <c r="AB26" s="7"/>
      <c r="AC26" s="7"/>
      <c r="AD26" s="4"/>
      <c r="AE26" s="4"/>
      <c r="AF26" s="4"/>
      <c r="AG26" s="4"/>
      <c r="AH26" s="9"/>
      <c r="AI26" s="9"/>
      <c r="AJ26" s="9"/>
      <c r="AK26" s="9" t="s">
        <v>183</v>
      </c>
      <c r="AL26" s="10"/>
      <c r="AM26" s="10"/>
      <c r="AN26" s="10"/>
      <c r="AO26" s="10"/>
      <c r="AP26" s="10"/>
      <c r="AQ26" s="11"/>
      <c r="AR26" s="4"/>
      <c r="AS26" s="10" t="s">
        <v>937</v>
      </c>
      <c r="AT26" s="10"/>
      <c r="AU26" s="10"/>
      <c r="AV26" s="10"/>
      <c r="AW26" s="10"/>
      <c r="AX26" s="10"/>
      <c r="AY26" s="10"/>
      <c r="AZ26" s="10"/>
      <c r="BA26" s="10"/>
      <c r="BB26" s="10"/>
      <c r="BC26" s="10"/>
      <c r="BD26" s="10"/>
    </row>
    <row r="27" spans="1:56" ht="29" x14ac:dyDescent="0.35">
      <c r="A27" s="4" t="s">
        <v>184</v>
      </c>
      <c r="B27" s="4"/>
      <c r="C27" s="4" t="s">
        <v>22</v>
      </c>
      <c r="D27" s="4" t="s">
        <v>101</v>
      </c>
      <c r="E27" s="5" t="s">
        <v>34</v>
      </c>
      <c r="F27" s="6" t="s">
        <v>25</v>
      </c>
      <c r="G27" s="6" t="s">
        <v>26</v>
      </c>
      <c r="H27" s="4" t="s">
        <v>998</v>
      </c>
      <c r="I27" s="12">
        <v>1.0886</v>
      </c>
      <c r="J27" s="12">
        <f>technologies[[#This Row],[Mass
Literature]]</f>
        <v>1.0886</v>
      </c>
      <c r="K27" s="12">
        <v>0.75</v>
      </c>
      <c r="L27" s="12">
        <v>1.9599999999999999E-4</v>
      </c>
      <c r="M27" s="67">
        <f>technologies[[#This Row],[Volume
Literature]]</f>
        <v>1.9599999999999999E-4</v>
      </c>
      <c r="N27" s="12">
        <v>0.75</v>
      </c>
      <c r="O27" s="12"/>
      <c r="P27" s="12">
        <v>0</v>
      </c>
      <c r="Q27" s="12">
        <v>0.5</v>
      </c>
      <c r="R27" s="7">
        <v>11.5</v>
      </c>
      <c r="S27" s="7">
        <v>11.5</v>
      </c>
      <c r="T27" s="7">
        <v>0.75</v>
      </c>
      <c r="U27" s="12"/>
      <c r="V27" s="12"/>
      <c r="W27" s="7"/>
      <c r="X27" s="12"/>
      <c r="Y27" s="7">
        <v>8</v>
      </c>
      <c r="Z27" s="7"/>
      <c r="AA27" s="7"/>
      <c r="AB27" s="7">
        <v>936000</v>
      </c>
      <c r="AC27" s="7"/>
      <c r="AD27" s="4"/>
      <c r="AE27" s="4"/>
      <c r="AF27" s="4"/>
      <c r="AG27" s="4"/>
      <c r="AH27" s="9"/>
      <c r="AI27" s="9"/>
      <c r="AJ27" s="9"/>
      <c r="AK27" s="9" t="s">
        <v>30</v>
      </c>
      <c r="AL27" s="10"/>
      <c r="AM27" s="10"/>
      <c r="AN27" s="10"/>
      <c r="AO27" s="10"/>
      <c r="AP27" s="10"/>
      <c r="AQ27" s="11">
        <v>10</v>
      </c>
      <c r="AR27" s="4" t="s">
        <v>32</v>
      </c>
      <c r="AS27" s="10"/>
      <c r="AT27" s="10"/>
      <c r="AU27" s="10"/>
      <c r="AV27" s="10"/>
      <c r="AW27" s="10"/>
      <c r="AX27" s="10"/>
      <c r="AY27" s="10"/>
      <c r="AZ27" s="10"/>
      <c r="BA27" s="10"/>
      <c r="BB27" s="10"/>
      <c r="BC27" s="10"/>
      <c r="BD27" s="10"/>
    </row>
    <row r="28" spans="1:56" ht="29" x14ac:dyDescent="0.35">
      <c r="A28" s="4" t="s">
        <v>185</v>
      </c>
      <c r="B28" s="4"/>
      <c r="C28" s="4" t="s">
        <v>186</v>
      </c>
      <c r="D28" s="4" t="s">
        <v>131</v>
      </c>
      <c r="E28" s="5" t="s">
        <v>34</v>
      </c>
      <c r="F28" s="6"/>
      <c r="G28" s="4" t="s">
        <v>26</v>
      </c>
      <c r="H28" s="65" t="s">
        <v>1132</v>
      </c>
      <c r="I28" s="12"/>
      <c r="J28" s="12"/>
      <c r="K28" s="12"/>
      <c r="L28" s="12"/>
      <c r="M28" s="67"/>
      <c r="N28" s="12"/>
      <c r="O28" s="12"/>
      <c r="P28" s="12"/>
      <c r="Q28" s="12"/>
      <c r="R28" s="7"/>
      <c r="S28" s="7"/>
      <c r="T28" s="7"/>
      <c r="U28" s="12"/>
      <c r="V28" s="12"/>
      <c r="W28" s="7"/>
      <c r="X28" s="12"/>
      <c r="Y28" s="7"/>
      <c r="Z28" s="7"/>
      <c r="AA28" s="7"/>
      <c r="AB28" s="7"/>
      <c r="AC28" s="7"/>
      <c r="AD28" s="4"/>
      <c r="AE28" s="4"/>
      <c r="AF28" s="4"/>
      <c r="AG28" s="4"/>
      <c r="AH28" s="9"/>
      <c r="AI28" s="9"/>
      <c r="AJ28" s="9"/>
      <c r="AK28" s="9" t="s">
        <v>30</v>
      </c>
      <c r="AL28" s="10"/>
      <c r="AM28" s="10"/>
      <c r="AN28" s="10"/>
      <c r="AO28" s="10"/>
      <c r="AP28" s="10"/>
      <c r="AQ28" s="11"/>
      <c r="AR28" s="4"/>
      <c r="AS28" s="10" t="s">
        <v>958</v>
      </c>
      <c r="AT28" s="10"/>
      <c r="AU28" s="10"/>
      <c r="AV28" s="10"/>
      <c r="AW28" s="10"/>
      <c r="AX28" s="10"/>
      <c r="AY28" s="10"/>
      <c r="AZ28" s="10"/>
      <c r="BA28" s="10"/>
      <c r="BB28" s="10"/>
      <c r="BC28" s="10"/>
      <c r="BD28" s="10"/>
    </row>
    <row r="29" spans="1:56" ht="43.5" x14ac:dyDescent="0.35">
      <c r="A29" s="4" t="s">
        <v>984</v>
      </c>
      <c r="B29" s="4"/>
      <c r="C29" s="4" t="s">
        <v>22</v>
      </c>
      <c r="D29" s="4" t="s">
        <v>101</v>
      </c>
      <c r="E29" s="5" t="s">
        <v>34</v>
      </c>
      <c r="F29" s="6"/>
      <c r="G29" s="4" t="s">
        <v>26</v>
      </c>
      <c r="H29" s="4" t="s">
        <v>187</v>
      </c>
      <c r="I29" s="12"/>
      <c r="J29" s="12"/>
      <c r="K29" s="12"/>
      <c r="L29" s="12"/>
      <c r="M29" s="67"/>
      <c r="N29" s="12"/>
      <c r="O29" s="12"/>
      <c r="P29" s="12"/>
      <c r="Q29" s="12"/>
      <c r="R29" s="7"/>
      <c r="S29" s="7"/>
      <c r="T29" s="7"/>
      <c r="U29" s="12"/>
      <c r="V29" s="12"/>
      <c r="W29" s="7"/>
      <c r="X29" s="12"/>
      <c r="Y29" s="7"/>
      <c r="Z29" s="7"/>
      <c r="AA29" s="7"/>
      <c r="AB29" s="7"/>
      <c r="AC29" s="7"/>
      <c r="AD29" s="4"/>
      <c r="AE29" s="4"/>
      <c r="AF29" s="4"/>
      <c r="AG29" s="4"/>
      <c r="AH29" s="9"/>
      <c r="AI29" s="9" t="s">
        <v>188</v>
      </c>
      <c r="AJ29" s="9"/>
      <c r="AK29" s="9" t="s">
        <v>30</v>
      </c>
      <c r="AL29" s="10"/>
      <c r="AM29" s="10"/>
      <c r="AN29" s="10"/>
      <c r="AO29" s="10"/>
      <c r="AP29" s="10"/>
      <c r="AQ29" s="11">
        <v>1</v>
      </c>
      <c r="AR29" s="4"/>
      <c r="AS29" s="10" t="s">
        <v>863</v>
      </c>
      <c r="AT29" s="10"/>
      <c r="AU29" s="10"/>
      <c r="AV29" s="10"/>
      <c r="AW29" s="10"/>
      <c r="AX29" s="10"/>
      <c r="AY29" s="10"/>
      <c r="AZ29" s="10"/>
      <c r="BA29" s="10"/>
      <c r="BB29" s="10"/>
      <c r="BC29" s="10"/>
      <c r="BD29" s="10"/>
    </row>
    <row r="30" spans="1:56" ht="145" x14ac:dyDescent="0.35">
      <c r="A30" s="4" t="s">
        <v>189</v>
      </c>
      <c r="B30" s="4" t="s">
        <v>1622</v>
      </c>
      <c r="C30" s="4" t="s">
        <v>22</v>
      </c>
      <c r="D30" s="4" t="s">
        <v>101</v>
      </c>
      <c r="E30" s="5" t="s">
        <v>34</v>
      </c>
      <c r="F30" s="4"/>
      <c r="G30" s="4" t="s">
        <v>35</v>
      </c>
      <c r="H30" s="65" t="s">
        <v>999</v>
      </c>
      <c r="I30" s="12"/>
      <c r="J30" s="12"/>
      <c r="K30" s="12"/>
      <c r="L30" s="12"/>
      <c r="M30" s="67"/>
      <c r="N30" s="12"/>
      <c r="O30" s="12"/>
      <c r="P30" s="12"/>
      <c r="Q30" s="12"/>
      <c r="R30" s="7"/>
      <c r="S30" s="7"/>
      <c r="T30" s="7"/>
      <c r="U30" s="12"/>
      <c r="V30" s="12"/>
      <c r="W30" s="7"/>
      <c r="X30" s="12"/>
      <c r="Y30" s="7"/>
      <c r="Z30" s="7"/>
      <c r="AA30" s="7"/>
      <c r="AB30" s="7"/>
      <c r="AC30" s="7"/>
      <c r="AD30" s="4"/>
      <c r="AE30" s="4"/>
      <c r="AF30" s="4"/>
      <c r="AG30" s="4"/>
      <c r="AH30" s="9" t="s">
        <v>190</v>
      </c>
      <c r="AI30" s="9"/>
      <c r="AJ30" s="9"/>
      <c r="AK30" s="9" t="s">
        <v>30</v>
      </c>
      <c r="AL30" s="10"/>
      <c r="AM30" s="10"/>
      <c r="AN30" s="10"/>
      <c r="AO30" s="10"/>
      <c r="AP30" s="10"/>
      <c r="AQ30" s="11">
        <v>1</v>
      </c>
      <c r="AR30" s="4"/>
      <c r="AS30" s="10" t="s">
        <v>863</v>
      </c>
      <c r="AT30" s="10"/>
      <c r="AU30" s="10"/>
      <c r="AV30" s="10"/>
      <c r="AW30" s="10"/>
      <c r="AX30" s="10"/>
      <c r="AY30" s="10"/>
      <c r="AZ30" s="10"/>
      <c r="BA30" s="10"/>
      <c r="BB30" s="10"/>
      <c r="BC30" s="10"/>
      <c r="BD30" s="10"/>
    </row>
    <row r="31" spans="1:56" ht="87" x14ac:dyDescent="0.35">
      <c r="A31" s="4" t="s">
        <v>191</v>
      </c>
      <c r="B31" s="4"/>
      <c r="C31" s="4" t="s">
        <v>186</v>
      </c>
      <c r="D31" s="4" t="s">
        <v>131</v>
      </c>
      <c r="E31" s="5"/>
      <c r="F31" s="6"/>
      <c r="G31" s="4" t="s">
        <v>26</v>
      </c>
      <c r="H31" s="65" t="s">
        <v>192</v>
      </c>
      <c r="I31" s="12"/>
      <c r="J31" s="12"/>
      <c r="K31" s="12"/>
      <c r="L31" s="12"/>
      <c r="M31" s="67"/>
      <c r="N31" s="12"/>
      <c r="O31" s="12"/>
      <c r="P31" s="12"/>
      <c r="Q31" s="12"/>
      <c r="R31" s="7"/>
      <c r="S31" s="7"/>
      <c r="T31" s="7"/>
      <c r="U31" s="12"/>
      <c r="V31" s="12"/>
      <c r="W31" s="7"/>
      <c r="X31" s="12"/>
      <c r="Y31" s="7"/>
      <c r="Z31" s="7"/>
      <c r="AA31" s="7"/>
      <c r="AB31" s="7"/>
      <c r="AC31" s="7"/>
      <c r="AD31" s="4"/>
      <c r="AE31" s="4"/>
      <c r="AF31" s="4"/>
      <c r="AG31" s="4"/>
      <c r="AH31" s="9"/>
      <c r="AI31" s="9"/>
      <c r="AJ31" s="9"/>
      <c r="AK31" s="9" t="s">
        <v>30</v>
      </c>
      <c r="AL31" s="10"/>
      <c r="AM31" s="10"/>
      <c r="AN31" s="10"/>
      <c r="AO31" s="10"/>
      <c r="AP31" s="10"/>
      <c r="AQ31" s="11">
        <v>4</v>
      </c>
      <c r="AR31" s="4"/>
      <c r="AS31" s="10" t="s">
        <v>958</v>
      </c>
      <c r="AT31" s="10"/>
      <c r="AU31" s="10"/>
      <c r="AV31" s="10"/>
      <c r="AW31" s="10"/>
      <c r="AX31" s="10"/>
      <c r="AY31" s="10"/>
      <c r="AZ31" s="10"/>
      <c r="BA31" s="10"/>
      <c r="BB31" s="10"/>
      <c r="BC31" s="10"/>
      <c r="BD31" s="10"/>
    </row>
    <row r="32" spans="1:56" ht="101.5" x14ac:dyDescent="0.35">
      <c r="A32" s="4" t="s">
        <v>982</v>
      </c>
      <c r="B32" s="4" t="s">
        <v>1278</v>
      </c>
      <c r="C32" s="4" t="s">
        <v>66</v>
      </c>
      <c r="D32" s="4" t="s">
        <v>131</v>
      </c>
      <c r="E32" s="5" t="s">
        <v>24</v>
      </c>
      <c r="F32" s="6"/>
      <c r="G32" s="4" t="s">
        <v>35</v>
      </c>
      <c r="H32" s="65" t="s">
        <v>1169</v>
      </c>
      <c r="I32" s="12" t="s">
        <v>829</v>
      </c>
      <c r="J32" s="12">
        <v>93.93668964610292</v>
      </c>
      <c r="K32" s="12">
        <v>0.75</v>
      </c>
      <c r="L32" s="12" t="s">
        <v>765</v>
      </c>
      <c r="M32" s="67">
        <v>0.47645375699906733</v>
      </c>
      <c r="N32" s="12">
        <v>0.75</v>
      </c>
      <c r="O32" s="12"/>
      <c r="P32" s="12">
        <v>0</v>
      </c>
      <c r="Q32" s="12">
        <v>0.75</v>
      </c>
      <c r="R32" s="7"/>
      <c r="S32" s="7">
        <v>9</v>
      </c>
      <c r="T32" s="7">
        <v>0.75</v>
      </c>
      <c r="U32" s="12">
        <v>20</v>
      </c>
      <c r="V32" s="12">
        <v>20</v>
      </c>
      <c r="W32" s="7"/>
      <c r="X32" s="12">
        <v>0</v>
      </c>
      <c r="Y32" s="7">
        <v>8</v>
      </c>
      <c r="Z32" s="7">
        <v>9</v>
      </c>
      <c r="AA32" s="7">
        <v>1</v>
      </c>
      <c r="AB32" s="7" t="s">
        <v>194</v>
      </c>
      <c r="AC32" s="7">
        <v>0.75</v>
      </c>
      <c r="AD32" s="4">
        <v>0</v>
      </c>
      <c r="AE32" s="4">
        <v>0</v>
      </c>
      <c r="AF32" s="4"/>
      <c r="AG32" s="4">
        <v>0.75</v>
      </c>
      <c r="AH32" s="9" t="s">
        <v>195</v>
      </c>
      <c r="AI32" s="9" t="s">
        <v>196</v>
      </c>
      <c r="AJ32" s="9"/>
      <c r="AK32" s="9" t="s">
        <v>30</v>
      </c>
      <c r="AL32" s="10"/>
      <c r="AM32" s="10"/>
      <c r="AN32" s="10"/>
      <c r="AO32" s="10"/>
      <c r="AP32" s="10"/>
      <c r="AQ32" s="11" t="s">
        <v>197</v>
      </c>
      <c r="AR32" s="4" t="s">
        <v>198</v>
      </c>
      <c r="AS32" s="10" t="s">
        <v>867</v>
      </c>
      <c r="AT32" s="10" t="s">
        <v>869</v>
      </c>
      <c r="AU32" s="10" t="s">
        <v>877</v>
      </c>
      <c r="AV32" s="10" t="s">
        <v>957</v>
      </c>
      <c r="AW32" s="10"/>
      <c r="AX32" s="10"/>
      <c r="AY32" s="10"/>
      <c r="AZ32" s="10"/>
      <c r="BA32" s="10"/>
      <c r="BB32" s="10"/>
      <c r="BC32" s="10">
        <v>290</v>
      </c>
      <c r="BD32" s="10" t="s">
        <v>193</v>
      </c>
    </row>
    <row r="33" spans="1:56" ht="29" x14ac:dyDescent="0.35">
      <c r="A33" s="4" t="s">
        <v>199</v>
      </c>
      <c r="B33" s="4"/>
      <c r="C33" s="4" t="s">
        <v>22</v>
      </c>
      <c r="D33" s="4" t="s">
        <v>101</v>
      </c>
      <c r="E33" s="5" t="s">
        <v>34</v>
      </c>
      <c r="F33" s="4" t="s">
        <v>200</v>
      </c>
      <c r="G33" s="4" t="s">
        <v>26</v>
      </c>
      <c r="H33" s="4"/>
      <c r="I33" s="12">
        <v>4.3544999999999998</v>
      </c>
      <c r="J33" s="12">
        <v>4.3544999999999998</v>
      </c>
      <c r="K33" s="12"/>
      <c r="L33" s="12">
        <v>3.398E-3</v>
      </c>
      <c r="M33" s="12">
        <v>3.398E-3</v>
      </c>
      <c r="N33" s="12"/>
      <c r="O33" s="12"/>
      <c r="P33" s="12"/>
      <c r="Q33" s="12"/>
      <c r="R33" s="7"/>
      <c r="S33" s="7"/>
      <c r="T33" s="7"/>
      <c r="U33" s="12"/>
      <c r="V33" s="12"/>
      <c r="W33" s="7"/>
      <c r="X33" s="12"/>
      <c r="Y33" s="7"/>
      <c r="Z33" s="7"/>
      <c r="AA33" s="7"/>
      <c r="AB33" s="7" t="s">
        <v>1153</v>
      </c>
      <c r="AC33" s="7"/>
      <c r="AD33" s="4"/>
      <c r="AE33" s="4"/>
      <c r="AF33" s="4"/>
      <c r="AG33" s="4"/>
      <c r="AH33" s="9"/>
      <c r="AI33" s="9" t="s">
        <v>1152</v>
      </c>
      <c r="AJ33" s="9"/>
      <c r="AK33" s="9" t="s">
        <v>30</v>
      </c>
      <c r="AL33" s="10"/>
      <c r="AM33" s="10"/>
      <c r="AN33" s="10"/>
      <c r="AO33" s="10"/>
      <c r="AP33" s="10"/>
      <c r="AQ33" s="11">
        <v>10</v>
      </c>
      <c r="AR33" s="4" t="s">
        <v>32</v>
      </c>
      <c r="AS33" s="10"/>
      <c r="AT33" s="10"/>
      <c r="AU33" s="10"/>
      <c r="AV33" s="10"/>
      <c r="AW33" s="10"/>
      <c r="AX33" s="10"/>
      <c r="AY33" s="10"/>
      <c r="AZ33" s="10"/>
      <c r="BA33" s="10"/>
      <c r="BB33" s="10"/>
      <c r="BC33" s="10"/>
      <c r="BD33" s="10"/>
    </row>
    <row r="34" spans="1:56" ht="29" x14ac:dyDescent="0.35">
      <c r="A34" s="4" t="s">
        <v>201</v>
      </c>
      <c r="B34" s="4"/>
      <c r="C34" s="4" t="s">
        <v>22</v>
      </c>
      <c r="D34" s="4" t="s">
        <v>131</v>
      </c>
      <c r="E34" s="5" t="s">
        <v>34</v>
      </c>
      <c r="F34" s="4" t="s">
        <v>200</v>
      </c>
      <c r="G34" s="4" t="s">
        <v>26</v>
      </c>
      <c r="H34" s="4"/>
      <c r="I34" s="12">
        <v>161.61760000000001</v>
      </c>
      <c r="J34" s="12"/>
      <c r="K34" s="12"/>
      <c r="L34" s="12">
        <v>0.14669699999999999</v>
      </c>
      <c r="M34" s="12">
        <v>0.14669699999999999</v>
      </c>
      <c r="N34" s="12"/>
      <c r="O34" s="12"/>
      <c r="P34" s="12"/>
      <c r="Q34" s="12"/>
      <c r="R34" s="7"/>
      <c r="S34" s="7"/>
      <c r="T34" s="7"/>
      <c r="U34" s="12"/>
      <c r="V34" s="12"/>
      <c r="W34" s="7"/>
      <c r="X34" s="12"/>
      <c r="Y34" s="7"/>
      <c r="Z34" s="7"/>
      <c r="AA34" s="7"/>
      <c r="AB34" s="7" t="s">
        <v>1154</v>
      </c>
      <c r="AC34" s="7"/>
      <c r="AD34" s="4"/>
      <c r="AE34" s="4"/>
      <c r="AF34" s="4"/>
      <c r="AG34" s="4"/>
      <c r="AH34" s="9"/>
      <c r="AI34" s="9" t="s">
        <v>1143</v>
      </c>
      <c r="AJ34" s="9"/>
      <c r="AK34" s="9" t="s">
        <v>30</v>
      </c>
      <c r="AL34" s="10"/>
      <c r="AM34" s="10"/>
      <c r="AN34" s="10"/>
      <c r="AO34" s="10"/>
      <c r="AP34" s="10"/>
      <c r="AQ34" s="11">
        <v>10</v>
      </c>
      <c r="AR34" s="4" t="s">
        <v>32</v>
      </c>
      <c r="AS34" s="10"/>
      <c r="AT34" s="10"/>
      <c r="AU34" s="10"/>
      <c r="AV34" s="10"/>
      <c r="AW34" s="10"/>
      <c r="AX34" s="10"/>
      <c r="AY34" s="10"/>
      <c r="AZ34" s="10"/>
      <c r="BA34" s="10"/>
      <c r="BB34" s="10"/>
      <c r="BC34" s="10"/>
      <c r="BD34" s="10"/>
    </row>
    <row r="35" spans="1:56" ht="29" x14ac:dyDescent="0.35">
      <c r="A35" s="4" t="s">
        <v>202</v>
      </c>
      <c r="B35" s="4"/>
      <c r="C35" s="4" t="s">
        <v>22</v>
      </c>
      <c r="D35" s="4" t="s">
        <v>62</v>
      </c>
      <c r="E35" s="5" t="s">
        <v>34</v>
      </c>
      <c r="F35" s="4" t="s">
        <v>200</v>
      </c>
      <c r="G35" s="4" t="s">
        <v>26</v>
      </c>
      <c r="H35" s="4" t="s">
        <v>203</v>
      </c>
      <c r="I35" s="12">
        <v>28.6675</v>
      </c>
      <c r="J35" s="12">
        <v>28.6675</v>
      </c>
      <c r="K35" s="12"/>
      <c r="L35" s="12">
        <v>2.9451999999999999E-2</v>
      </c>
      <c r="M35" s="12">
        <v>2.9451999999999999E-2</v>
      </c>
      <c r="N35" s="12"/>
      <c r="O35" s="12"/>
      <c r="P35" s="12"/>
      <c r="Q35" s="12"/>
      <c r="R35" s="7"/>
      <c r="S35" s="7"/>
      <c r="T35" s="7"/>
      <c r="U35" s="12"/>
      <c r="V35" s="12"/>
      <c r="W35" s="7"/>
      <c r="X35" s="12"/>
      <c r="Y35" s="7"/>
      <c r="Z35" s="7"/>
      <c r="AA35" s="7"/>
      <c r="AB35" s="7" t="s">
        <v>1155</v>
      </c>
      <c r="AC35" s="7"/>
      <c r="AD35" s="4"/>
      <c r="AE35" s="4"/>
      <c r="AF35" s="4"/>
      <c r="AG35" s="4"/>
      <c r="AH35" s="9"/>
      <c r="AI35" s="9"/>
      <c r="AJ35" s="9"/>
      <c r="AK35" s="9" t="s">
        <v>30</v>
      </c>
      <c r="AL35" s="10"/>
      <c r="AM35" s="10"/>
      <c r="AN35" s="10"/>
      <c r="AO35" s="10"/>
      <c r="AP35" s="10"/>
      <c r="AQ35" s="11">
        <v>10</v>
      </c>
      <c r="AR35" s="4" t="s">
        <v>32</v>
      </c>
      <c r="AS35" s="10"/>
      <c r="AT35" s="10"/>
      <c r="AU35" s="10"/>
      <c r="AV35" s="10"/>
      <c r="AW35" s="10"/>
      <c r="AX35" s="10"/>
      <c r="AY35" s="10"/>
      <c r="AZ35" s="10"/>
      <c r="BA35" s="10"/>
      <c r="BB35" s="10"/>
      <c r="BC35" s="10"/>
      <c r="BD35" s="10"/>
    </row>
    <row r="36" spans="1:56" ht="29" x14ac:dyDescent="0.35">
      <c r="A36" s="4" t="s">
        <v>981</v>
      </c>
      <c r="B36" s="4" t="s">
        <v>1623</v>
      </c>
      <c r="C36" s="4" t="s">
        <v>22</v>
      </c>
      <c r="D36" s="4" t="s">
        <v>101</v>
      </c>
      <c r="E36" s="5" t="s">
        <v>34</v>
      </c>
      <c r="F36" s="4"/>
      <c r="G36" s="4" t="s">
        <v>35</v>
      </c>
      <c r="H36" s="4" t="s">
        <v>204</v>
      </c>
      <c r="I36" s="12"/>
      <c r="J36" s="12"/>
      <c r="K36" s="12"/>
      <c r="L36" s="12"/>
      <c r="M36" s="67"/>
      <c r="N36" s="12"/>
      <c r="O36" s="12"/>
      <c r="P36" s="12"/>
      <c r="Q36" s="12"/>
      <c r="R36" s="7"/>
      <c r="S36" s="7"/>
      <c r="T36" s="7"/>
      <c r="U36" s="12"/>
      <c r="V36" s="12"/>
      <c r="W36" s="7"/>
      <c r="X36" s="12"/>
      <c r="Y36" s="7"/>
      <c r="Z36" s="7"/>
      <c r="AA36" s="7"/>
      <c r="AB36" s="7"/>
      <c r="AC36" s="7"/>
      <c r="AD36" s="4"/>
      <c r="AE36" s="4"/>
      <c r="AF36" s="4"/>
      <c r="AG36" s="4"/>
      <c r="AH36" s="9" t="s">
        <v>205</v>
      </c>
      <c r="AI36" s="9" t="s">
        <v>64</v>
      </c>
      <c r="AJ36" s="9"/>
      <c r="AK36" s="9" t="s">
        <v>30</v>
      </c>
      <c r="AL36" s="10"/>
      <c r="AM36" s="10"/>
      <c r="AN36" s="10"/>
      <c r="AO36" s="10"/>
      <c r="AP36" s="10"/>
      <c r="AQ36" s="11">
        <v>1</v>
      </c>
      <c r="AR36" s="4"/>
      <c r="AS36" s="10" t="s">
        <v>863</v>
      </c>
      <c r="AT36" s="10"/>
      <c r="AU36" s="10"/>
      <c r="AV36" s="10"/>
      <c r="AW36" s="10"/>
      <c r="AX36" s="10"/>
      <c r="AY36" s="10"/>
      <c r="AZ36" s="10"/>
      <c r="BA36" s="10"/>
      <c r="BB36" s="10"/>
      <c r="BC36" s="10"/>
      <c r="BD36" s="10"/>
    </row>
    <row r="37" spans="1:56" ht="116" x14ac:dyDescent="0.35">
      <c r="A37" s="4" t="s">
        <v>980</v>
      </c>
      <c r="B37" s="4"/>
      <c r="C37" s="4" t="s">
        <v>186</v>
      </c>
      <c r="D37" s="4" t="s">
        <v>131</v>
      </c>
      <c r="E37" s="5" t="s">
        <v>34</v>
      </c>
      <c r="F37" s="6"/>
      <c r="G37" s="4" t="s">
        <v>26</v>
      </c>
      <c r="H37" s="65" t="s">
        <v>1120</v>
      </c>
      <c r="I37" s="12" t="s">
        <v>206</v>
      </c>
      <c r="J37" s="12">
        <f>100/6*Crew_Size</f>
        <v>66.666666666666671</v>
      </c>
      <c r="K37" s="12"/>
      <c r="L37" s="12" t="s">
        <v>1077</v>
      </c>
      <c r="M37" s="67">
        <f>0.5/6*Crew_Size</f>
        <v>0.33333333333333331</v>
      </c>
      <c r="N37" s="12"/>
      <c r="O37" s="12" t="s">
        <v>207</v>
      </c>
      <c r="P37" s="12"/>
      <c r="Q37" s="12"/>
      <c r="R37" s="7" t="s">
        <v>208</v>
      </c>
      <c r="S37" s="7">
        <v>1400</v>
      </c>
      <c r="T37" s="7"/>
      <c r="U37" s="12"/>
      <c r="V37" s="12"/>
      <c r="W37" s="7"/>
      <c r="X37" s="12"/>
      <c r="Y37" s="7"/>
      <c r="Z37" s="7"/>
      <c r="AA37" s="7"/>
      <c r="AB37" s="7"/>
      <c r="AC37" s="7"/>
      <c r="AD37" s="4"/>
      <c r="AE37" s="4"/>
      <c r="AF37" s="4"/>
      <c r="AG37" s="4"/>
      <c r="AH37" s="9"/>
      <c r="AI37" s="9"/>
      <c r="AJ37" s="9"/>
      <c r="AK37" s="9" t="s">
        <v>30</v>
      </c>
      <c r="AL37" s="10"/>
      <c r="AM37" s="10"/>
      <c r="AN37" s="10"/>
      <c r="AO37" s="10"/>
      <c r="AP37" s="10"/>
      <c r="AQ37" s="11">
        <v>9</v>
      </c>
      <c r="AR37" s="4"/>
      <c r="AS37" s="10" t="s">
        <v>958</v>
      </c>
      <c r="AT37" s="10"/>
      <c r="AU37" s="10"/>
      <c r="AV37" s="10"/>
      <c r="AW37" s="10"/>
      <c r="AX37" s="10"/>
      <c r="AY37" s="10"/>
      <c r="AZ37" s="10"/>
      <c r="BA37" s="10"/>
      <c r="BB37" s="10"/>
      <c r="BC37" s="10"/>
      <c r="BD37" s="10"/>
    </row>
    <row r="38" spans="1:56" ht="174" x14ac:dyDescent="0.35">
      <c r="A38" s="4" t="s">
        <v>209</v>
      </c>
      <c r="B38" s="4" t="s">
        <v>1277</v>
      </c>
      <c r="C38" s="4" t="s">
        <v>22</v>
      </c>
      <c r="D38" s="4" t="s">
        <v>33</v>
      </c>
      <c r="E38" s="5" t="s">
        <v>24</v>
      </c>
      <c r="F38" s="4"/>
      <c r="G38" s="4" t="s">
        <v>35</v>
      </c>
      <c r="H38" s="65" t="s">
        <v>1122</v>
      </c>
      <c r="I38" s="12" t="s">
        <v>726</v>
      </c>
      <c r="J38" s="12">
        <v>14.966999999999999</v>
      </c>
      <c r="K38" s="12">
        <v>0.5</v>
      </c>
      <c r="L38" s="12" t="s">
        <v>727</v>
      </c>
      <c r="M38" s="67">
        <v>3.1099999999999999E-2</v>
      </c>
      <c r="N38" s="12">
        <v>0.5</v>
      </c>
      <c r="O38" s="12">
        <v>0</v>
      </c>
      <c r="P38" s="12">
        <v>0</v>
      </c>
      <c r="Q38" s="12">
        <v>0.75</v>
      </c>
      <c r="R38" s="12" t="s">
        <v>1121</v>
      </c>
      <c r="S38" s="8">
        <v>12</v>
      </c>
      <c r="T38" s="7">
        <v>0.25</v>
      </c>
      <c r="U38" s="12">
        <v>12.363252417177913</v>
      </c>
      <c r="V38" s="12">
        <v>12.363252417177913</v>
      </c>
      <c r="W38" s="7">
        <v>62.1</v>
      </c>
      <c r="X38" s="12">
        <v>1.268517382413088</v>
      </c>
      <c r="Y38" s="7" t="s">
        <v>210</v>
      </c>
      <c r="Z38" s="7">
        <v>9</v>
      </c>
      <c r="AA38" s="7">
        <v>1</v>
      </c>
      <c r="AB38" s="7">
        <f>1*10^7</f>
        <v>10000000</v>
      </c>
      <c r="AC38" s="7">
        <v>0.25</v>
      </c>
      <c r="AD38" s="4" t="s">
        <v>1162</v>
      </c>
      <c r="AE38" s="13">
        <f>SUM_CO2_Production/(0.84*2.27)*Crew_Size*Mission_Duration*8/60</f>
        <v>782.37885462554993</v>
      </c>
      <c r="AF38" s="13"/>
      <c r="AG38" s="4">
        <v>0.25</v>
      </c>
      <c r="AH38" s="9" t="s">
        <v>211</v>
      </c>
      <c r="AI38" s="9" t="s">
        <v>212</v>
      </c>
      <c r="AJ38" s="9"/>
      <c r="AK38" s="9" t="s">
        <v>30</v>
      </c>
      <c r="AL38" s="10" t="s">
        <v>213</v>
      </c>
      <c r="AM38" s="10" t="s">
        <v>214</v>
      </c>
      <c r="AN38" s="10" t="s">
        <v>215</v>
      </c>
      <c r="AO38" s="10" t="s">
        <v>1119</v>
      </c>
      <c r="AP38" s="10" t="s">
        <v>216</v>
      </c>
      <c r="AQ38" s="11" t="s">
        <v>217</v>
      </c>
      <c r="AR38" s="4" t="s">
        <v>218</v>
      </c>
      <c r="AS38" s="10" t="s">
        <v>856</v>
      </c>
      <c r="AT38" s="10" t="s">
        <v>1081</v>
      </c>
      <c r="AU38" s="10"/>
      <c r="AV38" s="10"/>
      <c r="AW38" s="10"/>
      <c r="AX38" s="10"/>
      <c r="AY38" s="10"/>
      <c r="AZ38" s="10"/>
      <c r="BA38" s="10"/>
      <c r="BB38" s="10"/>
      <c r="BC38" s="10">
        <v>293</v>
      </c>
      <c r="BD38" s="10">
        <v>101</v>
      </c>
    </row>
    <row r="39" spans="1:56" ht="87" x14ac:dyDescent="0.35">
      <c r="A39" s="4" t="s">
        <v>219</v>
      </c>
      <c r="B39" s="4"/>
      <c r="C39" s="4" t="s">
        <v>22</v>
      </c>
      <c r="D39" s="4" t="s">
        <v>23</v>
      </c>
      <c r="E39" s="5" t="s">
        <v>34</v>
      </c>
      <c r="F39" s="4" t="s">
        <v>25</v>
      </c>
      <c r="G39" s="4" t="s">
        <v>26</v>
      </c>
      <c r="H39" s="65" t="s">
        <v>1123</v>
      </c>
      <c r="I39" s="12">
        <v>4.1048999999999998</v>
      </c>
      <c r="J39" s="12">
        <f>technologies[[#This Row],[Mass
Literature]]</f>
        <v>4.1048999999999998</v>
      </c>
      <c r="K39" s="12">
        <v>0.75</v>
      </c>
      <c r="L39" s="12">
        <v>7.8230000000000001E-3</v>
      </c>
      <c r="M39" s="67">
        <f>technologies[[#This Row],[Volume
Literature]]</f>
        <v>7.8230000000000001E-3</v>
      </c>
      <c r="N39" s="12">
        <v>0.75</v>
      </c>
      <c r="O39" s="12">
        <v>0</v>
      </c>
      <c r="P39" s="12">
        <v>0</v>
      </c>
      <c r="Q39" s="12">
        <v>0.75</v>
      </c>
      <c r="R39" s="12">
        <v>0</v>
      </c>
      <c r="S39" s="7">
        <v>0</v>
      </c>
      <c r="T39" s="7">
        <v>0.75</v>
      </c>
      <c r="U39" s="12"/>
      <c r="V39" s="12"/>
      <c r="W39" s="7"/>
      <c r="X39" s="12"/>
      <c r="Y39" s="7"/>
      <c r="Z39" s="7"/>
      <c r="AA39" s="7"/>
      <c r="AB39" s="7">
        <v>241000</v>
      </c>
      <c r="AC39" s="7"/>
      <c r="AD39" s="4"/>
      <c r="AE39" s="4"/>
      <c r="AF39" s="4"/>
      <c r="AG39" s="4"/>
      <c r="AH39" s="9" t="s">
        <v>28</v>
      </c>
      <c r="AI39" s="9" t="s">
        <v>29</v>
      </c>
      <c r="AJ39" s="9"/>
      <c r="AK39" s="9" t="s">
        <v>30</v>
      </c>
      <c r="AL39" s="10"/>
      <c r="AM39" s="10"/>
      <c r="AN39" s="10"/>
      <c r="AO39" s="10"/>
      <c r="AP39" s="10"/>
      <c r="AQ39" s="11" t="s">
        <v>114</v>
      </c>
      <c r="AR39" s="4" t="s">
        <v>32</v>
      </c>
      <c r="AS39" s="10" t="s">
        <v>856</v>
      </c>
      <c r="AT39" s="10"/>
      <c r="AU39" s="10"/>
      <c r="AV39" s="10"/>
      <c r="AW39" s="10"/>
      <c r="AX39" s="10"/>
      <c r="AY39" s="10"/>
      <c r="AZ39" s="10"/>
      <c r="BA39" s="10"/>
      <c r="BB39" s="10"/>
      <c r="BC39" s="10">
        <f>63+273</f>
        <v>336</v>
      </c>
      <c r="BD39" s="10"/>
    </row>
    <row r="40" spans="1:56" ht="43.5" x14ac:dyDescent="0.35">
      <c r="A40" s="4" t="s">
        <v>220</v>
      </c>
      <c r="B40" s="4"/>
      <c r="C40" s="4" t="s">
        <v>66</v>
      </c>
      <c r="D40" s="4" t="s">
        <v>23</v>
      </c>
      <c r="E40" s="5" t="s">
        <v>34</v>
      </c>
      <c r="F40" s="4" t="s">
        <v>221</v>
      </c>
      <c r="G40" s="4" t="s">
        <v>35</v>
      </c>
      <c r="H40" s="4"/>
      <c r="I40" s="12">
        <v>1.9503999999999999</v>
      </c>
      <c r="J40" s="12">
        <v>1.9503999999999999</v>
      </c>
      <c r="K40" s="12"/>
      <c r="L40" s="12">
        <v>2.5479999999999999E-3</v>
      </c>
      <c r="M40" s="12">
        <v>2.5479999999999999E-3</v>
      </c>
      <c r="N40" s="12"/>
      <c r="O40" s="12"/>
      <c r="P40" s="12"/>
      <c r="Q40" s="12"/>
      <c r="R40" s="12"/>
      <c r="S40" s="7"/>
      <c r="T40" s="7"/>
      <c r="U40" s="12">
        <v>1.2092479999999999</v>
      </c>
      <c r="V40" s="12">
        <v>1.2092479999999999</v>
      </c>
      <c r="W40" s="7"/>
      <c r="X40" s="12"/>
      <c r="Y40" s="7"/>
      <c r="Z40" s="7"/>
      <c r="AA40" s="7"/>
      <c r="AB40" s="7">
        <f>3*10^5</f>
        <v>300000</v>
      </c>
      <c r="AC40" s="7"/>
      <c r="AD40" s="4"/>
      <c r="AE40" s="4"/>
      <c r="AF40" s="4"/>
      <c r="AG40" s="4"/>
      <c r="AH40" s="9"/>
      <c r="AI40" s="9"/>
      <c r="AJ40" s="9"/>
      <c r="AK40" s="9" t="s">
        <v>30</v>
      </c>
      <c r="AL40" s="10"/>
      <c r="AM40" s="10"/>
      <c r="AN40" s="10"/>
      <c r="AO40" s="10"/>
      <c r="AP40" s="10"/>
      <c r="AQ40" s="11">
        <v>11</v>
      </c>
      <c r="AR40" s="4" t="s">
        <v>32</v>
      </c>
      <c r="AS40" s="10" t="s">
        <v>949</v>
      </c>
      <c r="AT40" s="10" t="s">
        <v>866</v>
      </c>
      <c r="AU40" s="10"/>
      <c r="AV40" s="10"/>
      <c r="AW40" s="10"/>
      <c r="AX40" s="10"/>
      <c r="AY40" s="10"/>
      <c r="AZ40" s="10"/>
      <c r="BA40" s="10"/>
      <c r="BB40" s="10"/>
      <c r="BC40" s="10"/>
      <c r="BD40" s="10"/>
    </row>
    <row r="41" spans="1:56" ht="43.5" x14ac:dyDescent="0.35">
      <c r="A41" s="4" t="s">
        <v>222</v>
      </c>
      <c r="B41" s="4"/>
      <c r="C41" s="4" t="s">
        <v>66</v>
      </c>
      <c r="D41" s="4" t="s">
        <v>23</v>
      </c>
      <c r="E41" s="5" t="s">
        <v>34</v>
      </c>
      <c r="F41" s="4" t="s">
        <v>221</v>
      </c>
      <c r="G41" s="4" t="s">
        <v>35</v>
      </c>
      <c r="H41" s="4" t="s">
        <v>223</v>
      </c>
      <c r="I41" s="12">
        <v>1.9503999999999999</v>
      </c>
      <c r="J41" s="12">
        <v>1.95</v>
      </c>
      <c r="K41" s="12"/>
      <c r="L41" s="12">
        <v>2.5479999999999999E-3</v>
      </c>
      <c r="M41" s="67"/>
      <c r="N41" s="12"/>
      <c r="O41" s="12"/>
      <c r="P41" s="12"/>
      <c r="Q41" s="12"/>
      <c r="R41" s="12"/>
      <c r="S41" s="12"/>
      <c r="T41" s="12"/>
      <c r="U41" s="12"/>
      <c r="V41" s="12"/>
      <c r="W41" s="7"/>
      <c r="X41" s="12"/>
      <c r="Y41" s="7"/>
      <c r="Z41" s="7"/>
      <c r="AA41" s="7"/>
      <c r="AB41" s="7">
        <f>3*10^5</f>
        <v>300000</v>
      </c>
      <c r="AC41" s="7"/>
      <c r="AD41" s="4"/>
      <c r="AE41" s="4"/>
      <c r="AF41" s="4"/>
      <c r="AG41" s="4"/>
      <c r="AH41" s="9"/>
      <c r="AI41" s="9"/>
      <c r="AJ41" s="9"/>
      <c r="AK41" s="9" t="s">
        <v>30</v>
      </c>
      <c r="AL41" s="10"/>
      <c r="AM41" s="10"/>
      <c r="AN41" s="10"/>
      <c r="AO41" s="10"/>
      <c r="AP41" s="10"/>
      <c r="AQ41" s="11">
        <v>11</v>
      </c>
      <c r="AR41" s="4" t="s">
        <v>32</v>
      </c>
      <c r="AS41" s="10" t="s">
        <v>950</v>
      </c>
      <c r="AT41" s="10" t="s">
        <v>951</v>
      </c>
      <c r="AU41" s="10" t="s">
        <v>868</v>
      </c>
      <c r="AV41" s="10"/>
      <c r="AW41" s="10"/>
      <c r="AX41" s="10"/>
      <c r="AY41" s="10"/>
      <c r="AZ41" s="10"/>
      <c r="BA41" s="10"/>
      <c r="BB41" s="10"/>
      <c r="BC41" s="10"/>
      <c r="BD41" s="10"/>
    </row>
    <row r="42" spans="1:56" ht="87" x14ac:dyDescent="0.35">
      <c r="A42" s="4" t="s">
        <v>224</v>
      </c>
      <c r="B42" s="4" t="s">
        <v>1464</v>
      </c>
      <c r="C42" s="4" t="s">
        <v>22</v>
      </c>
      <c r="D42" s="4" t="s">
        <v>101</v>
      </c>
      <c r="E42" s="5" t="s">
        <v>34</v>
      </c>
      <c r="F42" s="4"/>
      <c r="G42" s="4" t="s">
        <v>35</v>
      </c>
      <c r="H42" s="65" t="s">
        <v>225</v>
      </c>
      <c r="I42" s="12" t="s">
        <v>728</v>
      </c>
      <c r="J42" s="12">
        <f>54.7483</f>
        <v>54.7483</v>
      </c>
      <c r="K42" s="12">
        <v>1</v>
      </c>
      <c r="L42" s="12" t="s">
        <v>729</v>
      </c>
      <c r="M42" s="67">
        <f>0.43896</f>
        <v>0.43896000000000002</v>
      </c>
      <c r="N42" s="12">
        <v>1</v>
      </c>
      <c r="O42" s="12" t="s">
        <v>1138</v>
      </c>
      <c r="P42" s="12">
        <f>103.5</f>
        <v>103.5</v>
      </c>
      <c r="Q42" s="12">
        <v>0.75</v>
      </c>
      <c r="R42" s="12" t="s">
        <v>1139</v>
      </c>
      <c r="S42" s="12">
        <f>103.5</f>
        <v>103.5</v>
      </c>
      <c r="T42" s="12">
        <v>1</v>
      </c>
      <c r="U42" s="12">
        <v>33.943945999999997</v>
      </c>
      <c r="V42" s="12">
        <v>33.943945999999997</v>
      </c>
      <c r="W42" s="7"/>
      <c r="X42" s="12"/>
      <c r="Y42" s="7"/>
      <c r="Z42" s="7">
        <v>9</v>
      </c>
      <c r="AA42" s="7">
        <v>1</v>
      </c>
      <c r="AB42" s="7"/>
      <c r="AC42" s="7"/>
      <c r="AD42" s="4" t="s">
        <v>227</v>
      </c>
      <c r="AE42" s="4"/>
      <c r="AF42" s="4"/>
      <c r="AG42" s="4"/>
      <c r="AH42" s="9"/>
      <c r="AI42" s="9"/>
      <c r="AJ42" s="9"/>
      <c r="AK42" s="9" t="s">
        <v>30</v>
      </c>
      <c r="AL42" s="10"/>
      <c r="AM42" s="10"/>
      <c r="AN42" s="10"/>
      <c r="AO42" s="10"/>
      <c r="AP42" s="10"/>
      <c r="AQ42" s="11" t="s">
        <v>228</v>
      </c>
      <c r="AR42" s="4" t="s">
        <v>32</v>
      </c>
      <c r="AS42" s="10" t="s">
        <v>863</v>
      </c>
      <c r="AT42" s="10"/>
      <c r="AU42" s="10"/>
      <c r="AV42" s="10"/>
      <c r="AW42" s="10"/>
      <c r="AX42" s="10"/>
      <c r="AY42" s="10"/>
      <c r="AZ42" s="10"/>
      <c r="BA42" s="10"/>
      <c r="BB42" s="10"/>
      <c r="BC42" s="10" t="s">
        <v>226</v>
      </c>
      <c r="BD42" s="10" t="s">
        <v>1140</v>
      </c>
    </row>
    <row r="43" spans="1:56" ht="58" x14ac:dyDescent="0.35">
      <c r="A43" s="4" t="s">
        <v>229</v>
      </c>
      <c r="B43" s="4"/>
      <c r="C43" s="4" t="s">
        <v>66</v>
      </c>
      <c r="D43" s="4" t="s">
        <v>23</v>
      </c>
      <c r="E43" s="5" t="s">
        <v>34</v>
      </c>
      <c r="F43" s="6"/>
      <c r="G43" s="4" t="s">
        <v>26</v>
      </c>
      <c r="H43" s="65" t="s">
        <v>230</v>
      </c>
      <c r="I43" s="12">
        <v>1.2</v>
      </c>
      <c r="J43" s="12">
        <v>1.2</v>
      </c>
      <c r="K43" s="12">
        <v>0.75</v>
      </c>
      <c r="L43" s="12">
        <v>1.4E-3</v>
      </c>
      <c r="M43" s="67">
        <v>1.4E-3</v>
      </c>
      <c r="N43" s="12">
        <v>0.75</v>
      </c>
      <c r="O43" s="12">
        <v>0</v>
      </c>
      <c r="P43" s="12">
        <v>0</v>
      </c>
      <c r="Q43" s="12">
        <v>0.75</v>
      </c>
      <c r="R43" s="12">
        <v>0</v>
      </c>
      <c r="S43" s="12">
        <v>0</v>
      </c>
      <c r="T43" s="12">
        <v>0.75</v>
      </c>
      <c r="U43" s="12"/>
      <c r="V43" s="12"/>
      <c r="W43" s="7"/>
      <c r="X43" s="12"/>
      <c r="Y43" s="7"/>
      <c r="Z43" s="7">
        <v>1</v>
      </c>
      <c r="AA43" s="7">
        <v>1</v>
      </c>
      <c r="AB43" s="7"/>
      <c r="AC43" s="7"/>
      <c r="AD43" s="4"/>
      <c r="AE43" s="4"/>
      <c r="AF43" s="4"/>
      <c r="AG43" s="4"/>
      <c r="AH43" s="9"/>
      <c r="AI43" s="9"/>
      <c r="AJ43" s="9"/>
      <c r="AK43" s="9" t="s">
        <v>30</v>
      </c>
      <c r="AL43" s="10"/>
      <c r="AM43" s="10"/>
      <c r="AN43" s="10"/>
      <c r="AO43" s="10"/>
      <c r="AP43" s="10"/>
      <c r="AQ43" s="11" t="s">
        <v>231</v>
      </c>
      <c r="AR43" s="4" t="s">
        <v>32</v>
      </c>
      <c r="AS43" s="10"/>
      <c r="AT43" s="10"/>
      <c r="AU43" s="10"/>
      <c r="AV43" s="10"/>
      <c r="AW43" s="10"/>
      <c r="AX43" s="10"/>
      <c r="AY43" s="10"/>
      <c r="AZ43" s="10"/>
      <c r="BA43" s="10"/>
      <c r="BB43" s="10"/>
      <c r="BC43" s="10"/>
      <c r="BD43" s="10"/>
    </row>
    <row r="44" spans="1:56" ht="43.5" x14ac:dyDescent="0.35">
      <c r="A44" s="4" t="s">
        <v>232</v>
      </c>
      <c r="B44" s="4"/>
      <c r="C44" s="4" t="s">
        <v>66</v>
      </c>
      <c r="D44" s="4" t="s">
        <v>23</v>
      </c>
      <c r="E44" s="5" t="s">
        <v>34</v>
      </c>
      <c r="F44" s="4" t="s">
        <v>221</v>
      </c>
      <c r="G44" s="4" t="s">
        <v>35</v>
      </c>
      <c r="H44" s="4"/>
      <c r="I44" s="12">
        <v>1.9503999999999999</v>
      </c>
      <c r="J44" s="12"/>
      <c r="K44" s="12"/>
      <c r="L44" s="12">
        <v>2.5479999999999999E-3</v>
      </c>
      <c r="M44" s="67"/>
      <c r="N44" s="12"/>
      <c r="O44" s="12"/>
      <c r="P44" s="12"/>
      <c r="Q44" s="12"/>
      <c r="R44" s="12"/>
      <c r="S44" s="12"/>
      <c r="T44" s="12"/>
      <c r="U44" s="12"/>
      <c r="V44" s="12"/>
      <c r="W44" s="7"/>
      <c r="X44" s="12"/>
      <c r="Y44" s="7"/>
      <c r="Z44" s="7"/>
      <c r="AA44" s="7"/>
      <c r="AB44" s="7">
        <f>3*10^5</f>
        <v>300000</v>
      </c>
      <c r="AC44" s="7"/>
      <c r="AD44" s="4"/>
      <c r="AE44" s="4"/>
      <c r="AF44" s="4"/>
      <c r="AG44" s="4"/>
      <c r="AH44" s="9"/>
      <c r="AI44" s="9"/>
      <c r="AJ44" s="9"/>
      <c r="AK44" s="9" t="s">
        <v>30</v>
      </c>
      <c r="AL44" s="10"/>
      <c r="AM44" s="10"/>
      <c r="AN44" s="10"/>
      <c r="AO44" s="10"/>
      <c r="AP44" s="10"/>
      <c r="AQ44" s="11">
        <v>11</v>
      </c>
      <c r="AR44" s="4" t="s">
        <v>32</v>
      </c>
      <c r="AS44" s="10" t="s">
        <v>950</v>
      </c>
      <c r="AT44" s="10" t="s">
        <v>951</v>
      </c>
      <c r="AU44" s="10" t="s">
        <v>868</v>
      </c>
      <c r="AV44" s="10"/>
      <c r="AW44" s="10"/>
      <c r="AX44" s="10"/>
      <c r="AY44" s="10"/>
      <c r="AZ44" s="10"/>
      <c r="BA44" s="10"/>
      <c r="BB44" s="10"/>
      <c r="BC44" s="10"/>
      <c r="BD44" s="10"/>
    </row>
    <row r="45" spans="1:56" ht="203" x14ac:dyDescent="0.35">
      <c r="A45" s="4" t="s">
        <v>233</v>
      </c>
      <c r="B45" s="4" t="s">
        <v>1475</v>
      </c>
      <c r="C45" s="4" t="s">
        <v>22</v>
      </c>
      <c r="D45" s="4" t="s">
        <v>33</v>
      </c>
      <c r="E45" s="5" t="s">
        <v>34</v>
      </c>
      <c r="F45" s="4"/>
      <c r="G45" s="4" t="s">
        <v>35</v>
      </c>
      <c r="H45" s="65" t="s">
        <v>1090</v>
      </c>
      <c r="I45" s="12">
        <f>(56*14.5+47.627*14)</f>
        <v>1478.778</v>
      </c>
      <c r="J45" s="12">
        <f>(56*14.5+47.627*14)/100</f>
        <v>14.78778</v>
      </c>
      <c r="K45" s="12">
        <v>0.75</v>
      </c>
      <c r="L45" s="12">
        <f>56*8/1000+0.166*14</f>
        <v>2.7720000000000002</v>
      </c>
      <c r="M45" s="67">
        <f>technologies[[#This Row],[Volume
Literature]]/100</f>
        <v>2.7720000000000002E-2</v>
      </c>
      <c r="N45" s="12">
        <v>0.5</v>
      </c>
      <c r="O45" s="12"/>
      <c r="P45" s="12">
        <f>technologies[[#This Row],[Power]]</f>
        <v>140</v>
      </c>
      <c r="Q45" s="12">
        <v>0.5</v>
      </c>
      <c r="R45" s="12">
        <f>1000*14</f>
        <v>14000</v>
      </c>
      <c r="S45" s="12">
        <f>technologies[[#This Row],[Power required
Literature]]/100</f>
        <v>140</v>
      </c>
      <c r="T45" s="12">
        <v>0.75</v>
      </c>
      <c r="U45" s="12">
        <v>11.830224000000001</v>
      </c>
      <c r="V45" s="12">
        <v>11.830224000000001</v>
      </c>
      <c r="W45" s="7"/>
      <c r="X45" s="12"/>
      <c r="Y45" s="7">
        <v>9</v>
      </c>
      <c r="Z45" s="7">
        <v>9</v>
      </c>
      <c r="AA45" s="7">
        <v>0.25</v>
      </c>
      <c r="AB45" s="7"/>
      <c r="AC45" s="7"/>
      <c r="AD45" s="65" t="s">
        <v>1163</v>
      </c>
      <c r="AE45" s="4">
        <f>2*4*14/14/60*365*24</f>
        <v>1168</v>
      </c>
      <c r="AF45" s="4"/>
      <c r="AG45" s="4">
        <v>0.5</v>
      </c>
      <c r="AH45" s="9" t="s">
        <v>235</v>
      </c>
      <c r="AI45" s="9" t="s">
        <v>236</v>
      </c>
      <c r="AJ45" s="9"/>
      <c r="AK45" s="9" t="s">
        <v>30</v>
      </c>
      <c r="AL45" s="10"/>
      <c r="AM45" s="10"/>
      <c r="AN45" s="10"/>
      <c r="AO45" s="10"/>
      <c r="AP45" s="10"/>
      <c r="AQ45" s="11" t="s">
        <v>237</v>
      </c>
      <c r="AR45" s="4"/>
      <c r="AS45" s="10"/>
      <c r="AT45" s="10" t="s">
        <v>1081</v>
      </c>
      <c r="AU45" s="10"/>
      <c r="AV45" s="10"/>
      <c r="AW45" s="10"/>
      <c r="AX45" s="10"/>
      <c r="AY45" s="10"/>
      <c r="AZ45" s="10"/>
      <c r="BA45" s="10"/>
      <c r="BB45" s="10"/>
      <c r="BC45" s="10" t="s">
        <v>234</v>
      </c>
      <c r="BD45" s="10"/>
    </row>
    <row r="46" spans="1:56" ht="101.5" x14ac:dyDescent="0.35">
      <c r="A46" s="4" t="s">
        <v>963</v>
      </c>
      <c r="B46" s="4"/>
      <c r="C46" s="4" t="s">
        <v>22</v>
      </c>
      <c r="D46" s="4" t="s">
        <v>101</v>
      </c>
      <c r="E46" s="5" t="s">
        <v>24</v>
      </c>
      <c r="F46" s="4"/>
      <c r="G46" s="4" t="s">
        <v>35</v>
      </c>
      <c r="H46" s="65" t="s">
        <v>1000</v>
      </c>
      <c r="I46" s="12">
        <v>100</v>
      </c>
      <c r="J46" s="12">
        <f>100*2/Crew_Size</f>
        <v>50</v>
      </c>
      <c r="K46" s="12">
        <v>0.25</v>
      </c>
      <c r="L46" s="12">
        <v>0.27</v>
      </c>
      <c r="M46" s="67">
        <f>technologies[[#This Row],[Volume
Literature]]*2/Crew_Size</f>
        <v>0.13500000000000001</v>
      </c>
      <c r="N46" s="12">
        <v>0.25</v>
      </c>
      <c r="O46" s="12"/>
      <c r="P46" s="12">
        <f>technologies[[#This Row],[Power]]</f>
        <v>25</v>
      </c>
      <c r="Q46" s="12">
        <v>0</v>
      </c>
      <c r="R46" s="12"/>
      <c r="S46" s="12">
        <f>100/Crew_Size</f>
        <v>25</v>
      </c>
      <c r="T46" s="12">
        <v>0</v>
      </c>
      <c r="U46" s="12">
        <v>124</v>
      </c>
      <c r="V46" s="12">
        <v>124</v>
      </c>
      <c r="W46" s="7"/>
      <c r="X46" s="12"/>
      <c r="Y46" s="7"/>
      <c r="Z46" s="7">
        <v>7</v>
      </c>
      <c r="AA46" s="7">
        <v>0.25</v>
      </c>
      <c r="AB46" s="7"/>
      <c r="AC46" s="7"/>
      <c r="AD46" s="4" t="s">
        <v>238</v>
      </c>
      <c r="AE46" s="13">
        <f>2</f>
        <v>2</v>
      </c>
      <c r="AF46" s="13"/>
      <c r="AG46" s="4">
        <v>0.75</v>
      </c>
      <c r="AH46" s="9"/>
      <c r="AI46" s="9"/>
      <c r="AJ46" s="9"/>
      <c r="AK46" s="9" t="s">
        <v>30</v>
      </c>
      <c r="AL46" s="10"/>
      <c r="AM46" s="10"/>
      <c r="AN46" s="10"/>
      <c r="AO46" s="10"/>
      <c r="AP46" s="10"/>
      <c r="AQ46" s="11" t="s">
        <v>239</v>
      </c>
      <c r="AR46" s="4" t="s">
        <v>32</v>
      </c>
      <c r="AS46" s="10" t="s">
        <v>871</v>
      </c>
      <c r="AT46" s="10"/>
      <c r="AU46" s="10"/>
      <c r="AV46" s="10"/>
      <c r="AW46" s="10"/>
      <c r="AX46" s="10"/>
      <c r="AY46" s="10"/>
      <c r="AZ46" s="10"/>
      <c r="BA46" s="10"/>
      <c r="BB46" s="10"/>
      <c r="BC46" s="10"/>
      <c r="BD46" s="10"/>
    </row>
    <row r="47" spans="1:56" ht="145" x14ac:dyDescent="0.35">
      <c r="A47" s="4" t="s">
        <v>240</v>
      </c>
      <c r="B47" s="4"/>
      <c r="C47" s="4" t="s">
        <v>186</v>
      </c>
      <c r="D47" s="4" t="s">
        <v>131</v>
      </c>
      <c r="E47" s="5"/>
      <c r="F47" s="6"/>
      <c r="G47" s="4" t="s">
        <v>26</v>
      </c>
      <c r="H47" s="65" t="s">
        <v>241</v>
      </c>
      <c r="I47" s="12"/>
      <c r="J47" s="12"/>
      <c r="K47" s="12"/>
      <c r="L47" s="12"/>
      <c r="M47" s="67"/>
      <c r="N47" s="12"/>
      <c r="O47" s="12"/>
      <c r="P47" s="12"/>
      <c r="Q47" s="12"/>
      <c r="R47" s="12"/>
      <c r="S47" s="12"/>
      <c r="T47" s="12"/>
      <c r="U47" s="12"/>
      <c r="V47" s="12"/>
      <c r="W47" s="7"/>
      <c r="X47" s="12"/>
      <c r="Y47" s="7"/>
      <c r="Z47" s="7"/>
      <c r="AA47" s="7"/>
      <c r="AB47" s="7"/>
      <c r="AC47" s="7"/>
      <c r="AD47" s="4"/>
      <c r="AE47" s="4"/>
      <c r="AF47" s="4"/>
      <c r="AG47" s="4"/>
      <c r="AH47" s="9"/>
      <c r="AI47" s="9"/>
      <c r="AJ47" s="9"/>
      <c r="AK47" s="9" t="s">
        <v>30</v>
      </c>
      <c r="AL47" s="10"/>
      <c r="AM47" s="10"/>
      <c r="AN47" s="10"/>
      <c r="AO47" s="10"/>
      <c r="AP47" s="10"/>
      <c r="AQ47" s="11">
        <v>6</v>
      </c>
      <c r="AR47" s="4"/>
      <c r="AS47" s="10" t="s">
        <v>958</v>
      </c>
      <c r="AT47" s="10"/>
      <c r="AU47" s="10"/>
      <c r="AV47" s="10"/>
      <c r="AW47" s="10"/>
      <c r="AX47" s="10"/>
      <c r="AY47" s="10"/>
      <c r="AZ47" s="10"/>
      <c r="BA47" s="10"/>
      <c r="BB47" s="10"/>
      <c r="BC47" s="10"/>
      <c r="BD47" s="10"/>
    </row>
    <row r="48" spans="1:56" ht="72.5" x14ac:dyDescent="0.35">
      <c r="A48" s="4" t="s">
        <v>242</v>
      </c>
      <c r="B48" s="4"/>
      <c r="C48" s="4" t="s">
        <v>186</v>
      </c>
      <c r="D48" s="4" t="s">
        <v>131</v>
      </c>
      <c r="E48" s="5"/>
      <c r="F48" s="6"/>
      <c r="G48" s="4" t="s">
        <v>26</v>
      </c>
      <c r="H48" s="65" t="s">
        <v>243</v>
      </c>
      <c r="I48" s="12"/>
      <c r="J48" s="12"/>
      <c r="K48" s="12"/>
      <c r="L48" s="12"/>
      <c r="M48" s="67"/>
      <c r="N48" s="12"/>
      <c r="O48" s="12"/>
      <c r="P48" s="12"/>
      <c r="Q48" s="12"/>
      <c r="R48" s="12"/>
      <c r="S48" s="12"/>
      <c r="T48" s="12"/>
      <c r="U48" s="12"/>
      <c r="V48" s="12"/>
      <c r="W48" s="7"/>
      <c r="X48" s="12"/>
      <c r="Y48" s="7"/>
      <c r="Z48" s="7"/>
      <c r="AA48" s="7"/>
      <c r="AB48" s="7"/>
      <c r="AC48" s="7"/>
      <c r="AD48" s="4"/>
      <c r="AE48" s="4"/>
      <c r="AF48" s="4"/>
      <c r="AG48" s="4"/>
      <c r="AH48" s="9"/>
      <c r="AI48" s="9"/>
      <c r="AJ48" s="9"/>
      <c r="AK48" s="9" t="s">
        <v>30</v>
      </c>
      <c r="AL48" s="10"/>
      <c r="AM48" s="10"/>
      <c r="AN48" s="10"/>
      <c r="AO48" s="10"/>
      <c r="AP48" s="10"/>
      <c r="AQ48" s="11">
        <v>5</v>
      </c>
      <c r="AR48" s="4"/>
      <c r="AS48" s="10" t="s">
        <v>958</v>
      </c>
      <c r="AT48" s="10"/>
      <c r="AU48" s="10"/>
      <c r="AV48" s="10"/>
      <c r="AW48" s="10"/>
      <c r="AX48" s="10"/>
      <c r="AY48" s="10"/>
      <c r="AZ48" s="10"/>
      <c r="BA48" s="10"/>
      <c r="BB48" s="10"/>
      <c r="BC48" s="10"/>
      <c r="BD48" s="10"/>
    </row>
    <row r="49" spans="1:56" ht="217.5" x14ac:dyDescent="0.35">
      <c r="A49" s="4" t="s">
        <v>979</v>
      </c>
      <c r="B49" s="4" t="s">
        <v>1476</v>
      </c>
      <c r="C49" s="4" t="s">
        <v>22</v>
      </c>
      <c r="D49" s="4" t="s">
        <v>33</v>
      </c>
      <c r="E49" s="5" t="s">
        <v>34</v>
      </c>
      <c r="F49" s="4"/>
      <c r="G49" s="4" t="s">
        <v>35</v>
      </c>
      <c r="H49" s="65" t="s">
        <v>1131</v>
      </c>
      <c r="I49" s="12" t="s">
        <v>730</v>
      </c>
      <c r="J49" s="12">
        <v>39.5</v>
      </c>
      <c r="K49" s="12">
        <v>0.75</v>
      </c>
      <c r="L49" s="12" t="s">
        <v>731</v>
      </c>
      <c r="M49" s="67">
        <v>8.666666666666667E-2</v>
      </c>
      <c r="N49" s="12">
        <v>0.75</v>
      </c>
      <c r="O49" s="12"/>
      <c r="P49" s="12">
        <v>76.666666666666657</v>
      </c>
      <c r="Q49" s="12">
        <v>0.5</v>
      </c>
      <c r="R49" s="12" t="s">
        <v>244</v>
      </c>
      <c r="S49" s="12">
        <v>76.666666666666657</v>
      </c>
      <c r="T49" s="12">
        <v>0.75</v>
      </c>
      <c r="U49" s="12">
        <v>39.5</v>
      </c>
      <c r="V49" s="12">
        <v>39.5</v>
      </c>
      <c r="W49" s="7">
        <v>90</v>
      </c>
      <c r="X49" s="12">
        <v>6.6666666666666662E-3</v>
      </c>
      <c r="Y49" s="7" t="s">
        <v>246</v>
      </c>
      <c r="Z49" s="7">
        <v>4</v>
      </c>
      <c r="AA49" s="7">
        <v>0.75</v>
      </c>
      <c r="AB49" s="7"/>
      <c r="AC49" s="7"/>
      <c r="AD49" s="4"/>
      <c r="AE49" s="4"/>
      <c r="AF49" s="4"/>
      <c r="AG49" s="4"/>
      <c r="AH49" s="9" t="s">
        <v>247</v>
      </c>
      <c r="AI49" s="9" t="s">
        <v>248</v>
      </c>
      <c r="AJ49" s="9"/>
      <c r="AK49" s="9" t="s">
        <v>30</v>
      </c>
      <c r="AL49" s="10"/>
      <c r="AM49" s="10"/>
      <c r="AN49" s="10"/>
      <c r="AO49" s="10"/>
      <c r="AP49" s="10"/>
      <c r="AQ49" s="11" t="s">
        <v>249</v>
      </c>
      <c r="AR49" s="4"/>
      <c r="AS49" s="10" t="s">
        <v>856</v>
      </c>
      <c r="AT49" s="10" t="s">
        <v>903</v>
      </c>
      <c r="AU49" s="10" t="s">
        <v>1081</v>
      </c>
      <c r="AV49" s="10" t="s">
        <v>905</v>
      </c>
      <c r="AW49" s="10"/>
      <c r="AX49" s="10"/>
      <c r="AY49" s="10"/>
      <c r="AZ49" s="10"/>
      <c r="BA49" s="10"/>
      <c r="BB49" s="10"/>
      <c r="BC49" s="10" t="s">
        <v>245</v>
      </c>
      <c r="BD49" s="10" t="s">
        <v>1100</v>
      </c>
    </row>
    <row r="50" spans="1:56" ht="304.5" x14ac:dyDescent="0.35">
      <c r="A50" s="4" t="s">
        <v>1091</v>
      </c>
      <c r="B50" s="4" t="s">
        <v>1477</v>
      </c>
      <c r="C50" s="4" t="s">
        <v>22</v>
      </c>
      <c r="D50" s="4" t="s">
        <v>33</v>
      </c>
      <c r="E50" s="5" t="s">
        <v>34</v>
      </c>
      <c r="F50" s="4"/>
      <c r="G50" s="4" t="s">
        <v>35</v>
      </c>
      <c r="H50" s="65" t="s">
        <v>1001</v>
      </c>
      <c r="I50" s="12" t="s">
        <v>1212</v>
      </c>
      <c r="J50" s="12">
        <f>195.4/6</f>
        <v>32.56666666666667</v>
      </c>
      <c r="K50" s="12">
        <v>1</v>
      </c>
      <c r="L50" s="12" t="s">
        <v>732</v>
      </c>
      <c r="M50" s="67">
        <f>0.39/6</f>
        <v>6.5000000000000002E-2</v>
      </c>
      <c r="N50" s="12">
        <v>1</v>
      </c>
      <c r="O50" s="12" t="s">
        <v>1092</v>
      </c>
      <c r="P50" s="12">
        <f>860/6</f>
        <v>143.33333333333334</v>
      </c>
      <c r="Q50" s="12">
        <v>0.75</v>
      </c>
      <c r="R50" s="12" t="s">
        <v>250</v>
      </c>
      <c r="S50" s="12">
        <f>860/6</f>
        <v>143.33333333333334</v>
      </c>
      <c r="T50" s="12">
        <v>0.75</v>
      </c>
      <c r="U50" s="12">
        <v>0</v>
      </c>
      <c r="V50" s="12">
        <v>50.67562920000001</v>
      </c>
      <c r="W50" s="7" t="s">
        <v>252</v>
      </c>
      <c r="X50" s="12">
        <v>6.0999999999999999E-2</v>
      </c>
      <c r="Y50" s="7" t="s">
        <v>253</v>
      </c>
      <c r="Z50" s="7">
        <v>9</v>
      </c>
      <c r="AA50" s="7">
        <v>1</v>
      </c>
      <c r="AB50" s="8">
        <f>1/(1/156200+1/129700+1/100000+1/77100+1/242700+1/129700+1/2272000+1/117000+1/77100)</f>
        <v>14110.333149554977</v>
      </c>
      <c r="AC50" s="7">
        <v>0.75</v>
      </c>
      <c r="AD50" s="4" t="s">
        <v>1156</v>
      </c>
      <c r="AE50" s="13"/>
      <c r="AF50" s="13">
        <v>2.7</v>
      </c>
      <c r="AG50" s="4">
        <v>0.75</v>
      </c>
      <c r="AH50" s="9"/>
      <c r="AI50" s="9"/>
      <c r="AJ50" s="9"/>
      <c r="AK50" s="9" t="s">
        <v>30</v>
      </c>
      <c r="AL50" s="10"/>
      <c r="AM50" s="10" t="s">
        <v>254</v>
      </c>
      <c r="AN50" s="10" t="s">
        <v>255</v>
      </c>
      <c r="AO50" s="10" t="s">
        <v>254</v>
      </c>
      <c r="AP50" s="10" t="s">
        <v>256</v>
      </c>
      <c r="AQ50" s="11" t="s">
        <v>257</v>
      </c>
      <c r="AR50" s="4" t="s">
        <v>258</v>
      </c>
      <c r="AS50" s="10"/>
      <c r="AT50" s="10" t="s">
        <v>1081</v>
      </c>
      <c r="AU50" s="10"/>
      <c r="AV50" s="10"/>
      <c r="AW50" s="10"/>
      <c r="AX50" s="10"/>
      <c r="AY50" s="10"/>
      <c r="AZ50" s="10"/>
      <c r="BA50" s="10"/>
      <c r="BB50" s="10"/>
      <c r="BC50" s="10" t="s">
        <v>251</v>
      </c>
      <c r="BD50" s="10" t="s">
        <v>1097</v>
      </c>
    </row>
    <row r="51" spans="1:56" ht="333.5" x14ac:dyDescent="0.35">
      <c r="A51" s="4" t="s">
        <v>259</v>
      </c>
      <c r="B51" s="4" t="s">
        <v>25</v>
      </c>
      <c r="C51" s="4" t="s">
        <v>22</v>
      </c>
      <c r="D51" s="4" t="s">
        <v>23</v>
      </c>
      <c r="E51" s="5" t="s">
        <v>24</v>
      </c>
      <c r="F51" s="4"/>
      <c r="G51" s="4" t="s">
        <v>35</v>
      </c>
      <c r="H51" s="65" t="s">
        <v>260</v>
      </c>
      <c r="I51" s="12" t="s">
        <v>733</v>
      </c>
      <c r="J51" s="12">
        <v>79.831800000000001</v>
      </c>
      <c r="K51" s="12">
        <v>1</v>
      </c>
      <c r="L51" s="12" t="s">
        <v>734</v>
      </c>
      <c r="M51" s="67">
        <f>0.271866</f>
        <v>0.271866</v>
      </c>
      <c r="N51" s="12">
        <v>1</v>
      </c>
      <c r="O51" s="12" t="s">
        <v>1099</v>
      </c>
      <c r="P51" s="12">
        <f>130</f>
        <v>130</v>
      </c>
      <c r="Q51" s="12">
        <v>1</v>
      </c>
      <c r="R51" s="12" t="s">
        <v>1098</v>
      </c>
      <c r="S51" s="12">
        <f>180</f>
        <v>180</v>
      </c>
      <c r="T51" s="12">
        <v>1</v>
      </c>
      <c r="U51" s="12">
        <v>49.495716000000002</v>
      </c>
      <c r="V51" s="12">
        <v>49.495716000000002</v>
      </c>
      <c r="W51" s="7"/>
      <c r="X51" s="12">
        <v>6.6027397260273971E-2</v>
      </c>
      <c r="Y51" s="7" t="s">
        <v>262</v>
      </c>
      <c r="Z51" s="7">
        <v>9</v>
      </c>
      <c r="AA51" s="7">
        <v>1</v>
      </c>
      <c r="AB51" s="8">
        <f>1/(1/215000+1/121500+1/89500+1/483000+1/936000+1/241000)</f>
        <v>31905.104662908674</v>
      </c>
      <c r="AC51" s="7">
        <v>0.75</v>
      </c>
      <c r="AD51" s="4" t="s">
        <v>1137</v>
      </c>
      <c r="AE51" s="13"/>
      <c r="AF51" s="13">
        <f>4.37</f>
        <v>4.37</v>
      </c>
      <c r="AG51" s="4">
        <v>0.75</v>
      </c>
      <c r="AH51" s="9" t="s">
        <v>263</v>
      </c>
      <c r="AI51" s="9" t="s">
        <v>264</v>
      </c>
      <c r="AJ51" s="9" t="s">
        <v>265</v>
      </c>
      <c r="AK51" s="9" t="s">
        <v>30</v>
      </c>
      <c r="AL51" s="10"/>
      <c r="AM51" s="10" t="s">
        <v>266</v>
      </c>
      <c r="AN51" s="10" t="s">
        <v>267</v>
      </c>
      <c r="AO51" s="10"/>
      <c r="AP51" s="10" t="s">
        <v>268</v>
      </c>
      <c r="AQ51" s="11" t="s">
        <v>269</v>
      </c>
      <c r="AR51" s="4" t="s">
        <v>32</v>
      </c>
      <c r="AS51" s="10" t="s">
        <v>855</v>
      </c>
      <c r="AT51" s="10"/>
      <c r="AU51" s="10"/>
      <c r="AV51" s="10"/>
      <c r="AW51" s="10"/>
      <c r="AX51" s="10"/>
      <c r="AY51" s="10"/>
      <c r="AZ51" s="10"/>
      <c r="BA51" s="10"/>
      <c r="BB51" s="10"/>
      <c r="BC51" s="10" t="s">
        <v>261</v>
      </c>
      <c r="BD51" s="10">
        <v>101</v>
      </c>
    </row>
    <row r="52" spans="1:56" ht="188.5" x14ac:dyDescent="0.35">
      <c r="A52" s="4" t="s">
        <v>270</v>
      </c>
      <c r="B52" s="4"/>
      <c r="C52" s="4" t="s">
        <v>46</v>
      </c>
      <c r="D52" s="4" t="s">
        <v>165</v>
      </c>
      <c r="E52" s="5" t="s">
        <v>24</v>
      </c>
      <c r="F52" s="4"/>
      <c r="G52" s="4" t="s">
        <v>67</v>
      </c>
      <c r="H52" s="65" t="s">
        <v>1107</v>
      </c>
      <c r="I52" s="12" t="s">
        <v>736</v>
      </c>
      <c r="J52" s="12">
        <v>80.14898035363457</v>
      </c>
      <c r="K52" s="12">
        <v>0.5</v>
      </c>
      <c r="L52" s="12" t="s">
        <v>735</v>
      </c>
      <c r="M52" s="67">
        <v>0.37034695481335944</v>
      </c>
      <c r="N52" s="12">
        <v>0.5</v>
      </c>
      <c r="O52" s="12" t="s">
        <v>1135</v>
      </c>
      <c r="P52" s="12">
        <v>167.31161100196462</v>
      </c>
      <c r="Q52" s="12">
        <v>0.5</v>
      </c>
      <c r="R52" s="12" t="s">
        <v>1134</v>
      </c>
      <c r="S52" s="12">
        <v>167.31161100196462</v>
      </c>
      <c r="T52" s="12">
        <v>0.5</v>
      </c>
      <c r="U52" s="12"/>
      <c r="V52" s="12"/>
      <c r="W52" s="7" t="s">
        <v>1133</v>
      </c>
      <c r="X52" s="12">
        <v>0.26874734774066794</v>
      </c>
      <c r="Y52" s="7" t="s">
        <v>273</v>
      </c>
      <c r="Z52" s="7">
        <v>9</v>
      </c>
      <c r="AA52" s="7">
        <v>1</v>
      </c>
      <c r="AB52" s="8">
        <v>40600</v>
      </c>
      <c r="AC52" s="7">
        <v>0.5</v>
      </c>
      <c r="AD52" s="4" t="s">
        <v>274</v>
      </c>
      <c r="AE52" s="13">
        <f>128/9*Crew_Size/500*Mission_Duration</f>
        <v>68.266666666666666</v>
      </c>
      <c r="AF52" s="13"/>
      <c r="AG52" s="4">
        <v>0.5</v>
      </c>
      <c r="AH52" s="9" t="s">
        <v>275</v>
      </c>
      <c r="AI52" s="9" t="s">
        <v>276</v>
      </c>
      <c r="AJ52" s="9" t="s">
        <v>277</v>
      </c>
      <c r="AK52" s="9" t="s">
        <v>30</v>
      </c>
      <c r="AL52" s="10" t="s">
        <v>278</v>
      </c>
      <c r="AM52" s="10" t="s">
        <v>279</v>
      </c>
      <c r="AN52" s="10" t="s">
        <v>280</v>
      </c>
      <c r="AO52" s="10" t="s">
        <v>281</v>
      </c>
      <c r="AP52" s="10" t="s">
        <v>282</v>
      </c>
      <c r="AQ52" s="11" t="s">
        <v>283</v>
      </c>
      <c r="AR52" s="4" t="s">
        <v>284</v>
      </c>
      <c r="AS52" s="10" t="s">
        <v>861</v>
      </c>
      <c r="AT52" s="10" t="s">
        <v>858</v>
      </c>
      <c r="AU52" s="10" t="s">
        <v>859</v>
      </c>
      <c r="AV52" s="10"/>
      <c r="AW52" s="10"/>
      <c r="AX52" s="10"/>
      <c r="AY52" s="10"/>
      <c r="AZ52" s="10"/>
      <c r="BA52" s="10"/>
      <c r="BB52" s="10"/>
      <c r="BC52" s="10" t="s">
        <v>271</v>
      </c>
      <c r="BD52" s="10" t="s">
        <v>272</v>
      </c>
    </row>
    <row r="53" spans="1:56" ht="29" x14ac:dyDescent="0.35">
      <c r="A53" s="4" t="s">
        <v>285</v>
      </c>
      <c r="B53" s="4"/>
      <c r="C53" s="4" t="s">
        <v>66</v>
      </c>
      <c r="D53" s="4" t="s">
        <v>23</v>
      </c>
      <c r="E53" s="5" t="s">
        <v>34</v>
      </c>
      <c r="F53" s="4" t="s">
        <v>221</v>
      </c>
      <c r="G53" s="4" t="s">
        <v>26</v>
      </c>
      <c r="H53" s="4" t="s">
        <v>286</v>
      </c>
      <c r="I53" s="12" t="s">
        <v>1157</v>
      </c>
      <c r="J53" s="12"/>
      <c r="K53" s="12"/>
      <c r="L53" s="12" t="s">
        <v>1158</v>
      </c>
      <c r="M53" s="67"/>
      <c r="N53" s="12"/>
      <c r="O53" s="12">
        <v>0</v>
      </c>
      <c r="P53" s="12"/>
      <c r="Q53" s="12"/>
      <c r="R53" s="12">
        <v>0</v>
      </c>
      <c r="S53" s="12"/>
      <c r="T53" s="12"/>
      <c r="U53" s="12"/>
      <c r="V53" s="12"/>
      <c r="W53" s="7"/>
      <c r="X53" s="12"/>
      <c r="Y53" s="7"/>
      <c r="Z53" s="7"/>
      <c r="AA53" s="7"/>
      <c r="AB53" s="7"/>
      <c r="AC53" s="7"/>
      <c r="AD53" s="4"/>
      <c r="AE53" s="4"/>
      <c r="AF53" s="4"/>
      <c r="AG53" s="4"/>
      <c r="AH53" s="9"/>
      <c r="AI53" s="9"/>
      <c r="AJ53" s="9"/>
      <c r="AK53" s="9" t="s">
        <v>30</v>
      </c>
      <c r="AL53" s="10"/>
      <c r="AM53" s="10"/>
      <c r="AN53" s="10"/>
      <c r="AO53" s="10"/>
      <c r="AP53" s="10"/>
      <c r="AQ53" s="11" t="s">
        <v>231</v>
      </c>
      <c r="AR53" s="4" t="s">
        <v>287</v>
      </c>
      <c r="AS53" s="10"/>
      <c r="AT53" s="10"/>
      <c r="AU53" s="10"/>
      <c r="AV53" s="10"/>
      <c r="AW53" s="10"/>
      <c r="AX53" s="10"/>
      <c r="AY53" s="10"/>
      <c r="AZ53" s="10"/>
      <c r="BA53" s="10"/>
      <c r="BB53" s="10"/>
      <c r="BC53" s="10"/>
      <c r="BD53" s="10"/>
    </row>
    <row r="54" spans="1:56" ht="29" x14ac:dyDescent="0.35">
      <c r="A54" s="4" t="s">
        <v>288</v>
      </c>
      <c r="B54" s="4"/>
      <c r="C54" s="4" t="s">
        <v>66</v>
      </c>
      <c r="D54" s="4" t="s">
        <v>23</v>
      </c>
      <c r="E54" s="5" t="s">
        <v>34</v>
      </c>
      <c r="F54" s="6"/>
      <c r="G54" s="4" t="s">
        <v>26</v>
      </c>
      <c r="H54" s="4"/>
      <c r="I54" s="12">
        <v>0.90710000000000002</v>
      </c>
      <c r="J54" s="12"/>
      <c r="K54" s="12"/>
      <c r="L54" s="12">
        <v>1.8900000000000001E-4</v>
      </c>
      <c r="M54" s="67"/>
      <c r="N54" s="12"/>
      <c r="O54" s="12"/>
      <c r="P54" s="12"/>
      <c r="Q54" s="12"/>
      <c r="R54" s="12"/>
      <c r="S54" s="12"/>
      <c r="T54" s="12"/>
      <c r="U54" s="12"/>
      <c r="V54" s="12"/>
      <c r="W54" s="7"/>
      <c r="X54" s="12"/>
      <c r="Y54" s="7"/>
      <c r="Z54" s="7"/>
      <c r="AA54" s="7"/>
      <c r="AB54" s="7"/>
      <c r="AC54" s="7"/>
      <c r="AD54" s="4"/>
      <c r="AE54" s="4"/>
      <c r="AF54" s="4"/>
      <c r="AG54" s="4"/>
      <c r="AH54" s="9"/>
      <c r="AI54" s="9"/>
      <c r="AJ54" s="9"/>
      <c r="AK54" s="9" t="s">
        <v>30</v>
      </c>
      <c r="AL54" s="10"/>
      <c r="AM54" s="10"/>
      <c r="AN54" s="10"/>
      <c r="AO54" s="10"/>
      <c r="AP54" s="10"/>
      <c r="AQ54" s="11">
        <v>11</v>
      </c>
      <c r="AR54" s="4" t="s">
        <v>32</v>
      </c>
      <c r="AS54" s="10" t="s">
        <v>954</v>
      </c>
      <c r="AT54" s="10" t="s">
        <v>955</v>
      </c>
      <c r="AU54" s="10"/>
      <c r="AV54" s="10"/>
      <c r="AW54" s="10"/>
      <c r="AX54" s="10"/>
      <c r="AY54" s="10"/>
      <c r="AZ54" s="10"/>
      <c r="BA54" s="10"/>
      <c r="BB54" s="10"/>
      <c r="BC54" s="10"/>
      <c r="BD54" s="10"/>
    </row>
    <row r="55" spans="1:56" ht="29" x14ac:dyDescent="0.35">
      <c r="A55" s="4" t="s">
        <v>289</v>
      </c>
      <c r="B55" s="4"/>
      <c r="C55" s="4" t="s">
        <v>66</v>
      </c>
      <c r="D55" s="4" t="s">
        <v>101</v>
      </c>
      <c r="E55" s="5" t="s">
        <v>34</v>
      </c>
      <c r="F55" s="6"/>
      <c r="G55" s="4" t="s">
        <v>26</v>
      </c>
      <c r="H55" s="4" t="s">
        <v>290</v>
      </c>
      <c r="I55" s="12">
        <v>0.84360000000000002</v>
      </c>
      <c r="J55" s="12"/>
      <c r="K55" s="12"/>
      <c r="L55" s="12">
        <v>2.5479999999999999E-3</v>
      </c>
      <c r="M55" s="67"/>
      <c r="N55" s="12"/>
      <c r="O55" s="12"/>
      <c r="P55" s="12"/>
      <c r="Q55" s="12"/>
      <c r="R55" s="12"/>
      <c r="S55" s="12"/>
      <c r="T55" s="12"/>
      <c r="U55" s="12"/>
      <c r="V55" s="12"/>
      <c r="W55" s="7"/>
      <c r="X55" s="12"/>
      <c r="Y55" s="7"/>
      <c r="Z55" s="7"/>
      <c r="AA55" s="7"/>
      <c r="AB55" s="7"/>
      <c r="AC55" s="7"/>
      <c r="AD55" s="4"/>
      <c r="AE55" s="4"/>
      <c r="AF55" s="4"/>
      <c r="AG55" s="4"/>
      <c r="AH55" s="9"/>
      <c r="AI55" s="9"/>
      <c r="AJ55" s="9"/>
      <c r="AK55" s="9" t="s">
        <v>30</v>
      </c>
      <c r="AL55" s="10"/>
      <c r="AM55" s="10"/>
      <c r="AN55" s="10"/>
      <c r="AO55" s="10"/>
      <c r="AP55" s="10"/>
      <c r="AQ55" s="11">
        <v>11</v>
      </c>
      <c r="AR55" s="4" t="s">
        <v>32</v>
      </c>
      <c r="AS55" s="10" t="s">
        <v>955</v>
      </c>
      <c r="AT55" s="10"/>
      <c r="AU55" s="10"/>
      <c r="AV55" s="10"/>
      <c r="AW55" s="10"/>
      <c r="AX55" s="10"/>
      <c r="AY55" s="10"/>
      <c r="AZ55" s="10"/>
      <c r="BA55" s="10"/>
      <c r="BB55" s="10"/>
      <c r="BC55" s="10"/>
      <c r="BD55" s="10"/>
    </row>
    <row r="56" spans="1:56" ht="58" x14ac:dyDescent="0.35">
      <c r="A56" s="4" t="s">
        <v>291</v>
      </c>
      <c r="B56" s="4"/>
      <c r="C56" s="4" t="s">
        <v>22</v>
      </c>
      <c r="D56" s="4" t="s">
        <v>292</v>
      </c>
      <c r="E56" s="5" t="s">
        <v>24</v>
      </c>
      <c r="F56" s="6"/>
      <c r="G56" s="4" t="s">
        <v>26</v>
      </c>
      <c r="H56" s="65" t="s">
        <v>1002</v>
      </c>
      <c r="I56" s="12"/>
      <c r="J56" s="12"/>
      <c r="K56" s="12"/>
      <c r="L56" s="12"/>
      <c r="M56" s="67"/>
      <c r="N56" s="12"/>
      <c r="O56" s="12"/>
      <c r="P56" s="12"/>
      <c r="Q56" s="12"/>
      <c r="R56" s="12"/>
      <c r="S56" s="12"/>
      <c r="T56" s="12"/>
      <c r="U56" s="12"/>
      <c r="V56" s="12"/>
      <c r="W56" s="7"/>
      <c r="X56" s="12"/>
      <c r="Y56" s="7"/>
      <c r="Z56" s="7"/>
      <c r="AA56" s="7"/>
      <c r="AB56" s="7"/>
      <c r="AC56" s="7"/>
      <c r="AD56" s="4"/>
      <c r="AE56" s="4"/>
      <c r="AF56" s="4"/>
      <c r="AG56" s="4"/>
      <c r="AH56" s="9"/>
      <c r="AI56" s="9" t="s">
        <v>293</v>
      </c>
      <c r="AJ56" s="9"/>
      <c r="AK56" s="9" t="s">
        <v>294</v>
      </c>
      <c r="AL56" s="10" t="s">
        <v>295</v>
      </c>
      <c r="AM56" s="10"/>
      <c r="AN56" s="10"/>
      <c r="AO56" s="10"/>
      <c r="AP56" s="10"/>
      <c r="AQ56" s="11">
        <v>1</v>
      </c>
      <c r="AR56" s="4"/>
      <c r="AS56" s="10"/>
      <c r="AT56" s="10"/>
      <c r="AU56" s="10"/>
      <c r="AV56" s="10"/>
      <c r="AW56" s="10"/>
      <c r="AX56" s="10"/>
      <c r="AY56" s="10"/>
      <c r="AZ56" s="10"/>
      <c r="BA56" s="10"/>
      <c r="BB56" s="10"/>
      <c r="BC56" s="10"/>
      <c r="BD56" s="10"/>
    </row>
    <row r="57" spans="1:56" ht="130.5" x14ac:dyDescent="0.35">
      <c r="A57" s="4" t="s">
        <v>296</v>
      </c>
      <c r="B57" s="4"/>
      <c r="C57" s="4" t="s">
        <v>22</v>
      </c>
      <c r="D57" s="4" t="s">
        <v>292</v>
      </c>
      <c r="E57" s="5" t="s">
        <v>24</v>
      </c>
      <c r="F57" s="6"/>
      <c r="G57" s="4" t="s">
        <v>26</v>
      </c>
      <c r="H57" s="65" t="s">
        <v>1003</v>
      </c>
      <c r="I57" s="12"/>
      <c r="J57" s="12"/>
      <c r="K57" s="12"/>
      <c r="L57" s="12"/>
      <c r="M57" s="67"/>
      <c r="N57" s="12"/>
      <c r="O57" s="12"/>
      <c r="P57" s="12"/>
      <c r="Q57" s="12"/>
      <c r="R57" s="12"/>
      <c r="S57" s="12"/>
      <c r="T57" s="12"/>
      <c r="U57" s="12"/>
      <c r="V57" s="12"/>
      <c r="W57" s="7"/>
      <c r="X57" s="12"/>
      <c r="Y57" s="7"/>
      <c r="Z57" s="7"/>
      <c r="AA57" s="7"/>
      <c r="AB57" s="7"/>
      <c r="AC57" s="7"/>
      <c r="AD57" s="4"/>
      <c r="AE57" s="4"/>
      <c r="AF57" s="4"/>
      <c r="AG57" s="4"/>
      <c r="AH57" s="9" t="s">
        <v>297</v>
      </c>
      <c r="AI57" s="9" t="s">
        <v>298</v>
      </c>
      <c r="AJ57" s="9"/>
      <c r="AK57" s="9" t="s">
        <v>299</v>
      </c>
      <c r="AL57" s="10" t="s">
        <v>300</v>
      </c>
      <c r="AM57" s="10"/>
      <c r="AN57" s="10"/>
      <c r="AO57" s="10"/>
      <c r="AP57" s="10"/>
      <c r="AQ57" s="11">
        <v>1</v>
      </c>
      <c r="AR57" s="4"/>
      <c r="AS57" s="10"/>
      <c r="AT57" s="10"/>
      <c r="AU57" s="10" t="s">
        <v>867</v>
      </c>
      <c r="AV57" s="10"/>
      <c r="AW57" s="10"/>
      <c r="AX57" s="10"/>
      <c r="AY57" s="10"/>
      <c r="AZ57" s="10"/>
      <c r="BA57" s="10"/>
      <c r="BB57" s="10"/>
      <c r="BC57" s="10">
        <v>1005</v>
      </c>
      <c r="BD57" s="10" t="s">
        <v>1096</v>
      </c>
    </row>
    <row r="58" spans="1:56" ht="29" x14ac:dyDescent="0.35">
      <c r="A58" s="4" t="s">
        <v>301</v>
      </c>
      <c r="B58" s="4"/>
      <c r="C58" s="4" t="s">
        <v>66</v>
      </c>
      <c r="D58" s="4" t="s">
        <v>23</v>
      </c>
      <c r="E58" s="5" t="s">
        <v>34</v>
      </c>
      <c r="F58" s="6"/>
      <c r="G58" s="4" t="s">
        <v>26</v>
      </c>
      <c r="H58" s="4" t="s">
        <v>302</v>
      </c>
      <c r="I58" s="12" t="s">
        <v>821</v>
      </c>
      <c r="J58" s="12">
        <v>1.5</v>
      </c>
      <c r="K58" s="12"/>
      <c r="L58" s="12" t="s">
        <v>824</v>
      </c>
      <c r="M58" s="67">
        <v>4.0000000000000001E-3</v>
      </c>
      <c r="N58" s="12"/>
      <c r="O58" s="12"/>
      <c r="P58" s="12"/>
      <c r="Q58" s="12"/>
      <c r="R58" s="12" t="s">
        <v>303</v>
      </c>
      <c r="S58" s="12"/>
      <c r="T58" s="12"/>
      <c r="U58" s="12"/>
      <c r="V58" s="12"/>
      <c r="W58" s="7"/>
      <c r="X58" s="12"/>
      <c r="Y58" s="7"/>
      <c r="Z58" s="7"/>
      <c r="AA58" s="7"/>
      <c r="AB58" s="7">
        <f>5*10^5</f>
        <v>500000</v>
      </c>
      <c r="AC58" s="7"/>
      <c r="AD58" s="4"/>
      <c r="AE58" s="4"/>
      <c r="AF58" s="4"/>
      <c r="AG58" s="4"/>
      <c r="AH58" s="9"/>
      <c r="AI58" s="9"/>
      <c r="AJ58" s="9"/>
      <c r="AK58" s="9" t="s">
        <v>30</v>
      </c>
      <c r="AL58" s="10"/>
      <c r="AM58" s="10"/>
      <c r="AN58" s="10"/>
      <c r="AO58" s="10"/>
      <c r="AP58" s="10"/>
      <c r="AQ58" s="11" t="s">
        <v>231</v>
      </c>
      <c r="AR58" s="4" t="s">
        <v>32</v>
      </c>
      <c r="AS58" s="10"/>
      <c r="AT58" s="10"/>
      <c r="AU58" s="10"/>
      <c r="AV58" s="10"/>
      <c r="AW58" s="10"/>
      <c r="AX58" s="10"/>
      <c r="AY58" s="10"/>
      <c r="AZ58" s="10"/>
      <c r="BA58" s="10"/>
      <c r="BB58" s="10"/>
      <c r="BC58" s="10"/>
      <c r="BD58" s="10"/>
    </row>
    <row r="59" spans="1:56" ht="58" x14ac:dyDescent="0.35">
      <c r="A59" s="4" t="s">
        <v>304</v>
      </c>
      <c r="B59" s="4" t="s">
        <v>1478</v>
      </c>
      <c r="C59" s="4" t="s">
        <v>66</v>
      </c>
      <c r="D59" s="4" t="s">
        <v>23</v>
      </c>
      <c r="E59" s="5" t="s">
        <v>34</v>
      </c>
      <c r="F59" s="4"/>
      <c r="G59" s="4" t="s">
        <v>35</v>
      </c>
      <c r="H59" s="65" t="s">
        <v>305</v>
      </c>
      <c r="I59" s="12">
        <v>7.5</v>
      </c>
      <c r="J59" s="12">
        <v>7.5</v>
      </c>
      <c r="K59" s="12">
        <v>0.75</v>
      </c>
      <c r="L59" s="12">
        <v>1.2200000000000001E-2</v>
      </c>
      <c r="M59" s="67">
        <v>1.2200000000000001E-2</v>
      </c>
      <c r="N59" s="12">
        <v>0.75</v>
      </c>
      <c r="O59" s="12"/>
      <c r="P59" s="12">
        <v>0</v>
      </c>
      <c r="Q59" s="12"/>
      <c r="R59" s="12">
        <v>5.5</v>
      </c>
      <c r="S59" s="12">
        <v>5.5</v>
      </c>
      <c r="T59" s="12">
        <v>0.75</v>
      </c>
      <c r="U59" s="12">
        <v>4.6500000000000004</v>
      </c>
      <c r="V59" s="12">
        <v>4.6500000000000004</v>
      </c>
      <c r="W59" s="7"/>
      <c r="X59" s="12"/>
      <c r="Y59" s="7"/>
      <c r="Z59" s="7">
        <v>9</v>
      </c>
      <c r="AA59" s="7">
        <v>1</v>
      </c>
      <c r="AB59" s="7"/>
      <c r="AC59" s="7"/>
      <c r="AD59" s="4"/>
      <c r="AE59" s="4"/>
      <c r="AF59" s="4"/>
      <c r="AG59" s="4"/>
      <c r="AH59" s="9"/>
      <c r="AI59" s="9"/>
      <c r="AJ59" s="9"/>
      <c r="AK59" s="9" t="s">
        <v>30</v>
      </c>
      <c r="AL59" s="10"/>
      <c r="AM59" s="10"/>
      <c r="AN59" s="10"/>
      <c r="AO59" s="10"/>
      <c r="AP59" s="10"/>
      <c r="AQ59" s="11">
        <v>23</v>
      </c>
      <c r="AR59" s="4"/>
      <c r="AS59" s="10" t="s">
        <v>952</v>
      </c>
      <c r="AT59" s="10" t="s">
        <v>866</v>
      </c>
      <c r="AU59" s="10"/>
      <c r="AV59" s="10"/>
      <c r="AW59" s="10"/>
      <c r="AX59" s="10"/>
      <c r="AY59" s="10"/>
      <c r="AZ59" s="10"/>
      <c r="BA59" s="10"/>
      <c r="BB59" s="10"/>
      <c r="BC59" s="10"/>
      <c r="BD59" s="10"/>
    </row>
    <row r="60" spans="1:56" ht="29" x14ac:dyDescent="0.35">
      <c r="A60" s="4" t="s">
        <v>306</v>
      </c>
      <c r="B60" s="4"/>
      <c r="C60" s="4" t="s">
        <v>66</v>
      </c>
      <c r="D60" s="4" t="s">
        <v>23</v>
      </c>
      <c r="E60" s="5" t="s">
        <v>34</v>
      </c>
      <c r="F60" s="6"/>
      <c r="G60" s="4" t="s">
        <v>26</v>
      </c>
      <c r="H60" s="4"/>
      <c r="I60" s="12" t="s">
        <v>820</v>
      </c>
      <c r="J60" s="12"/>
      <c r="K60" s="12"/>
      <c r="L60" s="12" t="s">
        <v>822</v>
      </c>
      <c r="M60" s="67"/>
      <c r="N60" s="12"/>
      <c r="O60" s="12"/>
      <c r="P60" s="12"/>
      <c r="Q60" s="12"/>
      <c r="R60" s="12" t="s">
        <v>307</v>
      </c>
      <c r="S60" s="12"/>
      <c r="T60" s="12"/>
      <c r="U60" s="12"/>
      <c r="V60" s="12"/>
      <c r="W60" s="7"/>
      <c r="X60" s="12"/>
      <c r="Y60" s="7"/>
      <c r="Z60" s="7"/>
      <c r="AA60" s="7"/>
      <c r="AB60" s="7">
        <f>10^6</f>
        <v>1000000</v>
      </c>
      <c r="AC60" s="7"/>
      <c r="AD60" s="4"/>
      <c r="AE60" s="4"/>
      <c r="AF60" s="4"/>
      <c r="AG60" s="4"/>
      <c r="AH60" s="9"/>
      <c r="AI60" s="9"/>
      <c r="AJ60" s="9"/>
      <c r="AK60" s="9" t="s">
        <v>30</v>
      </c>
      <c r="AL60" s="10"/>
      <c r="AM60" s="10"/>
      <c r="AN60" s="10"/>
      <c r="AO60" s="10"/>
      <c r="AP60" s="10"/>
      <c r="AQ60" s="11" t="s">
        <v>231</v>
      </c>
      <c r="AR60" s="4" t="s">
        <v>32</v>
      </c>
      <c r="AS60" s="10"/>
      <c r="AT60" s="10"/>
      <c r="AU60" s="10"/>
      <c r="AV60" s="10"/>
      <c r="AW60" s="10"/>
      <c r="AX60" s="10"/>
      <c r="AY60" s="10"/>
      <c r="AZ60" s="10"/>
      <c r="BA60" s="10"/>
      <c r="BB60" s="10"/>
      <c r="BC60" s="10"/>
      <c r="BD60" s="10"/>
    </row>
    <row r="61" spans="1:56" ht="29" x14ac:dyDescent="0.35">
      <c r="A61" s="4" t="s">
        <v>308</v>
      </c>
      <c r="B61" s="4"/>
      <c r="C61" s="4" t="s">
        <v>22</v>
      </c>
      <c r="D61" s="4" t="s">
        <v>23</v>
      </c>
      <c r="E61" s="5" t="s">
        <v>34</v>
      </c>
      <c r="F61" s="4" t="s">
        <v>200</v>
      </c>
      <c r="G61" s="4" t="s">
        <v>26</v>
      </c>
      <c r="H61" s="4"/>
      <c r="I61" s="12">
        <v>34.2468</v>
      </c>
      <c r="J61" s="12"/>
      <c r="K61" s="12"/>
      <c r="L61" s="12"/>
      <c r="M61" s="67"/>
      <c r="N61" s="12"/>
      <c r="O61" s="12"/>
      <c r="P61" s="12"/>
      <c r="Q61" s="12"/>
      <c r="R61" s="12"/>
      <c r="S61" s="12"/>
      <c r="T61" s="12"/>
      <c r="U61" s="12"/>
      <c r="V61" s="12"/>
      <c r="W61" s="7"/>
      <c r="X61" s="12"/>
      <c r="Y61" s="7"/>
      <c r="Z61" s="7"/>
      <c r="AA61" s="7"/>
      <c r="AB61" s="7">
        <v>138408</v>
      </c>
      <c r="AC61" s="7"/>
      <c r="AD61" s="4"/>
      <c r="AE61" s="4"/>
      <c r="AF61" s="4"/>
      <c r="AG61" s="4"/>
      <c r="AH61" s="9"/>
      <c r="AI61" s="9"/>
      <c r="AJ61" s="9"/>
      <c r="AK61" s="9" t="s">
        <v>30</v>
      </c>
      <c r="AL61" s="10"/>
      <c r="AM61" s="10"/>
      <c r="AN61" s="10"/>
      <c r="AO61" s="10"/>
      <c r="AP61" s="10"/>
      <c r="AQ61" s="11">
        <v>10</v>
      </c>
      <c r="AR61" s="4" t="s">
        <v>32</v>
      </c>
      <c r="AS61" s="10" t="s">
        <v>866</v>
      </c>
      <c r="AT61" s="10"/>
      <c r="AU61" s="10"/>
      <c r="AV61" s="10"/>
      <c r="AW61" s="10"/>
      <c r="AX61" s="10"/>
      <c r="AY61" s="10"/>
      <c r="AZ61" s="10"/>
      <c r="BA61" s="10"/>
      <c r="BB61" s="10"/>
      <c r="BC61" s="10"/>
      <c r="BD61" s="10"/>
    </row>
    <row r="62" spans="1:56" ht="58" x14ac:dyDescent="0.35">
      <c r="A62" s="4" t="s">
        <v>309</v>
      </c>
      <c r="B62" s="4"/>
      <c r="C62" s="4" t="s">
        <v>22</v>
      </c>
      <c r="D62" s="4" t="s">
        <v>33</v>
      </c>
      <c r="E62" s="5" t="s">
        <v>34</v>
      </c>
      <c r="F62" s="6"/>
      <c r="G62" s="4" t="s">
        <v>26</v>
      </c>
      <c r="H62" s="4" t="s">
        <v>1076</v>
      </c>
      <c r="I62" s="12"/>
      <c r="J62" s="12"/>
      <c r="K62" s="12"/>
      <c r="L62" s="12"/>
      <c r="M62" s="67"/>
      <c r="N62" s="12"/>
      <c r="O62" s="12"/>
      <c r="P62" s="12"/>
      <c r="Q62" s="12"/>
      <c r="R62" s="12"/>
      <c r="S62" s="12"/>
      <c r="T62" s="12"/>
      <c r="U62" s="12"/>
      <c r="V62" s="12"/>
      <c r="W62" s="7"/>
      <c r="X62" s="12"/>
      <c r="Y62" s="7"/>
      <c r="Z62" s="7">
        <v>4</v>
      </c>
      <c r="AA62" s="7">
        <v>0</v>
      </c>
      <c r="AB62" s="7"/>
      <c r="AC62" s="7"/>
      <c r="AD62" s="4"/>
      <c r="AE62" s="4"/>
      <c r="AF62" s="4"/>
      <c r="AG62" s="4"/>
      <c r="AH62" s="9" t="s">
        <v>310</v>
      </c>
      <c r="AI62" s="9" t="s">
        <v>311</v>
      </c>
      <c r="AJ62" s="9"/>
      <c r="AK62" s="9" t="s">
        <v>30</v>
      </c>
      <c r="AL62" s="10"/>
      <c r="AM62" s="10"/>
      <c r="AN62" s="10"/>
      <c r="AO62" s="10"/>
      <c r="AP62" s="10"/>
      <c r="AQ62" s="11" t="s">
        <v>312</v>
      </c>
      <c r="AR62" s="4"/>
      <c r="AS62" s="10" t="s">
        <v>855</v>
      </c>
      <c r="AT62" s="10" t="s">
        <v>1081</v>
      </c>
      <c r="AU62" s="10"/>
      <c r="AV62" s="10"/>
      <c r="AW62" s="10"/>
      <c r="AX62" s="10"/>
      <c r="AY62" s="10"/>
      <c r="AZ62" s="10"/>
      <c r="BA62" s="10"/>
      <c r="BB62" s="10"/>
      <c r="BC62" s="10"/>
      <c r="BD62" s="10"/>
    </row>
    <row r="63" spans="1:56" ht="87" x14ac:dyDescent="0.35">
      <c r="A63" s="4" t="s">
        <v>978</v>
      </c>
      <c r="B63" s="4"/>
      <c r="C63" s="4" t="s">
        <v>66</v>
      </c>
      <c r="D63" s="4" t="s">
        <v>131</v>
      </c>
      <c r="E63" s="5" t="s">
        <v>24</v>
      </c>
      <c r="F63" s="6"/>
      <c r="G63" s="4" t="s">
        <v>26</v>
      </c>
      <c r="H63" s="65" t="s">
        <v>1004</v>
      </c>
      <c r="I63" s="12" t="s">
        <v>819</v>
      </c>
      <c r="J63" s="12">
        <v>2.7</v>
      </c>
      <c r="K63" s="12">
        <v>0.75</v>
      </c>
      <c r="L63" s="12" t="s">
        <v>823</v>
      </c>
      <c r="M63" s="67">
        <v>3.6000000000000003E-3</v>
      </c>
      <c r="N63" s="12">
        <v>0.75</v>
      </c>
      <c r="O63" s="12" t="s">
        <v>129</v>
      </c>
      <c r="P63" s="12">
        <v>0</v>
      </c>
      <c r="Q63" s="12">
        <v>0.75</v>
      </c>
      <c r="R63" s="12" t="s">
        <v>313</v>
      </c>
      <c r="S63" s="12">
        <v>0</v>
      </c>
      <c r="T63" s="12">
        <v>0.75</v>
      </c>
      <c r="U63" s="12"/>
      <c r="V63" s="12"/>
      <c r="W63" s="7">
        <v>60</v>
      </c>
      <c r="X63" s="12">
        <v>0</v>
      </c>
      <c r="Y63" s="7" t="s">
        <v>314</v>
      </c>
      <c r="Z63" s="7">
        <v>8</v>
      </c>
      <c r="AA63" s="7">
        <v>0.75</v>
      </c>
      <c r="AB63" s="7">
        <v>100000</v>
      </c>
      <c r="AC63" s="7">
        <v>0.75</v>
      </c>
      <c r="AD63" s="4"/>
      <c r="AE63" s="4">
        <v>0</v>
      </c>
      <c r="AF63" s="4"/>
      <c r="AG63" s="4">
        <v>0.5</v>
      </c>
      <c r="AH63" s="9" t="s">
        <v>315</v>
      </c>
      <c r="AI63" s="9" t="s">
        <v>316</v>
      </c>
      <c r="AJ63" s="9"/>
      <c r="AK63" s="9" t="s">
        <v>30</v>
      </c>
      <c r="AL63" s="10" t="s">
        <v>317</v>
      </c>
      <c r="AM63" s="10" t="s">
        <v>318</v>
      </c>
      <c r="AN63" s="10" t="s">
        <v>319</v>
      </c>
      <c r="AO63" s="10" t="s">
        <v>320</v>
      </c>
      <c r="AP63" s="10" t="s">
        <v>321</v>
      </c>
      <c r="AQ63" s="11" t="s">
        <v>322</v>
      </c>
      <c r="AR63" s="4"/>
      <c r="AS63" s="10" t="s">
        <v>869</v>
      </c>
      <c r="AT63" s="10"/>
      <c r="AU63" s="10"/>
      <c r="AV63" s="10"/>
      <c r="AW63" s="10"/>
      <c r="AX63" s="10"/>
      <c r="AY63" s="10"/>
      <c r="AZ63" s="10"/>
      <c r="BA63" s="10"/>
      <c r="BB63" s="10"/>
      <c r="BC63" s="10">
        <f>273+400</f>
        <v>673</v>
      </c>
      <c r="BD63" s="10">
        <v>101</v>
      </c>
    </row>
    <row r="64" spans="1:56" ht="29" x14ac:dyDescent="0.35">
      <c r="A64" s="4" t="s">
        <v>323</v>
      </c>
      <c r="B64" s="4"/>
      <c r="C64" s="4" t="s">
        <v>66</v>
      </c>
      <c r="D64" s="4" t="s">
        <v>23</v>
      </c>
      <c r="E64" s="5" t="s">
        <v>34</v>
      </c>
      <c r="F64" s="6"/>
      <c r="G64" s="4" t="s">
        <v>26</v>
      </c>
      <c r="H64" s="4" t="s">
        <v>302</v>
      </c>
      <c r="I64" s="12" t="s">
        <v>1006</v>
      </c>
      <c r="J64" s="12" t="s">
        <v>1006</v>
      </c>
      <c r="K64" s="12"/>
      <c r="L64" s="12" t="s">
        <v>1007</v>
      </c>
      <c r="M64" s="12" t="s">
        <v>1007</v>
      </c>
      <c r="N64" s="12"/>
      <c r="O64" s="12"/>
      <c r="P64" s="12"/>
      <c r="Q64" s="12"/>
      <c r="R64" s="12" t="s">
        <v>303</v>
      </c>
      <c r="S64" s="12"/>
      <c r="T64" s="12"/>
      <c r="U64" s="12"/>
      <c r="V64" s="12"/>
      <c r="W64" s="7"/>
      <c r="X64" s="12"/>
      <c r="Y64" s="7"/>
      <c r="Z64" s="7"/>
      <c r="AA64" s="7"/>
      <c r="AB64" s="7">
        <f>5*10^5</f>
        <v>500000</v>
      </c>
      <c r="AC64" s="7"/>
      <c r="AD64" s="4"/>
      <c r="AE64" s="4"/>
      <c r="AF64" s="4"/>
      <c r="AG64" s="4"/>
      <c r="AH64" s="9"/>
      <c r="AI64" s="9"/>
      <c r="AJ64" s="9"/>
      <c r="AK64" s="9" t="s">
        <v>30</v>
      </c>
      <c r="AL64" s="10"/>
      <c r="AM64" s="10"/>
      <c r="AN64" s="10"/>
      <c r="AO64" s="10"/>
      <c r="AP64" s="10"/>
      <c r="AQ64" s="11" t="s">
        <v>231</v>
      </c>
      <c r="AR64" s="4" t="s">
        <v>32</v>
      </c>
      <c r="AS64" s="10"/>
      <c r="AT64" s="10"/>
      <c r="AU64" s="10"/>
      <c r="AV64" s="10"/>
      <c r="AW64" s="10"/>
      <c r="AX64" s="10"/>
      <c r="AY64" s="10"/>
      <c r="AZ64" s="10"/>
      <c r="BA64" s="10"/>
      <c r="BB64" s="10"/>
      <c r="BC64" s="10"/>
      <c r="BD64" s="10"/>
    </row>
    <row r="65" spans="1:56" ht="29" x14ac:dyDescent="0.35">
      <c r="A65" s="4" t="s">
        <v>324</v>
      </c>
      <c r="B65" s="4"/>
      <c r="C65" s="4" t="s">
        <v>66</v>
      </c>
      <c r="D65" s="4" t="s">
        <v>23</v>
      </c>
      <c r="E65" s="5" t="s">
        <v>34</v>
      </c>
      <c r="F65" s="6"/>
      <c r="G65" s="4" t="s">
        <v>26</v>
      </c>
      <c r="H65" s="4" t="s">
        <v>325</v>
      </c>
      <c r="I65" s="12">
        <v>0.96</v>
      </c>
      <c r="J65" s="12">
        <v>0.96</v>
      </c>
      <c r="K65" s="12"/>
      <c r="L65" s="12">
        <v>2.5000000000000001E-3</v>
      </c>
      <c r="M65" s="12">
        <v>2.5000000000000001E-3</v>
      </c>
      <c r="N65" s="12"/>
      <c r="O65" s="12"/>
      <c r="P65" s="12"/>
      <c r="Q65" s="12"/>
      <c r="R65" s="12" t="s">
        <v>307</v>
      </c>
      <c r="S65" s="12"/>
      <c r="T65" s="12"/>
      <c r="U65" s="12"/>
      <c r="V65" s="12"/>
      <c r="W65" s="7"/>
      <c r="X65" s="12"/>
      <c r="Y65" s="7"/>
      <c r="Z65" s="7"/>
      <c r="AA65" s="7"/>
      <c r="AB65" s="7"/>
      <c r="AC65" s="7"/>
      <c r="AD65" s="4"/>
      <c r="AE65" s="4"/>
      <c r="AF65" s="4"/>
      <c r="AG65" s="4"/>
      <c r="AH65" s="9"/>
      <c r="AI65" s="9"/>
      <c r="AJ65" s="9"/>
      <c r="AK65" s="9" t="s">
        <v>30</v>
      </c>
      <c r="AL65" s="10"/>
      <c r="AM65" s="10"/>
      <c r="AN65" s="10"/>
      <c r="AO65" s="10"/>
      <c r="AP65" s="10"/>
      <c r="AQ65" s="11" t="s">
        <v>231</v>
      </c>
      <c r="AR65" s="4" t="s">
        <v>32</v>
      </c>
      <c r="AS65" s="10"/>
      <c r="AT65" s="10"/>
      <c r="AU65" s="10"/>
      <c r="AV65" s="10"/>
      <c r="AW65" s="10"/>
      <c r="AX65" s="10"/>
      <c r="AY65" s="10"/>
      <c r="AZ65" s="10"/>
      <c r="BA65" s="10"/>
      <c r="BB65" s="10"/>
      <c r="BC65" s="10"/>
      <c r="BD65" s="10"/>
    </row>
    <row r="66" spans="1:56" ht="29" x14ac:dyDescent="0.35">
      <c r="A66" s="4" t="s">
        <v>326</v>
      </c>
      <c r="B66" s="4"/>
      <c r="C66" s="4" t="s">
        <v>22</v>
      </c>
      <c r="D66" s="4" t="s">
        <v>23</v>
      </c>
      <c r="E66" s="5" t="s">
        <v>34</v>
      </c>
      <c r="F66" s="4" t="s">
        <v>200</v>
      </c>
      <c r="G66" s="4" t="s">
        <v>26</v>
      </c>
      <c r="H66" s="4" t="s">
        <v>1005</v>
      </c>
      <c r="I66" s="12">
        <v>48.1723</v>
      </c>
      <c r="J66" s="12">
        <v>48.1723</v>
      </c>
      <c r="K66" s="12"/>
      <c r="L66" s="12">
        <v>3.1151999999999999E-2</v>
      </c>
      <c r="M66" s="67"/>
      <c r="N66" s="12"/>
      <c r="O66" s="12"/>
      <c r="P66" s="12"/>
      <c r="Q66" s="12"/>
      <c r="R66" s="12"/>
      <c r="S66" s="12"/>
      <c r="T66" s="12"/>
      <c r="U66" s="12"/>
      <c r="V66" s="12"/>
      <c r="W66" s="7"/>
      <c r="X66" s="12"/>
      <c r="Y66" s="7"/>
      <c r="Z66" s="7"/>
      <c r="AA66" s="7"/>
      <c r="AB66" s="7">
        <v>98112</v>
      </c>
      <c r="AC66" s="7"/>
      <c r="AD66" s="4"/>
      <c r="AE66" s="4"/>
      <c r="AF66" s="4"/>
      <c r="AG66" s="4"/>
      <c r="AH66" s="9"/>
      <c r="AI66" s="9"/>
      <c r="AJ66" s="9"/>
      <c r="AK66" s="9" t="s">
        <v>30</v>
      </c>
      <c r="AL66" s="10"/>
      <c r="AM66" s="10"/>
      <c r="AN66" s="10"/>
      <c r="AO66" s="10"/>
      <c r="AP66" s="10"/>
      <c r="AQ66" s="11">
        <v>10</v>
      </c>
      <c r="AR66" s="4" t="s">
        <v>32</v>
      </c>
      <c r="AS66" s="10" t="s">
        <v>868</v>
      </c>
      <c r="AT66" s="10"/>
      <c r="AU66" s="10"/>
      <c r="AV66" s="10"/>
      <c r="AW66" s="10"/>
      <c r="AX66" s="10"/>
      <c r="AY66" s="10"/>
      <c r="AZ66" s="10"/>
      <c r="BA66" s="10"/>
      <c r="BB66" s="10"/>
      <c r="BC66" s="10"/>
      <c r="BD66" s="10"/>
    </row>
    <row r="67" spans="1:56" ht="29" x14ac:dyDescent="0.35">
      <c r="A67" s="4" t="s">
        <v>327</v>
      </c>
      <c r="B67" s="4"/>
      <c r="C67" s="4" t="s">
        <v>66</v>
      </c>
      <c r="D67" s="4" t="s">
        <v>23</v>
      </c>
      <c r="E67" s="5" t="s">
        <v>34</v>
      </c>
      <c r="F67" s="4"/>
      <c r="G67" s="4" t="s">
        <v>35</v>
      </c>
      <c r="H67" s="4"/>
      <c r="I67" s="12">
        <v>1.9503999999999999</v>
      </c>
      <c r="J67" s="12">
        <v>1.9503999999999999</v>
      </c>
      <c r="K67" s="12"/>
      <c r="L67" s="12">
        <v>8.4900000000000004E-4</v>
      </c>
      <c r="M67" s="12">
        <v>8.4900000000000004E-4</v>
      </c>
      <c r="N67" s="12"/>
      <c r="O67" s="12"/>
      <c r="P67" s="12"/>
      <c r="Q67" s="12"/>
      <c r="R67" s="12"/>
      <c r="S67" s="12"/>
      <c r="T67" s="12"/>
      <c r="U67" s="12">
        <v>1.2092479999999999</v>
      </c>
      <c r="V67" s="12">
        <v>1.2092479999999999</v>
      </c>
      <c r="W67" s="7"/>
      <c r="X67" s="12"/>
      <c r="Y67" s="7"/>
      <c r="Z67" s="7"/>
      <c r="AA67" s="7"/>
      <c r="AB67" s="7"/>
      <c r="AC67" s="7"/>
      <c r="AD67" s="4"/>
      <c r="AE67" s="4"/>
      <c r="AF67" s="4"/>
      <c r="AG67" s="4"/>
      <c r="AH67" s="9"/>
      <c r="AI67" s="9"/>
      <c r="AJ67" s="9"/>
      <c r="AK67" s="9" t="s">
        <v>30</v>
      </c>
      <c r="AL67" s="10"/>
      <c r="AM67" s="10"/>
      <c r="AN67" s="10"/>
      <c r="AO67" s="10"/>
      <c r="AP67" s="10"/>
      <c r="AQ67" s="11">
        <v>11</v>
      </c>
      <c r="AR67" s="4" t="s">
        <v>32</v>
      </c>
      <c r="AS67" s="10" t="s">
        <v>950</v>
      </c>
      <c r="AT67" s="10" t="s">
        <v>951</v>
      </c>
      <c r="AU67" s="10" t="s">
        <v>868</v>
      </c>
      <c r="AV67" s="10"/>
      <c r="AW67" s="10"/>
      <c r="AX67" s="10"/>
      <c r="AY67" s="10"/>
      <c r="AZ67" s="10"/>
      <c r="BA67" s="10"/>
      <c r="BB67" s="10"/>
      <c r="BC67" s="10"/>
      <c r="BD67" s="10"/>
    </row>
    <row r="68" spans="1:56" ht="87" x14ac:dyDescent="0.35">
      <c r="A68" s="4" t="s">
        <v>328</v>
      </c>
      <c r="B68" s="4"/>
      <c r="C68" s="4" t="s">
        <v>186</v>
      </c>
      <c r="D68" s="4" t="s">
        <v>131</v>
      </c>
      <c r="E68" s="5"/>
      <c r="F68" s="6"/>
      <c r="G68" s="4" t="s">
        <v>26</v>
      </c>
      <c r="H68" s="65" t="s">
        <v>329</v>
      </c>
      <c r="I68" s="12"/>
      <c r="J68" s="12"/>
      <c r="K68" s="12"/>
      <c r="L68" s="12"/>
      <c r="M68" s="67"/>
      <c r="N68" s="12"/>
      <c r="O68" s="12"/>
      <c r="P68" s="12"/>
      <c r="Q68" s="12"/>
      <c r="R68" s="12"/>
      <c r="S68" s="12"/>
      <c r="T68" s="12"/>
      <c r="U68" s="12"/>
      <c r="V68" s="12"/>
      <c r="W68" s="7"/>
      <c r="X68" s="12"/>
      <c r="Y68" s="7"/>
      <c r="Z68" s="7"/>
      <c r="AA68" s="7"/>
      <c r="AB68" s="7"/>
      <c r="AC68" s="7"/>
      <c r="AD68" s="4"/>
      <c r="AE68" s="4"/>
      <c r="AF68" s="4"/>
      <c r="AG68" s="4"/>
      <c r="AH68" s="9"/>
      <c r="AI68" s="9"/>
      <c r="AJ68" s="9"/>
      <c r="AK68" s="9" t="s">
        <v>30</v>
      </c>
      <c r="AL68" s="10"/>
      <c r="AM68" s="10"/>
      <c r="AN68" s="10"/>
      <c r="AO68" s="10"/>
      <c r="AP68" s="10"/>
      <c r="AQ68" s="11">
        <v>7</v>
      </c>
      <c r="AR68" s="4"/>
      <c r="AS68" s="10" t="s">
        <v>958</v>
      </c>
      <c r="AT68" s="10"/>
      <c r="AU68" s="10"/>
      <c r="AV68" s="10"/>
      <c r="AW68" s="10"/>
      <c r="AX68" s="10"/>
      <c r="AY68" s="10"/>
      <c r="AZ68" s="10"/>
      <c r="BA68" s="10"/>
      <c r="BB68" s="10"/>
      <c r="BC68" s="10"/>
      <c r="BD68" s="10"/>
    </row>
    <row r="69" spans="1:56" ht="43.5" x14ac:dyDescent="0.35">
      <c r="A69" s="4" t="s">
        <v>330</v>
      </c>
      <c r="B69" s="4"/>
      <c r="C69" s="4" t="s">
        <v>66</v>
      </c>
      <c r="D69" s="4" t="s">
        <v>23</v>
      </c>
      <c r="E69" s="5" t="s">
        <v>34</v>
      </c>
      <c r="F69" s="4" t="s">
        <v>331</v>
      </c>
      <c r="G69" s="4" t="s">
        <v>26</v>
      </c>
      <c r="H69" s="4"/>
      <c r="I69" s="12">
        <v>0.15140000000000001</v>
      </c>
      <c r="J69" s="12">
        <v>0.15140000000000001</v>
      </c>
      <c r="K69" s="12"/>
      <c r="L69" s="12">
        <f>0.0177*0.019*0.0508</f>
        <v>1.7084039999999997E-5</v>
      </c>
      <c r="M69" s="12">
        <f>0.0177*0.019*0.0508</f>
        <v>1.7084039999999997E-5</v>
      </c>
      <c r="N69" s="12"/>
      <c r="O69" s="12"/>
      <c r="P69" s="12"/>
      <c r="Q69" s="12"/>
      <c r="R69" s="12"/>
      <c r="S69" s="12"/>
      <c r="T69" s="12"/>
      <c r="U69" s="12"/>
      <c r="V69" s="12"/>
      <c r="W69" s="7"/>
      <c r="X69" s="12"/>
      <c r="Y69" s="7"/>
      <c r="Z69" s="7"/>
      <c r="AA69" s="7"/>
      <c r="AB69" s="7"/>
      <c r="AC69" s="7"/>
      <c r="AD69" s="4"/>
      <c r="AE69" s="4"/>
      <c r="AF69" s="4"/>
      <c r="AG69" s="4"/>
      <c r="AH69" s="9"/>
      <c r="AI69" s="9"/>
      <c r="AJ69" s="9"/>
      <c r="AK69" s="9" t="s">
        <v>30</v>
      </c>
      <c r="AL69" s="10"/>
      <c r="AM69" s="10"/>
      <c r="AN69" s="10"/>
      <c r="AO69" s="10"/>
      <c r="AP69" s="10"/>
      <c r="AQ69" s="11">
        <v>11</v>
      </c>
      <c r="AR69" s="4" t="s">
        <v>332</v>
      </c>
      <c r="AS69" s="10"/>
      <c r="AT69" s="10"/>
      <c r="AU69" s="10"/>
      <c r="AV69" s="10"/>
      <c r="AW69" s="10"/>
      <c r="AX69" s="10"/>
      <c r="AY69" s="10"/>
      <c r="AZ69" s="10"/>
      <c r="BA69" s="10"/>
      <c r="BB69" s="10"/>
      <c r="BC69" s="10"/>
      <c r="BD69" s="10"/>
    </row>
    <row r="70" spans="1:56" ht="29" x14ac:dyDescent="0.35">
      <c r="A70" s="4" t="s">
        <v>333</v>
      </c>
      <c r="B70" s="4"/>
      <c r="C70" s="4" t="s">
        <v>66</v>
      </c>
      <c r="D70" s="4" t="s">
        <v>23</v>
      </c>
      <c r="E70" s="5" t="s">
        <v>34</v>
      </c>
      <c r="F70" s="4" t="s">
        <v>221</v>
      </c>
      <c r="G70" s="4" t="s">
        <v>26</v>
      </c>
      <c r="H70" s="4" t="s">
        <v>334</v>
      </c>
      <c r="I70" s="12">
        <v>1.36</v>
      </c>
      <c r="J70" s="12">
        <v>1.36</v>
      </c>
      <c r="K70" s="12"/>
      <c r="L70" s="12">
        <v>3.5000000000000003E-2</v>
      </c>
      <c r="M70" s="12">
        <v>3.5000000000000003E-2</v>
      </c>
      <c r="N70" s="12"/>
      <c r="O70" s="12">
        <v>0</v>
      </c>
      <c r="P70" s="12"/>
      <c r="Q70" s="12"/>
      <c r="R70" s="12">
        <v>0</v>
      </c>
      <c r="S70" s="12"/>
      <c r="T70" s="12"/>
      <c r="U70" s="12"/>
      <c r="V70" s="12"/>
      <c r="W70" s="7"/>
      <c r="X70" s="12"/>
      <c r="Y70" s="7"/>
      <c r="Z70" s="7"/>
      <c r="AA70" s="7"/>
      <c r="AB70" s="7"/>
      <c r="AC70" s="7"/>
      <c r="AD70" s="4"/>
      <c r="AE70" s="4"/>
      <c r="AF70" s="4"/>
      <c r="AG70" s="4"/>
      <c r="AH70" s="9"/>
      <c r="AI70" s="9"/>
      <c r="AJ70" s="9"/>
      <c r="AK70" s="9" t="s">
        <v>30</v>
      </c>
      <c r="AL70" s="10"/>
      <c r="AM70" s="10"/>
      <c r="AN70" s="10"/>
      <c r="AO70" s="10"/>
      <c r="AP70" s="10"/>
      <c r="AQ70" s="11" t="s">
        <v>231</v>
      </c>
      <c r="AR70" s="4" t="s">
        <v>335</v>
      </c>
      <c r="AS70" s="10" t="s">
        <v>954</v>
      </c>
      <c r="AT70" s="10"/>
      <c r="AU70" s="10"/>
      <c r="AV70" s="10"/>
      <c r="AW70" s="10"/>
      <c r="AX70" s="10"/>
      <c r="AY70" s="10"/>
      <c r="AZ70" s="10"/>
      <c r="BA70" s="10"/>
      <c r="BB70" s="10"/>
      <c r="BC70" s="10"/>
      <c r="BD70" s="10"/>
    </row>
    <row r="71" spans="1:56" ht="29" x14ac:dyDescent="0.35">
      <c r="A71" s="4" t="s">
        <v>336</v>
      </c>
      <c r="B71" s="4"/>
      <c r="C71" s="4" t="s">
        <v>22</v>
      </c>
      <c r="D71" s="4" t="s">
        <v>23</v>
      </c>
      <c r="E71" s="5" t="s">
        <v>34</v>
      </c>
      <c r="F71" s="6" t="s">
        <v>200</v>
      </c>
      <c r="G71" s="4" t="s">
        <v>26</v>
      </c>
      <c r="H71" s="4" t="s">
        <v>1009</v>
      </c>
      <c r="I71" s="12">
        <v>42.638399999999997</v>
      </c>
      <c r="J71" s="12"/>
      <c r="K71" s="12"/>
      <c r="L71" s="12">
        <v>6.4852000000000007E-2</v>
      </c>
      <c r="M71" s="67"/>
      <c r="N71" s="12"/>
      <c r="O71" s="12"/>
      <c r="P71" s="12"/>
      <c r="Q71" s="12"/>
      <c r="R71" s="12"/>
      <c r="S71" s="12"/>
      <c r="T71" s="12"/>
      <c r="U71" s="12"/>
      <c r="V71" s="12"/>
      <c r="W71" s="7"/>
      <c r="X71" s="12"/>
      <c r="Y71" s="7"/>
      <c r="Z71" s="7"/>
      <c r="AA71" s="7"/>
      <c r="AB71" s="7">
        <v>47479</v>
      </c>
      <c r="AC71" s="7"/>
      <c r="AD71" s="4"/>
      <c r="AE71" s="4"/>
      <c r="AF71" s="4"/>
      <c r="AG71" s="4"/>
      <c r="AH71" s="9"/>
      <c r="AI71" s="9"/>
      <c r="AJ71" s="9"/>
      <c r="AK71" s="9" t="s">
        <v>30</v>
      </c>
      <c r="AL71" s="10"/>
      <c r="AM71" s="10"/>
      <c r="AN71" s="10"/>
      <c r="AO71" s="10"/>
      <c r="AP71" s="10"/>
      <c r="AQ71" s="11">
        <v>10</v>
      </c>
      <c r="AR71" s="4" t="s">
        <v>32</v>
      </c>
      <c r="AS71" s="10"/>
      <c r="AT71" s="10"/>
      <c r="AU71" s="10"/>
      <c r="AV71" s="10"/>
      <c r="AW71" s="10"/>
      <c r="AX71" s="10"/>
      <c r="AY71" s="10"/>
      <c r="AZ71" s="10"/>
      <c r="BA71" s="10"/>
      <c r="BB71" s="10"/>
      <c r="BC71" s="10"/>
      <c r="BD71" s="10"/>
    </row>
    <row r="72" spans="1:56" ht="58" x14ac:dyDescent="0.35">
      <c r="A72" s="4" t="s">
        <v>337</v>
      </c>
      <c r="B72" s="4" t="s">
        <v>221</v>
      </c>
      <c r="C72" s="4" t="s">
        <v>66</v>
      </c>
      <c r="D72" s="4" t="s">
        <v>23</v>
      </c>
      <c r="E72" s="5" t="s">
        <v>34</v>
      </c>
      <c r="F72" s="4"/>
      <c r="G72" s="4" t="s">
        <v>35</v>
      </c>
      <c r="H72" s="65" t="s">
        <v>338</v>
      </c>
      <c r="I72" s="12">
        <f>27.1</f>
        <v>27.1</v>
      </c>
      <c r="J72" s="12">
        <v>27.1</v>
      </c>
      <c r="K72" s="12">
        <v>0.75</v>
      </c>
      <c r="L72" s="12">
        <f>0.035116+0.01412+0.0032</f>
        <v>5.2436000000000003E-2</v>
      </c>
      <c r="M72" s="67">
        <f>technologies[[#This Row],[Volume
Literature]]</f>
        <v>5.2436000000000003E-2</v>
      </c>
      <c r="N72" s="12">
        <v>0.75</v>
      </c>
      <c r="O72" s="12"/>
      <c r="P72" s="12">
        <v>0</v>
      </c>
      <c r="Q72" s="12">
        <v>0.5</v>
      </c>
      <c r="R72" s="12">
        <f>88+25</f>
        <v>113</v>
      </c>
      <c r="S72" s="12">
        <v>113</v>
      </c>
      <c r="T72" s="12">
        <v>0.75</v>
      </c>
      <c r="U72" s="12">
        <v>16.802</v>
      </c>
      <c r="V72" s="12">
        <v>16.802</v>
      </c>
      <c r="W72" s="7"/>
      <c r="X72" s="12"/>
      <c r="Y72" s="7"/>
      <c r="Z72" s="7">
        <v>9</v>
      </c>
      <c r="AA72" s="7">
        <v>1</v>
      </c>
      <c r="AB72" s="7"/>
      <c r="AC72" s="7"/>
      <c r="AD72" s="4"/>
      <c r="AE72" s="4"/>
      <c r="AF72" s="4"/>
      <c r="AG72" s="4"/>
      <c r="AH72" s="9"/>
      <c r="AI72" s="9"/>
      <c r="AJ72" s="9"/>
      <c r="AK72" s="9" t="s">
        <v>30</v>
      </c>
      <c r="AL72" s="10"/>
      <c r="AM72" s="10"/>
      <c r="AN72" s="10"/>
      <c r="AO72" s="10"/>
      <c r="AP72" s="10"/>
      <c r="AQ72" s="11"/>
      <c r="AR72" s="4"/>
      <c r="AS72" s="10" t="s">
        <v>953</v>
      </c>
      <c r="AT72" s="10" t="s">
        <v>954</v>
      </c>
      <c r="AU72" s="10" t="s">
        <v>952</v>
      </c>
      <c r="AV72" s="10" t="s">
        <v>955</v>
      </c>
      <c r="AW72" s="10" t="s">
        <v>950</v>
      </c>
      <c r="AX72" s="10" t="s">
        <v>951</v>
      </c>
      <c r="AY72" s="10" t="s">
        <v>898</v>
      </c>
      <c r="AZ72" s="10"/>
      <c r="BA72" s="10"/>
      <c r="BB72" s="10"/>
      <c r="BC72" s="10"/>
      <c r="BD72" s="10"/>
    </row>
    <row r="73" spans="1:56" ht="58" x14ac:dyDescent="0.35">
      <c r="A73" s="4" t="s">
        <v>339</v>
      </c>
      <c r="B73" s="4"/>
      <c r="C73" s="4" t="s">
        <v>66</v>
      </c>
      <c r="D73" s="4" t="s">
        <v>23</v>
      </c>
      <c r="E73" s="5" t="s">
        <v>34</v>
      </c>
      <c r="F73" s="4" t="s">
        <v>221</v>
      </c>
      <c r="G73" s="4" t="s">
        <v>26</v>
      </c>
      <c r="H73" s="65" t="s">
        <v>1124</v>
      </c>
      <c r="I73" s="12" t="s">
        <v>1159</v>
      </c>
      <c r="J73" s="12"/>
      <c r="K73" s="12"/>
      <c r="L73" s="12">
        <v>3.5000000000000003E-2</v>
      </c>
      <c r="M73" s="67"/>
      <c r="N73" s="12"/>
      <c r="O73" s="12"/>
      <c r="P73" s="12"/>
      <c r="Q73" s="12"/>
      <c r="R73" s="12" t="s">
        <v>340</v>
      </c>
      <c r="S73" s="12"/>
      <c r="T73" s="12"/>
      <c r="U73" s="12"/>
      <c r="V73" s="12"/>
      <c r="W73" s="7"/>
      <c r="X73" s="12"/>
      <c r="Y73" s="7"/>
      <c r="Z73" s="7"/>
      <c r="AA73" s="7"/>
      <c r="AB73" s="7"/>
      <c r="AC73" s="7"/>
      <c r="AD73" s="4"/>
      <c r="AE73" s="4"/>
      <c r="AF73" s="4"/>
      <c r="AG73" s="4"/>
      <c r="AH73" s="9"/>
      <c r="AI73" s="9"/>
      <c r="AJ73" s="9"/>
      <c r="AK73" s="9" t="s">
        <v>30</v>
      </c>
      <c r="AL73" s="10"/>
      <c r="AM73" s="10"/>
      <c r="AN73" s="10"/>
      <c r="AO73" s="10"/>
      <c r="AP73" s="10"/>
      <c r="AQ73" s="11" t="s">
        <v>343</v>
      </c>
      <c r="AR73" s="4" t="s">
        <v>32</v>
      </c>
      <c r="AS73" s="10" t="s">
        <v>953</v>
      </c>
      <c r="AT73" s="10" t="s">
        <v>954</v>
      </c>
      <c r="AU73" s="10" t="s">
        <v>952</v>
      </c>
      <c r="AV73" s="10" t="s">
        <v>955</v>
      </c>
      <c r="AW73" s="10" t="s">
        <v>950</v>
      </c>
      <c r="AX73" s="10" t="s">
        <v>951</v>
      </c>
      <c r="AY73" s="10" t="s">
        <v>898</v>
      </c>
      <c r="AZ73" s="10"/>
      <c r="BA73" s="10"/>
      <c r="BB73" s="10"/>
      <c r="BC73" s="10" t="s">
        <v>341</v>
      </c>
      <c r="BD73" s="10" t="s">
        <v>342</v>
      </c>
    </row>
    <row r="74" spans="1:56" ht="29" x14ac:dyDescent="0.35">
      <c r="A74" s="4" t="s">
        <v>344</v>
      </c>
      <c r="B74" s="4"/>
      <c r="C74" s="4" t="s">
        <v>22</v>
      </c>
      <c r="D74" s="4" t="s">
        <v>23</v>
      </c>
      <c r="E74" s="5" t="s">
        <v>34</v>
      </c>
      <c r="F74" s="6" t="s">
        <v>200</v>
      </c>
      <c r="G74" s="4" t="s">
        <v>26</v>
      </c>
      <c r="H74" s="4" t="s">
        <v>1008</v>
      </c>
      <c r="I74" s="12">
        <v>47.083599999999997</v>
      </c>
      <c r="J74" s="12">
        <v>47.083599999999997</v>
      </c>
      <c r="K74" s="12"/>
      <c r="L74" s="12">
        <v>8.3826999999999999E-2</v>
      </c>
      <c r="M74" s="12">
        <v>8.3826999999999999E-2</v>
      </c>
      <c r="N74" s="12"/>
      <c r="O74" s="12"/>
      <c r="P74" s="12"/>
      <c r="Q74" s="12"/>
      <c r="R74" s="12"/>
      <c r="S74" s="12"/>
      <c r="T74" s="12"/>
      <c r="U74" s="12"/>
      <c r="V74" s="12"/>
      <c r="W74" s="7"/>
      <c r="X74" s="12"/>
      <c r="Y74" s="7"/>
      <c r="Z74" s="7"/>
      <c r="AA74" s="7"/>
      <c r="AB74" s="7">
        <v>103280</v>
      </c>
      <c r="AC74" s="7"/>
      <c r="AD74" s="4"/>
      <c r="AE74" s="4"/>
      <c r="AF74" s="4"/>
      <c r="AG74" s="4"/>
      <c r="AH74" s="9"/>
      <c r="AI74" s="9"/>
      <c r="AJ74" s="9"/>
      <c r="AK74" s="9" t="s">
        <v>30</v>
      </c>
      <c r="AL74" s="10"/>
      <c r="AM74" s="10"/>
      <c r="AN74" s="10"/>
      <c r="AO74" s="10"/>
      <c r="AP74" s="10"/>
      <c r="AQ74" s="11">
        <v>10</v>
      </c>
      <c r="AR74" s="4" t="s">
        <v>32</v>
      </c>
      <c r="AS74" s="10"/>
      <c r="AT74" s="10"/>
      <c r="AU74" s="10"/>
      <c r="AV74" s="10"/>
      <c r="AW74" s="10"/>
      <c r="AX74" s="10"/>
      <c r="AY74" s="10"/>
      <c r="AZ74" s="10"/>
      <c r="BA74" s="10"/>
      <c r="BB74" s="10"/>
      <c r="BC74" s="10"/>
      <c r="BD74" s="10"/>
    </row>
    <row r="75" spans="1:56" ht="29" x14ac:dyDescent="0.35">
      <c r="A75" s="4" t="s">
        <v>587</v>
      </c>
      <c r="B75" s="4"/>
      <c r="C75" s="4" t="s">
        <v>22</v>
      </c>
      <c r="D75" s="4" t="s">
        <v>23</v>
      </c>
      <c r="E75" s="5" t="s">
        <v>34</v>
      </c>
      <c r="F75" s="6" t="s">
        <v>200</v>
      </c>
      <c r="G75" s="4" t="s">
        <v>26</v>
      </c>
      <c r="H75" s="4"/>
      <c r="I75" s="12">
        <v>17.962499999999999</v>
      </c>
      <c r="J75" s="12">
        <v>17.962499999999999</v>
      </c>
      <c r="K75" s="12"/>
      <c r="L75" s="12">
        <v>1.0152E-2</v>
      </c>
      <c r="M75" s="12">
        <v>1.0152E-2</v>
      </c>
      <c r="N75" s="12"/>
      <c r="O75" s="12"/>
      <c r="P75" s="12"/>
      <c r="Q75" s="12"/>
      <c r="R75" s="12"/>
      <c r="S75" s="12"/>
      <c r="T75" s="12"/>
      <c r="U75" s="12"/>
      <c r="V75" s="12"/>
      <c r="W75" s="7"/>
      <c r="X75" s="12"/>
      <c r="Y75" s="7"/>
      <c r="Z75" s="7"/>
      <c r="AA75" s="7"/>
      <c r="AB75" s="7">
        <v>144540</v>
      </c>
      <c r="AC75" s="7"/>
      <c r="AD75" s="4"/>
      <c r="AE75" s="4"/>
      <c r="AF75" s="4"/>
      <c r="AG75" s="4"/>
      <c r="AH75" s="9"/>
      <c r="AI75" s="9" t="s">
        <v>345</v>
      </c>
      <c r="AJ75" s="9"/>
      <c r="AK75" s="9" t="s">
        <v>30</v>
      </c>
      <c r="AL75" s="10"/>
      <c r="AM75" s="10"/>
      <c r="AN75" s="10"/>
      <c r="AO75" s="10"/>
      <c r="AP75" s="10"/>
      <c r="AQ75" s="11">
        <v>10</v>
      </c>
      <c r="AR75" s="4" t="s">
        <v>32</v>
      </c>
      <c r="AS75" s="10"/>
      <c r="AT75" s="10"/>
      <c r="AU75" s="10"/>
      <c r="AV75" s="10"/>
      <c r="AW75" s="10"/>
      <c r="AX75" s="10"/>
      <c r="AY75" s="10"/>
      <c r="AZ75" s="10"/>
      <c r="BA75" s="10"/>
      <c r="BB75" s="10"/>
      <c r="BC75" s="10"/>
      <c r="BD75" s="10"/>
    </row>
    <row r="76" spans="1:56" ht="130.5" x14ac:dyDescent="0.35">
      <c r="A76" s="4" t="s">
        <v>977</v>
      </c>
      <c r="B76" s="4" t="s">
        <v>1479</v>
      </c>
      <c r="C76" s="4" t="s">
        <v>22</v>
      </c>
      <c r="D76" s="4" t="s">
        <v>23</v>
      </c>
      <c r="E76" s="5" t="s">
        <v>34</v>
      </c>
      <c r="F76" s="4"/>
      <c r="G76" s="4" t="s">
        <v>35</v>
      </c>
      <c r="H76" s="65" t="s">
        <v>1010</v>
      </c>
      <c r="I76" s="12"/>
      <c r="J76" s="12"/>
      <c r="K76" s="12"/>
      <c r="L76" s="12"/>
      <c r="M76" s="67"/>
      <c r="N76" s="12"/>
      <c r="O76" s="12"/>
      <c r="P76" s="12"/>
      <c r="Q76" s="12"/>
      <c r="R76" s="12"/>
      <c r="S76" s="12"/>
      <c r="T76" s="12"/>
      <c r="U76" s="12"/>
      <c r="V76" s="12"/>
      <c r="W76" s="7"/>
      <c r="X76" s="12"/>
      <c r="Y76" s="7"/>
      <c r="Z76" s="7">
        <v>4</v>
      </c>
      <c r="AA76" s="7">
        <v>0.75</v>
      </c>
      <c r="AB76" s="7"/>
      <c r="AC76" s="7"/>
      <c r="AD76" s="4"/>
      <c r="AE76" s="4"/>
      <c r="AF76" s="4"/>
      <c r="AG76" s="4"/>
      <c r="AH76" s="9" t="s">
        <v>346</v>
      </c>
      <c r="AI76" s="9" t="s">
        <v>347</v>
      </c>
      <c r="AJ76" s="9"/>
      <c r="AK76" s="9" t="s">
        <v>30</v>
      </c>
      <c r="AL76" s="10"/>
      <c r="AM76" s="10"/>
      <c r="AN76" s="10"/>
      <c r="AO76" s="10"/>
      <c r="AP76" s="10"/>
      <c r="AQ76" s="11">
        <v>1</v>
      </c>
      <c r="AR76" s="4"/>
      <c r="AS76" s="10" t="s">
        <v>855</v>
      </c>
      <c r="AT76" s="10"/>
      <c r="AU76" s="10"/>
      <c r="AV76" s="10"/>
      <c r="AW76" s="10"/>
      <c r="AX76" s="10"/>
      <c r="AY76" s="10"/>
      <c r="AZ76" s="10"/>
      <c r="BA76" s="10"/>
      <c r="BB76" s="10"/>
      <c r="BC76" s="10">
        <v>394</v>
      </c>
      <c r="BD76" s="10"/>
    </row>
    <row r="77" spans="1:56" ht="304.5" x14ac:dyDescent="0.35">
      <c r="A77" s="4" t="s">
        <v>348</v>
      </c>
      <c r="B77" s="4" t="s">
        <v>1480</v>
      </c>
      <c r="C77" s="4" t="s">
        <v>46</v>
      </c>
      <c r="D77" s="4" t="s">
        <v>165</v>
      </c>
      <c r="E77" s="5" t="s">
        <v>34</v>
      </c>
      <c r="F77" s="4"/>
      <c r="G77" s="4" t="s">
        <v>35</v>
      </c>
      <c r="H77" s="65" t="s">
        <v>1186</v>
      </c>
      <c r="I77" s="12" t="s">
        <v>737</v>
      </c>
      <c r="J77" s="12"/>
      <c r="K77" s="12">
        <v>0.5</v>
      </c>
      <c r="L77" s="12" t="s">
        <v>738</v>
      </c>
      <c r="M77" s="67"/>
      <c r="N77" s="12">
        <v>0.5</v>
      </c>
      <c r="O77" s="12" t="s">
        <v>349</v>
      </c>
      <c r="P77" s="12"/>
      <c r="Q77" s="12">
        <v>0.5</v>
      </c>
      <c r="R77" s="12" t="s">
        <v>350</v>
      </c>
      <c r="S77" s="12"/>
      <c r="T77" s="12">
        <v>0.5</v>
      </c>
      <c r="U77" s="12"/>
      <c r="V77" s="12"/>
      <c r="W77" s="7">
        <v>80</v>
      </c>
      <c r="X77" s="12"/>
      <c r="Y77" s="7" t="s">
        <v>353</v>
      </c>
      <c r="Z77" s="7">
        <v>6</v>
      </c>
      <c r="AA77" s="7">
        <v>0.75</v>
      </c>
      <c r="AB77" s="7">
        <v>24000</v>
      </c>
      <c r="AC77" s="7">
        <v>0.5</v>
      </c>
      <c r="AD77" s="4" t="s">
        <v>1164</v>
      </c>
      <c r="AE77" s="13">
        <f>56/9*Crew_Size/500*Mission_Duration</f>
        <v>29.866666666666671</v>
      </c>
      <c r="AF77" s="13"/>
      <c r="AG77" s="4">
        <v>0.5</v>
      </c>
      <c r="AH77" s="9" t="s">
        <v>354</v>
      </c>
      <c r="AI77" s="9" t="s">
        <v>355</v>
      </c>
      <c r="AJ77" s="9" t="s">
        <v>356</v>
      </c>
      <c r="AK77" s="9" t="s">
        <v>357</v>
      </c>
      <c r="AL77" s="10"/>
      <c r="AM77" s="10"/>
      <c r="AN77" s="10"/>
      <c r="AO77" s="10"/>
      <c r="AP77" s="10"/>
      <c r="AQ77" s="11" t="s">
        <v>358</v>
      </c>
      <c r="AR77" s="4"/>
      <c r="AS77" s="10" t="s">
        <v>861</v>
      </c>
      <c r="AT77" s="10"/>
      <c r="AU77" s="10" t="s">
        <v>858</v>
      </c>
      <c r="AV77" s="10" t="s">
        <v>859</v>
      </c>
      <c r="AW77" s="10"/>
      <c r="AX77" s="10"/>
      <c r="AY77" s="10"/>
      <c r="AZ77" s="10"/>
      <c r="BA77" s="10"/>
      <c r="BB77" s="10"/>
      <c r="BC77" s="10" t="s">
        <v>351</v>
      </c>
      <c r="BD77" s="10" t="s">
        <v>352</v>
      </c>
    </row>
    <row r="78" spans="1:56" ht="232" x14ac:dyDescent="0.35">
      <c r="A78" s="4" t="s">
        <v>359</v>
      </c>
      <c r="B78" s="4" t="s">
        <v>1481</v>
      </c>
      <c r="C78" s="4" t="s">
        <v>22</v>
      </c>
      <c r="D78" s="4" t="s">
        <v>116</v>
      </c>
      <c r="E78" s="5" t="s">
        <v>34</v>
      </c>
      <c r="F78" s="4"/>
      <c r="G78" s="4" t="s">
        <v>35</v>
      </c>
      <c r="H78" s="65" t="s">
        <v>360</v>
      </c>
      <c r="I78" s="12" t="s">
        <v>740</v>
      </c>
      <c r="J78" s="13">
        <f>329/6</f>
        <v>54.833333333333336</v>
      </c>
      <c r="K78" s="12">
        <v>0.75</v>
      </c>
      <c r="L78" s="12" t="s">
        <v>739</v>
      </c>
      <c r="M78" s="67">
        <f>0.68/6</f>
        <v>0.11333333333333334</v>
      </c>
      <c r="N78" s="12">
        <v>0.75</v>
      </c>
      <c r="O78" s="12" t="s">
        <v>1095</v>
      </c>
      <c r="P78" s="12">
        <f>361/6</f>
        <v>60.166666666666664</v>
      </c>
      <c r="Q78" s="12">
        <v>0.5</v>
      </c>
      <c r="R78" s="12" t="s">
        <v>1094</v>
      </c>
      <c r="S78" s="12">
        <f>90/6</f>
        <v>15</v>
      </c>
      <c r="T78" s="12">
        <v>0.75</v>
      </c>
      <c r="U78" s="12">
        <v>21.833841336300004</v>
      </c>
      <c r="V78" s="12">
        <v>21.833841336300004</v>
      </c>
      <c r="W78" s="7">
        <v>99</v>
      </c>
      <c r="X78" s="12">
        <f>0.103/6</f>
        <v>1.7166666666666667E-2</v>
      </c>
      <c r="Y78" s="7" t="s">
        <v>361</v>
      </c>
      <c r="Z78" s="7">
        <v>9</v>
      </c>
      <c r="AA78" s="7">
        <v>1</v>
      </c>
      <c r="AB78" s="7"/>
      <c r="AC78" s="7"/>
      <c r="AD78" s="4" t="s">
        <v>1129</v>
      </c>
      <c r="AE78" s="4">
        <v>2.7</v>
      </c>
      <c r="AF78" s="4"/>
      <c r="AG78" s="4">
        <v>0.25</v>
      </c>
      <c r="AH78" s="9" t="s">
        <v>362</v>
      </c>
      <c r="AI78" s="9" t="s">
        <v>363</v>
      </c>
      <c r="AJ78" s="9" t="s">
        <v>364</v>
      </c>
      <c r="AK78" s="9" t="s">
        <v>30</v>
      </c>
      <c r="AL78" s="10" t="s">
        <v>365</v>
      </c>
      <c r="AM78" s="10" t="s">
        <v>1127</v>
      </c>
      <c r="AN78" s="10" t="s">
        <v>1128</v>
      </c>
      <c r="AO78" s="10" t="s">
        <v>1126</v>
      </c>
      <c r="AP78" s="10" t="s">
        <v>1125</v>
      </c>
      <c r="AQ78" s="11" t="s">
        <v>366</v>
      </c>
      <c r="AR78" s="4"/>
      <c r="AS78" s="10" t="s">
        <v>856</v>
      </c>
      <c r="AT78" s="10" t="s">
        <v>1082</v>
      </c>
      <c r="AU78" s="10"/>
      <c r="AV78" s="10"/>
      <c r="AW78" s="10"/>
      <c r="AX78" s="10"/>
      <c r="AY78" s="10"/>
      <c r="AZ78" s="10"/>
      <c r="BA78" s="10"/>
      <c r="BB78" s="10"/>
      <c r="BC78" s="10" t="s">
        <v>1093</v>
      </c>
      <c r="BD78" s="10"/>
    </row>
    <row r="79" spans="1:56" ht="29" x14ac:dyDescent="0.35">
      <c r="A79" s="4" t="s">
        <v>976</v>
      </c>
      <c r="B79" s="4"/>
      <c r="C79" s="4" t="s">
        <v>186</v>
      </c>
      <c r="D79" s="4" t="s">
        <v>23</v>
      </c>
      <c r="E79" s="5" t="s">
        <v>34</v>
      </c>
      <c r="F79" s="6"/>
      <c r="G79" s="4" t="s">
        <v>26</v>
      </c>
      <c r="H79" s="4" t="s">
        <v>367</v>
      </c>
      <c r="I79" s="12">
        <v>36.299999999999997</v>
      </c>
      <c r="J79" s="12">
        <v>36.299999999999997</v>
      </c>
      <c r="K79" s="12"/>
      <c r="L79" s="12">
        <v>9.4E-2</v>
      </c>
      <c r="M79" s="67">
        <v>0.09</v>
      </c>
      <c r="N79" s="12"/>
      <c r="O79" s="12"/>
      <c r="P79" s="12"/>
      <c r="Q79" s="12"/>
      <c r="R79" s="12">
        <f>540+360+60</f>
        <v>960</v>
      </c>
      <c r="S79" s="12">
        <v>960</v>
      </c>
      <c r="T79" s="12"/>
      <c r="U79" s="12"/>
      <c r="V79" s="12"/>
      <c r="W79" s="7"/>
      <c r="X79" s="12"/>
      <c r="Y79" s="7"/>
      <c r="Z79" s="7"/>
      <c r="AA79" s="7"/>
      <c r="AB79" s="7"/>
      <c r="AC79" s="7"/>
      <c r="AD79" s="4"/>
      <c r="AE79" s="4"/>
      <c r="AF79" s="4"/>
      <c r="AG79" s="4"/>
      <c r="AH79" s="9"/>
      <c r="AI79" s="9"/>
      <c r="AJ79" s="9"/>
      <c r="AK79" s="9" t="s">
        <v>30</v>
      </c>
      <c r="AL79" s="10"/>
      <c r="AM79" s="10"/>
      <c r="AN79" s="10"/>
      <c r="AO79" s="10"/>
      <c r="AP79" s="10"/>
      <c r="AQ79" s="11">
        <v>10</v>
      </c>
      <c r="AR79" s="4"/>
      <c r="AS79" s="10" t="s">
        <v>959</v>
      </c>
      <c r="AT79" s="10"/>
      <c r="AU79" s="10"/>
      <c r="AV79" s="10"/>
      <c r="AW79" s="10"/>
      <c r="AX79" s="10"/>
      <c r="AY79" s="10"/>
      <c r="AZ79" s="10"/>
      <c r="BA79" s="10"/>
      <c r="BB79" s="10"/>
      <c r="BC79" s="10"/>
      <c r="BD79" s="10"/>
    </row>
    <row r="80" spans="1:56" ht="159.5" x14ac:dyDescent="0.35">
      <c r="A80" s="4" t="s">
        <v>368</v>
      </c>
      <c r="B80" s="4"/>
      <c r="C80" s="4" t="s">
        <v>22</v>
      </c>
      <c r="D80" s="4" t="s">
        <v>116</v>
      </c>
      <c r="E80" s="5" t="s">
        <v>24</v>
      </c>
      <c r="F80" s="4"/>
      <c r="G80" s="4" t="s">
        <v>35</v>
      </c>
      <c r="H80" s="65" t="s">
        <v>1011</v>
      </c>
      <c r="I80" s="12">
        <v>165.56</v>
      </c>
      <c r="J80" s="12">
        <f>1*3*1.5*Mission_Duration+10.43*10*0.75</f>
        <v>2778.2249999999999</v>
      </c>
      <c r="K80" s="12">
        <v>0.25</v>
      </c>
      <c r="L80" s="12">
        <v>0.2082</v>
      </c>
      <c r="M80" s="67">
        <f>M38</f>
        <v>3.1099999999999999E-2</v>
      </c>
      <c r="N80" s="12">
        <v>0.25</v>
      </c>
      <c r="O80" s="12">
        <v>0</v>
      </c>
      <c r="P80" s="12">
        <v>0</v>
      </c>
      <c r="Q80" s="12">
        <v>0.75</v>
      </c>
      <c r="R80" s="12">
        <v>0</v>
      </c>
      <c r="S80" s="12">
        <f>S38</f>
        <v>12</v>
      </c>
      <c r="T80" s="12">
        <v>0.25</v>
      </c>
      <c r="U80" s="12">
        <v>55.425750000000001</v>
      </c>
      <c r="V80" s="12">
        <v>55.425750000000001</v>
      </c>
      <c r="W80" s="7"/>
      <c r="X80" s="12"/>
      <c r="Y80" s="7"/>
      <c r="Z80" s="7">
        <v>6</v>
      </c>
      <c r="AA80" s="7">
        <v>0.25</v>
      </c>
      <c r="AB80" s="7">
        <f>1*10^7</f>
        <v>10000000</v>
      </c>
      <c r="AC80" s="7">
        <v>0.25</v>
      </c>
      <c r="AD80" s="4"/>
      <c r="AE80" s="4"/>
      <c r="AF80" s="4"/>
      <c r="AG80" s="4"/>
      <c r="AH80" s="9"/>
      <c r="AI80" s="9"/>
      <c r="AJ80" s="9"/>
      <c r="AK80" s="9" t="s">
        <v>30</v>
      </c>
      <c r="AL80" s="10" t="s">
        <v>369</v>
      </c>
      <c r="AM80" s="10"/>
      <c r="AN80" s="10"/>
      <c r="AO80" s="10"/>
      <c r="AP80" s="10"/>
      <c r="AQ80" s="11" t="s">
        <v>370</v>
      </c>
      <c r="AR80" s="4"/>
      <c r="AS80" s="10"/>
      <c r="AT80" s="10" t="s">
        <v>1082</v>
      </c>
      <c r="AU80" s="10"/>
      <c r="AV80" s="10"/>
      <c r="AW80" s="10"/>
      <c r="AX80" s="10"/>
      <c r="AY80" s="10"/>
      <c r="AZ80" s="10"/>
      <c r="BA80" s="10"/>
      <c r="BB80" s="10"/>
      <c r="BC80" s="10">
        <v>293</v>
      </c>
      <c r="BD80" s="10">
        <v>101</v>
      </c>
    </row>
    <row r="81" spans="1:56" ht="145" x14ac:dyDescent="0.35">
      <c r="A81" s="4" t="s">
        <v>371</v>
      </c>
      <c r="B81" s="4" t="s">
        <v>612</v>
      </c>
      <c r="C81" s="4" t="s">
        <v>22</v>
      </c>
      <c r="D81" s="4" t="s">
        <v>33</v>
      </c>
      <c r="E81" s="5" t="s">
        <v>34</v>
      </c>
      <c r="F81" s="4"/>
      <c r="G81" s="4" t="s">
        <v>35</v>
      </c>
      <c r="H81" s="65" t="s">
        <v>1012</v>
      </c>
      <c r="I81" s="12" t="s">
        <v>741</v>
      </c>
      <c r="J81" s="12">
        <v>47.280449999999995</v>
      </c>
      <c r="K81" s="12">
        <v>0.75</v>
      </c>
      <c r="L81" s="12" t="s">
        <v>742</v>
      </c>
      <c r="M81" s="67">
        <v>8.1585000000000005E-2</v>
      </c>
      <c r="N81" s="12">
        <v>0.75</v>
      </c>
      <c r="O81" s="12" t="s">
        <v>372</v>
      </c>
      <c r="P81" s="12">
        <v>133.64400000000001</v>
      </c>
      <c r="Q81" s="12">
        <v>0.75</v>
      </c>
      <c r="R81" s="12" t="s">
        <v>373</v>
      </c>
      <c r="S81" s="12">
        <v>133.64400000000001</v>
      </c>
      <c r="T81" s="12">
        <v>0.75</v>
      </c>
      <c r="U81" s="12">
        <v>38.959090799999998</v>
      </c>
      <c r="V81" s="12">
        <v>38.959090799999998</v>
      </c>
      <c r="W81" s="7"/>
      <c r="X81" s="12">
        <v>0</v>
      </c>
      <c r="Y81" s="7" t="s">
        <v>376</v>
      </c>
      <c r="Z81" s="7">
        <v>8</v>
      </c>
      <c r="AA81" s="7">
        <v>0.75</v>
      </c>
      <c r="AB81" s="7">
        <v>17000</v>
      </c>
      <c r="AC81" s="7">
        <v>0.5</v>
      </c>
      <c r="AD81" s="4" t="s">
        <v>1101</v>
      </c>
      <c r="AE81" s="4">
        <v>0</v>
      </c>
      <c r="AF81" s="4"/>
      <c r="AG81" s="4">
        <v>0.25</v>
      </c>
      <c r="AH81" s="9"/>
      <c r="AI81" s="9" t="s">
        <v>377</v>
      </c>
      <c r="AJ81" s="9" t="s">
        <v>378</v>
      </c>
      <c r="AK81" s="9" t="s">
        <v>30</v>
      </c>
      <c r="AL81" s="10" t="s">
        <v>379</v>
      </c>
      <c r="AM81" s="10" t="s">
        <v>380</v>
      </c>
      <c r="AN81" s="10" t="s">
        <v>381</v>
      </c>
      <c r="AO81" s="10" t="s">
        <v>382</v>
      </c>
      <c r="AP81" s="10" t="s">
        <v>383</v>
      </c>
      <c r="AQ81" s="11" t="s">
        <v>384</v>
      </c>
      <c r="AR81" s="4"/>
      <c r="AS81" s="10"/>
      <c r="AT81" s="10" t="s">
        <v>1081</v>
      </c>
      <c r="AU81" s="10"/>
      <c r="AV81" s="10"/>
      <c r="AW81" s="10"/>
      <c r="AX81" s="10"/>
      <c r="AY81" s="10"/>
      <c r="AZ81" s="10"/>
      <c r="BA81" s="10"/>
      <c r="BB81" s="10"/>
      <c r="BC81" s="10" t="s">
        <v>374</v>
      </c>
      <c r="BD81" s="10" t="s">
        <v>375</v>
      </c>
    </row>
    <row r="82" spans="1:56" ht="116" x14ac:dyDescent="0.35">
      <c r="A82" s="4" t="s">
        <v>1483</v>
      </c>
      <c r="B82" s="4" t="s">
        <v>1484</v>
      </c>
      <c r="C82" s="4" t="s">
        <v>22</v>
      </c>
      <c r="D82" s="4" t="s">
        <v>62</v>
      </c>
      <c r="E82" s="5" t="s">
        <v>34</v>
      </c>
      <c r="F82" s="4"/>
      <c r="G82" s="4" t="s">
        <v>35</v>
      </c>
      <c r="H82" s="4" t="s">
        <v>1102</v>
      </c>
      <c r="I82" s="12" t="s">
        <v>743</v>
      </c>
      <c r="J82" s="12">
        <f>676/6</f>
        <v>112.66666666666667</v>
      </c>
      <c r="K82" s="12">
        <v>0.75</v>
      </c>
      <c r="L82" s="12" t="s">
        <v>744</v>
      </c>
      <c r="M82" s="67">
        <f>0.79/6</f>
        <v>0.13166666666666668</v>
      </c>
      <c r="N82" s="12">
        <v>0.75</v>
      </c>
      <c r="O82" s="12" t="s">
        <v>1103</v>
      </c>
      <c r="P82" s="12">
        <f>330/6</f>
        <v>55</v>
      </c>
      <c r="Q82" s="12">
        <v>0.75</v>
      </c>
      <c r="R82" s="12" t="s">
        <v>1104</v>
      </c>
      <c r="S82" s="12">
        <f>3219/6</f>
        <v>536.5</v>
      </c>
      <c r="T82" s="12">
        <v>0.75</v>
      </c>
      <c r="U82" s="12">
        <v>43.901899109433955</v>
      </c>
      <c r="V82" s="12">
        <v>43.901899109433955</v>
      </c>
      <c r="W82" s="7"/>
      <c r="X82" s="12">
        <v>5.7119999999999997E-2</v>
      </c>
      <c r="Y82" s="7" t="s">
        <v>387</v>
      </c>
      <c r="Z82" s="7">
        <v>9</v>
      </c>
      <c r="AA82" s="7">
        <v>1</v>
      </c>
      <c r="AB82" s="8">
        <f>1/(1/27156+1/61846+1/296701+1/138408+1/98112+1/47479+1/103280+1/144540+1/33288)</f>
        <v>7067.8855543274412</v>
      </c>
      <c r="AC82" s="7">
        <v>0.75</v>
      </c>
      <c r="AD82" s="4" t="s">
        <v>1698</v>
      </c>
      <c r="AE82" s="13"/>
      <c r="AF82" s="13">
        <f>66.48/6</f>
        <v>11.08</v>
      </c>
      <c r="AG82" s="4">
        <v>0.75</v>
      </c>
      <c r="AH82" s="9"/>
      <c r="AI82" s="9"/>
      <c r="AJ82" s="9"/>
      <c r="AK82" s="9" t="s">
        <v>30</v>
      </c>
      <c r="AL82" s="10" t="s">
        <v>388</v>
      </c>
      <c r="AM82" s="10"/>
      <c r="AN82" s="10"/>
      <c r="AO82" s="10"/>
      <c r="AP82" s="10"/>
      <c r="AQ82" s="11" t="s">
        <v>389</v>
      </c>
      <c r="AR82" s="4" t="s">
        <v>32</v>
      </c>
      <c r="AS82" s="10" t="s">
        <v>1467</v>
      </c>
      <c r="AT82" s="10"/>
      <c r="AU82" s="10"/>
      <c r="AV82" s="10" t="s">
        <v>857</v>
      </c>
      <c r="AW82" s="10"/>
      <c r="AX82" s="10"/>
      <c r="AY82" s="10"/>
      <c r="AZ82" s="10"/>
      <c r="BA82" s="10"/>
      <c r="BB82" s="10"/>
      <c r="BC82" s="10" t="s">
        <v>385</v>
      </c>
      <c r="BD82" s="10" t="s">
        <v>386</v>
      </c>
    </row>
    <row r="83" spans="1:56" ht="101.5" x14ac:dyDescent="0.35">
      <c r="A83" s="4" t="s">
        <v>390</v>
      </c>
      <c r="B83" s="4" t="s">
        <v>1482</v>
      </c>
      <c r="C83" s="4" t="s">
        <v>139</v>
      </c>
      <c r="D83" s="4" t="s">
        <v>23</v>
      </c>
      <c r="E83" s="5" t="s">
        <v>34</v>
      </c>
      <c r="F83" s="4"/>
      <c r="G83" s="4" t="s">
        <v>35</v>
      </c>
      <c r="H83" s="65" t="s">
        <v>391</v>
      </c>
      <c r="I83" s="12"/>
      <c r="J83" s="12"/>
      <c r="K83" s="12"/>
      <c r="L83" s="12"/>
      <c r="M83" s="67"/>
      <c r="N83" s="12"/>
      <c r="O83" s="12"/>
      <c r="P83" s="12"/>
      <c r="Q83" s="12"/>
      <c r="R83" s="12"/>
      <c r="S83" s="12"/>
      <c r="T83" s="12"/>
      <c r="U83" s="12"/>
      <c r="V83" s="12"/>
      <c r="W83" s="7"/>
      <c r="X83" s="12">
        <v>0</v>
      </c>
      <c r="Y83" s="7"/>
      <c r="Z83" s="7"/>
      <c r="AA83" s="7"/>
      <c r="AB83" s="7"/>
      <c r="AC83" s="7"/>
      <c r="AD83" s="4"/>
      <c r="AE83" s="4"/>
      <c r="AF83" s="4"/>
      <c r="AG83" s="4"/>
      <c r="AH83" s="9" t="s">
        <v>392</v>
      </c>
      <c r="AI83" s="9" t="s">
        <v>393</v>
      </c>
      <c r="AJ83" s="9"/>
      <c r="AK83" s="9" t="s">
        <v>30</v>
      </c>
      <c r="AL83" s="10"/>
      <c r="AM83" s="10"/>
      <c r="AN83" s="10"/>
      <c r="AO83" s="10"/>
      <c r="AP83" s="10"/>
      <c r="AQ83" s="11">
        <v>1</v>
      </c>
      <c r="AR83" s="4"/>
      <c r="AS83" s="10"/>
      <c r="AT83" s="10"/>
      <c r="AU83" s="10"/>
      <c r="AV83" s="10"/>
      <c r="AW83" s="10"/>
      <c r="AX83" s="10"/>
      <c r="AY83" s="10"/>
      <c r="AZ83" s="10"/>
      <c r="BA83" s="10"/>
      <c r="BB83" s="10"/>
      <c r="BC83" s="10"/>
      <c r="BD83" s="10"/>
    </row>
    <row r="84" spans="1:56" ht="174" x14ac:dyDescent="0.35">
      <c r="A84" s="4" t="s">
        <v>394</v>
      </c>
      <c r="B84" s="4" t="s">
        <v>619</v>
      </c>
      <c r="C84" s="4" t="s">
        <v>22</v>
      </c>
      <c r="D84" s="4" t="s">
        <v>62</v>
      </c>
      <c r="E84" s="5" t="s">
        <v>34</v>
      </c>
      <c r="F84" s="4"/>
      <c r="G84" s="4" t="s">
        <v>35</v>
      </c>
      <c r="H84" s="65" t="s">
        <v>1105</v>
      </c>
      <c r="I84" s="12" t="s">
        <v>395</v>
      </c>
      <c r="J84" s="12">
        <v>28.25</v>
      </c>
      <c r="K84" s="12">
        <v>0.75</v>
      </c>
      <c r="L84" s="12" t="s">
        <v>745</v>
      </c>
      <c r="M84" s="67">
        <v>3.5000000000000003E-2</v>
      </c>
      <c r="N84" s="12">
        <v>0.75</v>
      </c>
      <c r="O84" s="12" t="s">
        <v>396</v>
      </c>
      <c r="P84" s="12">
        <v>9.75</v>
      </c>
      <c r="Q84" s="12">
        <v>0.75</v>
      </c>
      <c r="R84" s="12" t="s">
        <v>397</v>
      </c>
      <c r="S84" s="12">
        <v>367.5</v>
      </c>
      <c r="T84" s="12">
        <v>0.75</v>
      </c>
      <c r="U84" s="12">
        <v>17.167524999999998</v>
      </c>
      <c r="V84" s="12">
        <v>17.167524999999998</v>
      </c>
      <c r="W84" s="7"/>
      <c r="X84" s="12">
        <v>0</v>
      </c>
      <c r="Y84" s="7" t="s">
        <v>399</v>
      </c>
      <c r="Z84" s="7">
        <v>8</v>
      </c>
      <c r="AA84" s="7">
        <v>0.75</v>
      </c>
      <c r="AB84" s="8">
        <f>1/(1/27156+1/61846+1/296701+1/138408+1/98112+1/47479+1/103280+1/144540+1/33288)</f>
        <v>7067.8855543274412</v>
      </c>
      <c r="AC84" s="7">
        <v>0.5</v>
      </c>
      <c r="AD84" s="4" t="s">
        <v>400</v>
      </c>
      <c r="AE84" s="13">
        <f>(10/360)*Mission_Duration</f>
        <v>16.666666666666664</v>
      </c>
      <c r="AF84" s="13"/>
      <c r="AG84" s="4">
        <v>0.25</v>
      </c>
      <c r="AH84" s="9"/>
      <c r="AI84" s="9" t="s">
        <v>401</v>
      </c>
      <c r="AJ84" s="9" t="s">
        <v>402</v>
      </c>
      <c r="AK84" s="9" t="s">
        <v>30</v>
      </c>
      <c r="AL84" s="10" t="s">
        <v>403</v>
      </c>
      <c r="AM84" s="10"/>
      <c r="AN84" s="10"/>
      <c r="AO84" s="10"/>
      <c r="AP84" s="10"/>
      <c r="AQ84" s="11" t="s">
        <v>404</v>
      </c>
      <c r="AR84" s="4"/>
      <c r="AS84" s="10" t="s">
        <v>1467</v>
      </c>
      <c r="AT84" s="10"/>
      <c r="AU84" s="10"/>
      <c r="AV84" s="10" t="s">
        <v>857</v>
      </c>
      <c r="AW84" s="10"/>
      <c r="AX84" s="10"/>
      <c r="AY84" s="10"/>
      <c r="AZ84" s="10"/>
      <c r="BA84" s="10"/>
      <c r="BB84" s="10"/>
      <c r="BC84" s="10"/>
      <c r="BD84" s="10" t="s">
        <v>398</v>
      </c>
    </row>
    <row r="85" spans="1:56" ht="174" x14ac:dyDescent="0.35">
      <c r="A85" s="4" t="s">
        <v>405</v>
      </c>
      <c r="B85" s="4" t="s">
        <v>1485</v>
      </c>
      <c r="C85" s="4" t="s">
        <v>139</v>
      </c>
      <c r="D85" s="4" t="s">
        <v>23</v>
      </c>
      <c r="E85" s="5" t="s">
        <v>34</v>
      </c>
      <c r="F85" s="4"/>
      <c r="G85" s="4" t="s">
        <v>35</v>
      </c>
      <c r="H85" s="65" t="s">
        <v>406</v>
      </c>
      <c r="I85" s="12" t="s">
        <v>407</v>
      </c>
      <c r="J85" s="12"/>
      <c r="K85" s="12"/>
      <c r="L85" s="12" t="s">
        <v>746</v>
      </c>
      <c r="M85" s="67"/>
      <c r="N85" s="12"/>
      <c r="O85" s="12" t="s">
        <v>408</v>
      </c>
      <c r="P85" s="12"/>
      <c r="Q85" s="12"/>
      <c r="R85" s="12" t="s">
        <v>409</v>
      </c>
      <c r="S85" s="12"/>
      <c r="T85" s="12"/>
      <c r="U85" s="12"/>
      <c r="V85" s="12"/>
      <c r="W85" s="7">
        <v>100</v>
      </c>
      <c r="X85" s="12"/>
      <c r="Y85" s="7" t="s">
        <v>411</v>
      </c>
      <c r="Z85" s="7">
        <v>4</v>
      </c>
      <c r="AA85" s="7">
        <v>0.75</v>
      </c>
      <c r="AB85" s="15"/>
      <c r="AC85" s="7"/>
      <c r="AD85" s="4" t="s">
        <v>412</v>
      </c>
      <c r="AE85" s="4"/>
      <c r="AF85" s="4"/>
      <c r="AG85" s="4"/>
      <c r="AH85" s="9" t="s">
        <v>413</v>
      </c>
      <c r="AI85" s="9" t="s">
        <v>414</v>
      </c>
      <c r="AJ85" s="9" t="s">
        <v>415</v>
      </c>
      <c r="AK85" s="9" t="s">
        <v>416</v>
      </c>
      <c r="AL85" s="10" t="s">
        <v>417</v>
      </c>
      <c r="AM85" s="10" t="s">
        <v>418</v>
      </c>
      <c r="AN85" s="10"/>
      <c r="AO85" s="10" t="s">
        <v>419</v>
      </c>
      <c r="AP85" s="10"/>
      <c r="AQ85" s="11" t="s">
        <v>420</v>
      </c>
      <c r="AR85" s="4"/>
      <c r="AS85" s="10"/>
      <c r="AT85" s="10"/>
      <c r="AU85" s="10"/>
      <c r="AV85" s="10"/>
      <c r="AW85" s="10"/>
      <c r="AX85" s="10"/>
      <c r="AY85" s="10" t="s">
        <v>856</v>
      </c>
      <c r="AZ85" s="10" t="s">
        <v>860</v>
      </c>
      <c r="BA85" s="10" t="s">
        <v>879</v>
      </c>
      <c r="BB85" s="10"/>
      <c r="BC85" s="10" t="s">
        <v>410</v>
      </c>
      <c r="BD85" s="10" t="s">
        <v>1185</v>
      </c>
    </row>
    <row r="86" spans="1:56" ht="250.5" x14ac:dyDescent="0.35">
      <c r="A86" s="4" t="s">
        <v>421</v>
      </c>
      <c r="B86" s="4"/>
      <c r="C86" s="4" t="s">
        <v>22</v>
      </c>
      <c r="D86" s="4" t="s">
        <v>116</v>
      </c>
      <c r="E86" s="5" t="s">
        <v>24</v>
      </c>
      <c r="F86" s="4"/>
      <c r="G86" s="4" t="s">
        <v>35</v>
      </c>
      <c r="H86" s="65" t="s">
        <v>1013</v>
      </c>
      <c r="I86" s="12">
        <f>ROUNDUP(SUM_O2_Consumption*Mission_Duration/1.7,0)*15.2</f>
        <v>19760</v>
      </c>
      <c r="J86" s="12">
        <f>technologies[[#This Row],[Mass
Literature]]/Crew_Size</f>
        <v>4940</v>
      </c>
      <c r="K86" s="12">
        <v>0.75</v>
      </c>
      <c r="L86" s="12">
        <f>ROUNDUP(SUM_O2_Consumption*Mission_Duration/1.7,0)*0.02</f>
        <v>26</v>
      </c>
      <c r="M86" s="67">
        <f>technologies[[#This Row],[Volume
Literature]]/Crew_Size</f>
        <v>6.5</v>
      </c>
      <c r="N86" s="12">
        <v>0.75</v>
      </c>
      <c r="O86" s="12"/>
      <c r="P86" s="12">
        <v>0</v>
      </c>
      <c r="Q86" s="12">
        <v>0.5</v>
      </c>
      <c r="R86" s="12">
        <f>45/6*Crew_Size</f>
        <v>30</v>
      </c>
      <c r="S86" s="12">
        <f>technologies[[#This Row],[Power required
Literature]]/100</f>
        <v>0.3</v>
      </c>
      <c r="T86" s="12">
        <v>0.5</v>
      </c>
      <c r="U86" s="12">
        <v>10.183999999999999</v>
      </c>
      <c r="V86" s="12">
        <v>10.183999999999999</v>
      </c>
      <c r="W86" s="7">
        <v>0.5</v>
      </c>
      <c r="X86" s="12"/>
      <c r="Y86" s="7">
        <v>9</v>
      </c>
      <c r="Z86" s="7">
        <v>9</v>
      </c>
      <c r="AA86" s="7">
        <v>1</v>
      </c>
      <c r="AB86" s="7">
        <f>1*10^7</f>
        <v>10000000</v>
      </c>
      <c r="AC86" s="7">
        <v>0.75</v>
      </c>
      <c r="AD86" s="4"/>
      <c r="AE86" s="13">
        <f>6.22/7*365*10</f>
        <v>3243.2857142857142</v>
      </c>
      <c r="AF86" s="13"/>
      <c r="AG86" s="4">
        <v>0.25</v>
      </c>
      <c r="AH86" s="9" t="s">
        <v>423</v>
      </c>
      <c r="AI86" s="9" t="s">
        <v>424</v>
      </c>
      <c r="AJ86" s="9"/>
      <c r="AK86" s="9" t="s">
        <v>425</v>
      </c>
      <c r="AL86" s="10" t="s">
        <v>426</v>
      </c>
      <c r="AM86" s="10" t="s">
        <v>427</v>
      </c>
      <c r="AN86" s="10" t="s">
        <v>428</v>
      </c>
      <c r="AO86" s="10" t="s">
        <v>429</v>
      </c>
      <c r="AP86" s="10" t="s">
        <v>430</v>
      </c>
      <c r="AQ86" s="11" t="s">
        <v>431</v>
      </c>
      <c r="AR86" s="4"/>
      <c r="AS86" s="10"/>
      <c r="AT86" s="10"/>
      <c r="AU86" s="10"/>
      <c r="AV86" s="10" t="s">
        <v>857</v>
      </c>
      <c r="AW86" s="10" t="s">
        <v>856</v>
      </c>
      <c r="AX86" s="10"/>
      <c r="AY86" s="10" t="s">
        <v>1082</v>
      </c>
      <c r="AZ86" s="10"/>
      <c r="BA86" s="10"/>
      <c r="BB86" s="10"/>
      <c r="BC86" s="10" t="s">
        <v>422</v>
      </c>
      <c r="BD86" s="10"/>
    </row>
    <row r="87" spans="1:56" ht="116" x14ac:dyDescent="0.35">
      <c r="A87" s="4" t="s">
        <v>974</v>
      </c>
      <c r="B87" s="4"/>
      <c r="C87" s="4" t="s">
        <v>70</v>
      </c>
      <c r="D87" s="4" t="s">
        <v>23</v>
      </c>
      <c r="E87" s="5" t="s">
        <v>34</v>
      </c>
      <c r="F87" s="6"/>
      <c r="G87" s="4" t="s">
        <v>67</v>
      </c>
      <c r="H87" s="65" t="s">
        <v>432</v>
      </c>
      <c r="I87" s="12"/>
      <c r="J87" s="12"/>
      <c r="K87" s="12"/>
      <c r="L87" s="12"/>
      <c r="M87" s="67"/>
      <c r="N87" s="12"/>
      <c r="O87" s="12"/>
      <c r="P87" s="12"/>
      <c r="Q87" s="12"/>
      <c r="R87" s="12">
        <v>0</v>
      </c>
      <c r="S87" s="12"/>
      <c r="T87" s="12"/>
      <c r="U87" s="12"/>
      <c r="V87" s="12"/>
      <c r="W87" s="7"/>
      <c r="X87" s="12"/>
      <c r="Y87" s="7" t="str">
        <f>Y128</f>
        <v>8
9</v>
      </c>
      <c r="Z87" s="7">
        <v>8</v>
      </c>
      <c r="AA87" s="7">
        <v>1</v>
      </c>
      <c r="AB87" s="7"/>
      <c r="AC87" s="7"/>
      <c r="AD87" s="4"/>
      <c r="AE87" s="4"/>
      <c r="AF87" s="4"/>
      <c r="AG87" s="4"/>
      <c r="AH87" s="9"/>
      <c r="AI87" s="9"/>
      <c r="AJ87" s="9"/>
      <c r="AK87" s="9" t="s">
        <v>30</v>
      </c>
      <c r="AL87" s="10"/>
      <c r="AM87" s="10"/>
      <c r="AN87" s="10"/>
      <c r="AO87" s="10"/>
      <c r="AP87" s="10"/>
      <c r="AQ87" s="11">
        <v>1</v>
      </c>
      <c r="AR87" s="4"/>
      <c r="AS87" s="10" t="s">
        <v>944</v>
      </c>
      <c r="AT87" s="10" t="s">
        <v>945</v>
      </c>
      <c r="AU87" s="10" t="s">
        <v>890</v>
      </c>
      <c r="AV87" s="10"/>
      <c r="AW87" s="10"/>
      <c r="AX87" s="10"/>
      <c r="AY87" s="10"/>
      <c r="AZ87" s="10"/>
      <c r="BA87" s="10"/>
      <c r="BB87" s="10"/>
      <c r="BC87" s="10"/>
      <c r="BD87" s="10"/>
    </row>
    <row r="88" spans="1:56" ht="275.5" x14ac:dyDescent="0.35">
      <c r="A88" s="4" t="s">
        <v>975</v>
      </c>
      <c r="B88" s="4" t="s">
        <v>640</v>
      </c>
      <c r="C88" s="4" t="s">
        <v>46</v>
      </c>
      <c r="D88" s="4" t="s">
        <v>1160</v>
      </c>
      <c r="E88" s="5" t="s">
        <v>34</v>
      </c>
      <c r="F88" s="4"/>
      <c r="G88" s="4" t="s">
        <v>35</v>
      </c>
      <c r="H88" s="65" t="s">
        <v>1106</v>
      </c>
      <c r="I88" s="12" t="s">
        <v>763</v>
      </c>
      <c r="J88" s="12">
        <v>5.4345654345654344</v>
      </c>
      <c r="K88" s="12">
        <v>0.5</v>
      </c>
      <c r="L88" s="12" t="s">
        <v>764</v>
      </c>
      <c r="M88" s="67">
        <v>1.8381618381618382E-2</v>
      </c>
      <c r="N88" s="12">
        <v>0.5</v>
      </c>
      <c r="O88" s="12" t="s">
        <v>433</v>
      </c>
      <c r="P88" s="12">
        <v>13.586413586413586</v>
      </c>
      <c r="Q88" s="12">
        <v>0.5</v>
      </c>
      <c r="R88" s="12" t="s">
        <v>434</v>
      </c>
      <c r="S88" s="12">
        <v>13.586413586413586</v>
      </c>
      <c r="T88" s="12">
        <v>0.5</v>
      </c>
      <c r="U88" s="12">
        <v>3.3286713286713288</v>
      </c>
      <c r="V88" s="12">
        <v>3.3286713286713288</v>
      </c>
      <c r="W88" s="7">
        <v>91</v>
      </c>
      <c r="X88" s="12">
        <v>3.996003996003996E-3</v>
      </c>
      <c r="Y88" s="7" t="s">
        <v>436</v>
      </c>
      <c r="Z88" s="7">
        <v>6</v>
      </c>
      <c r="AA88" s="7">
        <v>0.75</v>
      </c>
      <c r="AB88" s="7">
        <v>14300</v>
      </c>
      <c r="AC88" s="7">
        <v>0.5</v>
      </c>
      <c r="AD88" s="4" t="s">
        <v>437</v>
      </c>
      <c r="AE88" s="13">
        <f>36/9*Crew_Size/500*Mission_Duration</f>
        <v>19.2</v>
      </c>
      <c r="AF88" s="13"/>
      <c r="AG88" s="4">
        <v>0.5</v>
      </c>
      <c r="AH88" s="9" t="s">
        <v>438</v>
      </c>
      <c r="AI88" s="9" t="s">
        <v>439</v>
      </c>
      <c r="AJ88" s="9" t="s">
        <v>440</v>
      </c>
      <c r="AK88" s="9" t="s">
        <v>30</v>
      </c>
      <c r="AL88" s="10" t="s">
        <v>441</v>
      </c>
      <c r="AM88" s="10" t="s">
        <v>442</v>
      </c>
      <c r="AN88" s="10"/>
      <c r="AO88" s="10" t="s">
        <v>443</v>
      </c>
      <c r="AP88" s="10"/>
      <c r="AQ88" s="11" t="s">
        <v>444</v>
      </c>
      <c r="AR88" s="4" t="s">
        <v>445</v>
      </c>
      <c r="AS88" s="10" t="s">
        <v>861</v>
      </c>
      <c r="AT88" s="10"/>
      <c r="AU88" s="10"/>
      <c r="AV88" s="10"/>
      <c r="AW88" s="10"/>
      <c r="AX88" s="10" t="s">
        <v>860</v>
      </c>
      <c r="AY88" s="10"/>
      <c r="AZ88" s="10"/>
      <c r="BA88" s="10"/>
      <c r="BB88" s="10"/>
      <c r="BC88" s="10" t="s">
        <v>435</v>
      </c>
      <c r="BD88" s="10">
        <v>17</v>
      </c>
    </row>
    <row r="89" spans="1:56" ht="58" x14ac:dyDescent="0.35">
      <c r="A89" s="4" t="s">
        <v>446</v>
      </c>
      <c r="B89" s="4" t="s">
        <v>1486</v>
      </c>
      <c r="C89" s="4" t="s">
        <v>46</v>
      </c>
      <c r="D89" s="4" t="s">
        <v>165</v>
      </c>
      <c r="E89" s="5" t="s">
        <v>34</v>
      </c>
      <c r="F89" s="4"/>
      <c r="G89" s="4" t="s">
        <v>35</v>
      </c>
      <c r="H89" s="65" t="s">
        <v>447</v>
      </c>
      <c r="I89" s="12"/>
      <c r="J89" s="12"/>
      <c r="K89" s="12"/>
      <c r="L89" s="12"/>
      <c r="M89" s="67"/>
      <c r="N89" s="12"/>
      <c r="O89" s="12"/>
      <c r="P89" s="12"/>
      <c r="Q89" s="12"/>
      <c r="R89" s="12"/>
      <c r="S89" s="12"/>
      <c r="T89" s="12"/>
      <c r="U89" s="12"/>
      <c r="V89" s="12"/>
      <c r="W89" s="7"/>
      <c r="X89" s="12"/>
      <c r="Y89" s="7"/>
      <c r="Z89" s="7"/>
      <c r="AA89" s="7"/>
      <c r="AB89" s="7"/>
      <c r="AC89" s="7"/>
      <c r="AD89" s="4"/>
      <c r="AE89" s="4"/>
      <c r="AF89" s="4"/>
      <c r="AG89" s="4"/>
      <c r="AH89" s="9"/>
      <c r="AI89" s="9"/>
      <c r="AJ89" s="9"/>
      <c r="AK89" s="9" t="s">
        <v>30</v>
      </c>
      <c r="AL89" s="10"/>
      <c r="AM89" s="10"/>
      <c r="AN89" s="10"/>
      <c r="AO89" s="10"/>
      <c r="AP89" s="10"/>
      <c r="AQ89" s="11">
        <v>1</v>
      </c>
      <c r="AR89" s="4"/>
      <c r="AS89" s="10"/>
      <c r="AT89" s="10"/>
      <c r="AU89" s="10"/>
      <c r="AV89" s="10"/>
      <c r="AW89" s="10"/>
      <c r="AX89" s="10"/>
      <c r="AY89" s="10"/>
      <c r="AZ89" s="10"/>
      <c r="BA89" s="10"/>
      <c r="BB89" s="10"/>
      <c r="BC89" s="10"/>
      <c r="BD89" s="10"/>
    </row>
    <row r="90" spans="1:56" ht="116" x14ac:dyDescent="0.35">
      <c r="A90" s="4" t="s">
        <v>1507</v>
      </c>
      <c r="B90" s="4" t="s">
        <v>1502</v>
      </c>
      <c r="C90" s="4" t="s">
        <v>46</v>
      </c>
      <c r="D90" s="4" t="s">
        <v>1160</v>
      </c>
      <c r="E90" s="5" t="s">
        <v>34</v>
      </c>
      <c r="F90" s="4"/>
      <c r="G90" s="4" t="s">
        <v>35</v>
      </c>
      <c r="H90" s="4" t="s">
        <v>1508</v>
      </c>
      <c r="I90" s="12">
        <v>53</v>
      </c>
      <c r="J90" s="12">
        <f xml:space="preserve"> 53*26*1.6*0.85/22.6</f>
        <v>82.923893805309731</v>
      </c>
      <c r="K90" s="12">
        <v>0.75</v>
      </c>
      <c r="L90" s="12">
        <v>0.15</v>
      </c>
      <c r="M90" s="67">
        <f xml:space="preserve"> 0.15*26*1.6*0.85/22.6</f>
        <v>0.23469026548672567</v>
      </c>
      <c r="N90" s="12">
        <v>0.75</v>
      </c>
      <c r="O90" s="12">
        <v>142</v>
      </c>
      <c r="P90" s="12">
        <f xml:space="preserve"> 142*26*1.6*0.85/22.6</f>
        <v>222.17345132743364</v>
      </c>
      <c r="Q90" s="12">
        <v>0.75</v>
      </c>
      <c r="R90" s="12">
        <v>142</v>
      </c>
      <c r="S90" s="12">
        <f xml:space="preserve"> 142*26*1.6*0.85/22.6</f>
        <v>222.17345132743364</v>
      </c>
      <c r="T90" s="12">
        <v>0.75</v>
      </c>
      <c r="U90" s="12">
        <v>53</v>
      </c>
      <c r="V90" s="12">
        <v>53</v>
      </c>
      <c r="W90" s="7">
        <v>80</v>
      </c>
      <c r="X90" s="12">
        <f xml:space="preserve"> 0.25*0.8*1.6*0.85</f>
        <v>0.27200000000000002</v>
      </c>
      <c r="Y90" s="7">
        <v>9</v>
      </c>
      <c r="Z90" s="7">
        <v>9</v>
      </c>
      <c r="AA90" s="7">
        <v>1</v>
      </c>
      <c r="AB90" s="7"/>
      <c r="AC90" s="7"/>
      <c r="AD90" s="4"/>
      <c r="AE90" s="4"/>
      <c r="AF90" s="4">
        <v>14</v>
      </c>
      <c r="AG90" s="4"/>
      <c r="AH90" s="9"/>
      <c r="AI90" s="9"/>
      <c r="AJ90" s="9"/>
      <c r="AK90" s="9" t="s">
        <v>30</v>
      </c>
      <c r="AL90" s="10"/>
      <c r="AM90" s="10"/>
      <c r="AN90" s="10"/>
      <c r="AO90" s="10"/>
      <c r="AP90" s="10"/>
      <c r="AQ90" s="11"/>
      <c r="AR90" s="4"/>
      <c r="AS90" s="10" t="s">
        <v>1465</v>
      </c>
      <c r="AT90" s="10"/>
      <c r="AU90" s="10"/>
      <c r="AV90" s="10"/>
      <c r="AW90" s="10"/>
      <c r="AX90" s="10"/>
      <c r="AY90" s="10"/>
      <c r="AZ90" s="10"/>
      <c r="BA90" s="10"/>
      <c r="BB90" s="10"/>
      <c r="BC90" s="10"/>
      <c r="BD90" s="10"/>
    </row>
    <row r="91" spans="1:56" ht="145" x14ac:dyDescent="0.35">
      <c r="A91" s="4" t="s">
        <v>1392</v>
      </c>
      <c r="B91" s="4" t="s">
        <v>1487</v>
      </c>
      <c r="C91" s="4" t="s">
        <v>46</v>
      </c>
      <c r="D91" s="4" t="s">
        <v>1160</v>
      </c>
      <c r="E91" s="5" t="s">
        <v>34</v>
      </c>
      <c r="F91" s="4" t="s">
        <v>48</v>
      </c>
      <c r="G91" s="4" t="s">
        <v>35</v>
      </c>
      <c r="H91" s="65" t="s">
        <v>1688</v>
      </c>
      <c r="I91" s="12" t="s">
        <v>754</v>
      </c>
      <c r="J91" s="12">
        <f>455/6</f>
        <v>75.833333333333329</v>
      </c>
      <c r="K91" s="12">
        <v>0.75</v>
      </c>
      <c r="L91" s="12">
        <f>1.571/2</f>
        <v>0.78549999999999998</v>
      </c>
      <c r="M91" s="67">
        <f>technologies[[#This Row],[Volume
Literature]]/6</f>
        <v>0.13091666666666665</v>
      </c>
      <c r="N91" s="12">
        <v>0.75</v>
      </c>
      <c r="O91" s="12">
        <v>79</v>
      </c>
      <c r="P91" s="12">
        <f>technologies[[#This Row],[Power]]</f>
        <v>35.233333333333334</v>
      </c>
      <c r="Q91" s="12">
        <v>0.5</v>
      </c>
      <c r="R91" s="12" t="s">
        <v>1387</v>
      </c>
      <c r="S91" s="12">
        <f>211.4/6</f>
        <v>35.233333333333334</v>
      </c>
      <c r="T91" s="12">
        <v>1</v>
      </c>
      <c r="U91" s="12">
        <v>23.964705882352938</v>
      </c>
      <c r="V91" s="12">
        <v>23.964705882352938</v>
      </c>
      <c r="W91" s="7">
        <v>85</v>
      </c>
      <c r="X91" s="12">
        <f>1.6*technologies[[#This Row],[Efficiency]]/100 * 0.126</f>
        <v>0.17136000000000001</v>
      </c>
      <c r="Y91" s="7" t="s">
        <v>532</v>
      </c>
      <c r="Z91" s="7">
        <v>9</v>
      </c>
      <c r="AA91" s="7">
        <v>1</v>
      </c>
      <c r="AB91" s="12">
        <v>2898</v>
      </c>
      <c r="AC91" s="7">
        <v>0.75</v>
      </c>
      <c r="AD91" s="4" t="s">
        <v>1699</v>
      </c>
      <c r="AE91" s="4"/>
      <c r="AF91" s="4">
        <f>(9.75/1000)*4.2*365</f>
        <v>14.94675</v>
      </c>
      <c r="AG91" s="4">
        <v>1</v>
      </c>
      <c r="AH91" s="9"/>
      <c r="AI91" s="9"/>
      <c r="AJ91" s="9"/>
      <c r="AK91" s="9" t="s">
        <v>30</v>
      </c>
      <c r="AL91" s="10"/>
      <c r="AM91" s="10"/>
      <c r="AN91" s="10"/>
      <c r="AO91" s="10"/>
      <c r="AP91" s="10"/>
      <c r="AQ91" s="11" t="s">
        <v>533</v>
      </c>
      <c r="AR91" s="4"/>
      <c r="AS91" s="10" t="s">
        <v>860</v>
      </c>
      <c r="AT91" s="10"/>
      <c r="AU91" s="10"/>
      <c r="AV91" s="10"/>
      <c r="AW91" s="10"/>
      <c r="AX91" s="10"/>
      <c r="AY91" s="10"/>
      <c r="AZ91" s="10"/>
      <c r="BA91" s="10"/>
      <c r="BB91" s="10"/>
      <c r="BC91" s="10"/>
      <c r="BD91" s="10"/>
    </row>
    <row r="92" spans="1:56" ht="87" x14ac:dyDescent="0.35">
      <c r="A92" s="4" t="s">
        <v>534</v>
      </c>
      <c r="B92" s="4" t="s">
        <v>1488</v>
      </c>
      <c r="C92" s="4" t="s">
        <v>46</v>
      </c>
      <c r="D92" s="4" t="s">
        <v>165</v>
      </c>
      <c r="E92" s="5" t="s">
        <v>34</v>
      </c>
      <c r="F92" s="4" t="s">
        <v>48</v>
      </c>
      <c r="G92" s="4" t="s">
        <v>35</v>
      </c>
      <c r="H92" s="4" t="s">
        <v>1687</v>
      </c>
      <c r="I92" s="12" t="s">
        <v>1383</v>
      </c>
      <c r="J92" s="12">
        <f>930/6</f>
        <v>155</v>
      </c>
      <c r="K92" s="12">
        <v>1</v>
      </c>
      <c r="L92" s="12">
        <f>1.5*1.571</f>
        <v>2.3565</v>
      </c>
      <c r="M92" s="67">
        <f>technologies[[#This Row],[Volume
Literature]]/6</f>
        <v>0.39274999999999999</v>
      </c>
      <c r="N92" s="12">
        <v>0.75</v>
      </c>
      <c r="O92" s="12"/>
      <c r="P92" s="12">
        <f>technologies[[#This Row],[Power]]</f>
        <v>45.85</v>
      </c>
      <c r="Q92" s="12">
        <v>1</v>
      </c>
      <c r="R92" s="12" t="s">
        <v>1388</v>
      </c>
      <c r="S92" s="12">
        <f>275.1/6</f>
        <v>45.85</v>
      </c>
      <c r="T92" s="12">
        <v>1</v>
      </c>
      <c r="U92" s="12">
        <v>85.25</v>
      </c>
      <c r="V92" s="12">
        <v>85.25</v>
      </c>
      <c r="W92" s="7">
        <v>100</v>
      </c>
      <c r="X92" s="12">
        <f>4.2*(technologies[[#This Row],[Efficiency]]/100)*0.032</f>
        <v>0.13440000000000002</v>
      </c>
      <c r="Y92" s="7">
        <v>9</v>
      </c>
      <c r="Z92" s="7">
        <v>9</v>
      </c>
      <c r="AA92" s="7">
        <v>1</v>
      </c>
      <c r="AB92" s="12">
        <v>3214</v>
      </c>
      <c r="AC92" s="7"/>
      <c r="AD92" s="4" t="s">
        <v>1700</v>
      </c>
      <c r="AE92" s="4"/>
      <c r="AF92" s="4">
        <f>(4.55/1000)*1.6*365</f>
        <v>2.6572000000000005</v>
      </c>
      <c r="AG92" s="4">
        <v>1</v>
      </c>
      <c r="AH92" s="9"/>
      <c r="AI92" s="9"/>
      <c r="AJ92" s="9"/>
      <c r="AK92" s="9" t="s">
        <v>30</v>
      </c>
      <c r="AL92" s="10"/>
      <c r="AM92" s="10"/>
      <c r="AN92" s="10"/>
      <c r="AO92" s="10"/>
      <c r="AP92" s="10"/>
      <c r="AQ92" s="11" t="s">
        <v>535</v>
      </c>
      <c r="AR92" s="4"/>
      <c r="AS92" s="10" t="s">
        <v>858</v>
      </c>
      <c r="AT92" s="10"/>
      <c r="AU92" s="10"/>
      <c r="AV92" s="10"/>
      <c r="AW92" s="10"/>
      <c r="AX92" s="10"/>
      <c r="AY92" s="10"/>
      <c r="AZ92" s="10"/>
      <c r="BA92" s="10"/>
      <c r="BB92" s="10"/>
      <c r="BC92" s="10"/>
      <c r="BD92" s="10"/>
    </row>
    <row r="93" spans="1:56" ht="246.5" x14ac:dyDescent="0.35">
      <c r="A93" s="4" t="s">
        <v>1250</v>
      </c>
      <c r="B93" s="4" t="s">
        <v>648</v>
      </c>
      <c r="C93" s="4" t="s">
        <v>46</v>
      </c>
      <c r="D93" s="4" t="s">
        <v>1160</v>
      </c>
      <c r="E93" s="5" t="s">
        <v>34</v>
      </c>
      <c r="F93" s="4"/>
      <c r="G93" s="4" t="s">
        <v>35</v>
      </c>
      <c r="H93" s="65" t="s">
        <v>1015</v>
      </c>
      <c r="I93" s="12" t="s">
        <v>749</v>
      </c>
      <c r="J93" s="12">
        <v>67.992141453831039</v>
      </c>
      <c r="K93" s="12">
        <v>0.75</v>
      </c>
      <c r="L93" s="12" t="s">
        <v>750</v>
      </c>
      <c r="M93" s="67">
        <v>0.25909626719056977</v>
      </c>
      <c r="N93" s="12"/>
      <c r="O93" s="12" t="s">
        <v>462</v>
      </c>
      <c r="P93" s="12">
        <v>392.77013752455798</v>
      </c>
      <c r="Q93" s="12">
        <v>0.75</v>
      </c>
      <c r="R93" s="12" t="s">
        <v>463</v>
      </c>
      <c r="S93" s="12">
        <v>392.77013752455798</v>
      </c>
      <c r="T93" s="12">
        <v>0.75</v>
      </c>
      <c r="U93" s="12">
        <v>34.315633791748532</v>
      </c>
      <c r="V93" s="12">
        <v>34.315633791748532</v>
      </c>
      <c r="W93" s="7">
        <v>95</v>
      </c>
      <c r="X93" s="12">
        <v>8.25147347740668E-4</v>
      </c>
      <c r="Y93" s="7" t="s">
        <v>466</v>
      </c>
      <c r="Z93" s="7">
        <v>9</v>
      </c>
      <c r="AA93" s="7">
        <v>0.75</v>
      </c>
      <c r="AB93" s="15"/>
      <c r="AC93" s="7"/>
      <c r="AD93" s="4" t="s">
        <v>467</v>
      </c>
      <c r="AE93" s="4"/>
      <c r="AF93" s="4"/>
      <c r="AG93" s="4"/>
      <c r="AH93" s="9" t="s">
        <v>468</v>
      </c>
      <c r="AI93" s="9" t="s">
        <v>469</v>
      </c>
      <c r="AJ93" s="9" t="s">
        <v>470</v>
      </c>
      <c r="AK93" s="9" t="s">
        <v>30</v>
      </c>
      <c r="AL93" s="10"/>
      <c r="AM93" s="10" t="s">
        <v>471</v>
      </c>
      <c r="AN93" s="10"/>
      <c r="AO93" s="10" t="s">
        <v>472</v>
      </c>
      <c r="AP93" s="10"/>
      <c r="AQ93" s="11" t="s">
        <v>473</v>
      </c>
      <c r="AR93" s="4" t="s">
        <v>474</v>
      </c>
      <c r="AS93" s="10"/>
      <c r="AT93" s="10"/>
      <c r="AU93" s="10"/>
      <c r="AV93" s="10"/>
      <c r="AW93" s="10"/>
      <c r="AX93" s="10"/>
      <c r="AY93" s="10" t="s">
        <v>860</v>
      </c>
      <c r="AZ93" s="10"/>
      <c r="BA93" s="10"/>
      <c r="BB93" s="10"/>
      <c r="BC93" s="10" t="s">
        <v>464</v>
      </c>
      <c r="BD93" s="10" t="s">
        <v>465</v>
      </c>
    </row>
    <row r="94" spans="1:56" ht="72.5" x14ac:dyDescent="0.35">
      <c r="A94" s="4" t="s">
        <v>475</v>
      </c>
      <c r="B94" s="4" t="s">
        <v>1489</v>
      </c>
      <c r="C94" s="4" t="s">
        <v>66</v>
      </c>
      <c r="D94" s="4" t="s">
        <v>23</v>
      </c>
      <c r="E94" s="5" t="s">
        <v>34</v>
      </c>
      <c r="F94" s="4" t="s">
        <v>221</v>
      </c>
      <c r="G94" s="4" t="s">
        <v>35</v>
      </c>
      <c r="H94" s="65" t="s">
        <v>1016</v>
      </c>
      <c r="I94" s="12">
        <v>5.4</v>
      </c>
      <c r="J94" s="12">
        <v>5.4</v>
      </c>
      <c r="K94" s="12"/>
      <c r="L94" s="12">
        <v>1.41E-2</v>
      </c>
      <c r="M94" s="12">
        <v>1.41E-2</v>
      </c>
      <c r="N94" s="12"/>
      <c r="O94" s="12"/>
      <c r="P94" s="12"/>
      <c r="Q94" s="12"/>
      <c r="R94" s="12" t="s">
        <v>476</v>
      </c>
      <c r="S94" s="12">
        <v>30</v>
      </c>
      <c r="T94" s="12"/>
      <c r="U94" s="12">
        <v>3.3480000000000003</v>
      </c>
      <c r="V94" s="12">
        <v>3.3480000000000003</v>
      </c>
      <c r="W94" s="7"/>
      <c r="X94" s="12"/>
      <c r="Y94" s="7"/>
      <c r="Z94" s="7"/>
      <c r="AA94" s="7"/>
      <c r="AB94" s="7"/>
      <c r="AC94" s="7"/>
      <c r="AD94" s="4"/>
      <c r="AE94" s="4"/>
      <c r="AF94" s="4"/>
      <c r="AG94" s="4"/>
      <c r="AH94" s="9"/>
      <c r="AI94" s="9"/>
      <c r="AJ94" s="9"/>
      <c r="AK94" s="9" t="s">
        <v>30</v>
      </c>
      <c r="AL94" s="10"/>
      <c r="AM94" s="10"/>
      <c r="AN94" s="10"/>
      <c r="AO94" s="10"/>
      <c r="AP94" s="10"/>
      <c r="AQ94" s="11" t="s">
        <v>231</v>
      </c>
      <c r="AR94" s="4" t="s">
        <v>32</v>
      </c>
      <c r="AS94" s="10" t="s">
        <v>954</v>
      </c>
      <c r="AT94" s="10"/>
      <c r="AU94" s="10"/>
      <c r="AV94" s="10"/>
      <c r="AW94" s="10"/>
      <c r="AX94" s="10"/>
      <c r="AY94" s="10"/>
      <c r="AZ94" s="10"/>
      <c r="BA94" s="10"/>
      <c r="BB94" s="10"/>
      <c r="BC94" s="10"/>
      <c r="BD94" s="10" t="s">
        <v>1109</v>
      </c>
    </row>
    <row r="95" spans="1:56" ht="72.5" x14ac:dyDescent="0.35">
      <c r="A95" s="4" t="s">
        <v>972</v>
      </c>
      <c r="B95" s="4"/>
      <c r="C95" s="4" t="s">
        <v>139</v>
      </c>
      <c r="D95" s="4" t="s">
        <v>23</v>
      </c>
      <c r="E95" s="5" t="s">
        <v>34</v>
      </c>
      <c r="F95" s="6"/>
      <c r="G95" s="4" t="s">
        <v>67</v>
      </c>
      <c r="H95" s="4" t="s">
        <v>477</v>
      </c>
      <c r="I95" s="12"/>
      <c r="J95" s="12"/>
      <c r="K95" s="12"/>
      <c r="L95" s="12"/>
      <c r="M95" s="67"/>
      <c r="N95" s="12"/>
      <c r="O95" s="12"/>
      <c r="P95" s="12"/>
      <c r="Q95" s="12"/>
      <c r="R95" s="12"/>
      <c r="S95" s="12"/>
      <c r="T95" s="12"/>
      <c r="U95" s="12"/>
      <c r="V95" s="12"/>
      <c r="W95" s="7"/>
      <c r="X95" s="12"/>
      <c r="Y95" s="7"/>
      <c r="Z95" s="7"/>
      <c r="AA95" s="7"/>
      <c r="AB95" s="7"/>
      <c r="AC95" s="7"/>
      <c r="AD95" s="4"/>
      <c r="AE95" s="4"/>
      <c r="AF95" s="4"/>
      <c r="AG95" s="4"/>
      <c r="AH95" s="9" t="s">
        <v>478</v>
      </c>
      <c r="AI95" s="9"/>
      <c r="AJ95" s="9"/>
      <c r="AK95" s="9" t="s">
        <v>479</v>
      </c>
      <c r="AL95" s="10"/>
      <c r="AM95" s="10"/>
      <c r="AN95" s="10"/>
      <c r="AO95" s="10"/>
      <c r="AP95" s="10"/>
      <c r="AQ95" s="11">
        <v>1</v>
      </c>
      <c r="AR95" s="4"/>
      <c r="AS95" s="10" t="s">
        <v>858</v>
      </c>
      <c r="AT95" s="10"/>
      <c r="AU95" s="10"/>
      <c r="AV95" s="10"/>
      <c r="AW95" s="10"/>
      <c r="AX95" s="10"/>
      <c r="AY95" s="10"/>
      <c r="AZ95" s="10"/>
      <c r="BA95" s="10"/>
      <c r="BB95" s="10"/>
      <c r="BC95" s="10">
        <v>920</v>
      </c>
      <c r="BD95" s="10"/>
    </row>
    <row r="96" spans="1:56" ht="87" x14ac:dyDescent="0.35">
      <c r="A96" s="4" t="s">
        <v>967</v>
      </c>
      <c r="B96" s="4"/>
      <c r="C96" s="4" t="s">
        <v>46</v>
      </c>
      <c r="D96" s="4" t="s">
        <v>101</v>
      </c>
      <c r="E96" s="5" t="s">
        <v>24</v>
      </c>
      <c r="F96" s="4"/>
      <c r="G96" s="4" t="s">
        <v>35</v>
      </c>
      <c r="H96" s="65" t="s">
        <v>480</v>
      </c>
      <c r="I96" s="12" t="s">
        <v>751</v>
      </c>
      <c r="J96" s="12">
        <f>38</f>
        <v>38</v>
      </c>
      <c r="K96" s="12">
        <v>0.75</v>
      </c>
      <c r="L96" s="12" t="s">
        <v>752</v>
      </c>
      <c r="M96" s="67">
        <v>5.0999999999999997E-2</v>
      </c>
      <c r="N96" s="12">
        <v>0.75</v>
      </c>
      <c r="O96" s="12">
        <v>4.72</v>
      </c>
      <c r="P96" s="12">
        <f>technologies[[#This Row],[Power]]</f>
        <v>30</v>
      </c>
      <c r="Q96" s="12">
        <v>0.25</v>
      </c>
      <c r="R96" s="12" t="s">
        <v>1268</v>
      </c>
      <c r="S96" s="12">
        <v>30</v>
      </c>
      <c r="T96" s="12">
        <v>0.75</v>
      </c>
      <c r="U96" s="12">
        <v>23.56</v>
      </c>
      <c r="V96" s="12">
        <v>23.56</v>
      </c>
      <c r="W96" s="7"/>
      <c r="X96" s="12"/>
      <c r="Y96" s="7"/>
      <c r="Z96" s="7">
        <v>9</v>
      </c>
      <c r="AA96" s="7">
        <v>1</v>
      </c>
      <c r="AB96" s="4">
        <f>3150*24</f>
        <v>75600</v>
      </c>
      <c r="AC96" s="4">
        <v>0.25</v>
      </c>
      <c r="AD96" s="4"/>
      <c r="AE96" s="4">
        <v>0</v>
      </c>
      <c r="AF96" s="4"/>
      <c r="AG96" s="4">
        <v>0.25</v>
      </c>
      <c r="AH96" s="9"/>
      <c r="AI96" s="9"/>
      <c r="AJ96" s="9"/>
      <c r="AK96" s="9" t="s">
        <v>30</v>
      </c>
      <c r="AL96" s="10"/>
      <c r="AM96" s="10"/>
      <c r="AN96" s="10"/>
      <c r="AO96" s="10"/>
      <c r="AP96" s="10"/>
      <c r="AQ96" s="11" t="s">
        <v>481</v>
      </c>
      <c r="AR96" s="4"/>
      <c r="AS96" s="10" t="s">
        <v>872</v>
      </c>
      <c r="AT96" s="10"/>
      <c r="AU96" s="10"/>
      <c r="AV96" s="10"/>
      <c r="AW96" s="10"/>
      <c r="AX96" s="10"/>
      <c r="AY96" s="10"/>
      <c r="AZ96" s="10"/>
      <c r="BA96" s="10"/>
      <c r="BB96" s="10"/>
      <c r="BC96" s="10"/>
      <c r="BD96" s="10"/>
    </row>
    <row r="97" spans="1:56" ht="29" x14ac:dyDescent="0.35">
      <c r="A97" s="4" t="s">
        <v>968</v>
      </c>
      <c r="B97" s="4"/>
      <c r="C97" s="4" t="s">
        <v>22</v>
      </c>
      <c r="D97" s="4" t="s">
        <v>131</v>
      </c>
      <c r="E97" s="5" t="s">
        <v>34</v>
      </c>
      <c r="F97" s="6" t="s">
        <v>200</v>
      </c>
      <c r="G97" s="6" t="s">
        <v>26</v>
      </c>
      <c r="H97" s="4"/>
      <c r="I97" s="12">
        <v>61.054499999999997</v>
      </c>
      <c r="J97" s="12"/>
      <c r="K97" s="12"/>
      <c r="L97" s="12">
        <v>7.5614000000000001E-2</v>
      </c>
      <c r="M97" s="67"/>
      <c r="N97" s="12"/>
      <c r="O97" s="12"/>
      <c r="P97" s="12">
        <v>0</v>
      </c>
      <c r="Q97" s="12">
        <v>0.5</v>
      </c>
      <c r="R97" s="12"/>
      <c r="S97" s="12">
        <v>0</v>
      </c>
      <c r="T97" s="12">
        <v>0.5</v>
      </c>
      <c r="U97" s="12"/>
      <c r="V97" s="12"/>
      <c r="W97" s="7"/>
      <c r="X97" s="12"/>
      <c r="Y97" s="7"/>
      <c r="Z97" s="7">
        <v>9</v>
      </c>
      <c r="AA97" s="7">
        <v>0.75</v>
      </c>
      <c r="AB97" s="7">
        <v>38000</v>
      </c>
      <c r="AC97" s="7"/>
      <c r="AD97" s="4"/>
      <c r="AE97" s="4"/>
      <c r="AF97" s="4"/>
      <c r="AG97" s="4"/>
      <c r="AH97" s="9"/>
      <c r="AI97" s="9" t="s">
        <v>482</v>
      </c>
      <c r="AJ97" s="9"/>
      <c r="AK97" s="9" t="s">
        <v>30</v>
      </c>
      <c r="AL97" s="10"/>
      <c r="AM97" s="10"/>
      <c r="AN97" s="10"/>
      <c r="AO97" s="10"/>
      <c r="AP97" s="10"/>
      <c r="AQ97" s="11">
        <v>10</v>
      </c>
      <c r="AR97" s="4" t="s">
        <v>32</v>
      </c>
      <c r="AS97" s="10" t="s">
        <v>874</v>
      </c>
      <c r="AT97" s="10"/>
      <c r="AU97" s="10"/>
      <c r="AV97" s="10"/>
      <c r="AW97" s="10"/>
      <c r="AX97" s="10"/>
      <c r="AY97" s="10"/>
      <c r="AZ97" s="10"/>
      <c r="BA97" s="10"/>
      <c r="BB97" s="10"/>
      <c r="BC97" s="10"/>
      <c r="BD97" s="10"/>
    </row>
    <row r="98" spans="1:56" ht="87" x14ac:dyDescent="0.35">
      <c r="A98" s="4" t="s">
        <v>970</v>
      </c>
      <c r="B98" s="4" t="s">
        <v>1490</v>
      </c>
      <c r="C98" s="4" t="s">
        <v>22</v>
      </c>
      <c r="D98" s="4" t="s">
        <v>62</v>
      </c>
      <c r="E98" s="5" t="s">
        <v>34</v>
      </c>
      <c r="F98" s="4"/>
      <c r="G98" s="4" t="s">
        <v>35</v>
      </c>
      <c r="H98" s="65" t="s">
        <v>1017</v>
      </c>
      <c r="I98" s="12" t="s">
        <v>753</v>
      </c>
      <c r="J98" s="12"/>
      <c r="K98" s="12"/>
      <c r="L98" s="12">
        <v>5.8700000000000002E-2</v>
      </c>
      <c r="M98" s="67"/>
      <c r="N98" s="12"/>
      <c r="O98" s="12">
        <v>270</v>
      </c>
      <c r="P98" s="12"/>
      <c r="Q98" s="12"/>
      <c r="R98" s="12">
        <v>702</v>
      </c>
      <c r="S98" s="12"/>
      <c r="T98" s="12"/>
      <c r="U98" s="12"/>
      <c r="V98" s="12"/>
      <c r="W98" s="7"/>
      <c r="X98" s="12"/>
      <c r="Y98" s="7"/>
      <c r="Z98" s="7">
        <v>4</v>
      </c>
      <c r="AA98" s="7">
        <v>0.25</v>
      </c>
      <c r="AB98" s="7">
        <f>10*365*24</f>
        <v>87600</v>
      </c>
      <c r="AC98" s="7"/>
      <c r="AD98" s="4"/>
      <c r="AE98" s="4"/>
      <c r="AF98" s="4"/>
      <c r="AG98" s="4"/>
      <c r="AH98" s="9" t="s">
        <v>483</v>
      </c>
      <c r="AI98" s="9" t="s">
        <v>484</v>
      </c>
      <c r="AJ98" s="9"/>
      <c r="AK98" s="9" t="s">
        <v>30</v>
      </c>
      <c r="AL98" s="10" t="s">
        <v>485</v>
      </c>
      <c r="AM98" s="10"/>
      <c r="AN98" s="10"/>
      <c r="AO98" s="10" t="s">
        <v>486</v>
      </c>
      <c r="AP98" s="10" t="s">
        <v>487</v>
      </c>
      <c r="AQ98" s="11" t="s">
        <v>488</v>
      </c>
      <c r="AR98" s="4"/>
      <c r="AS98" s="10"/>
      <c r="AT98" s="10"/>
      <c r="AU98" s="10"/>
      <c r="AV98" s="10" t="s">
        <v>857</v>
      </c>
      <c r="AW98" s="10" t="s">
        <v>903</v>
      </c>
      <c r="AX98" s="10" t="s">
        <v>905</v>
      </c>
      <c r="AY98" s="10"/>
      <c r="AZ98" s="10"/>
      <c r="BA98" s="10"/>
      <c r="BB98" s="10"/>
      <c r="BC98" s="10">
        <v>293</v>
      </c>
      <c r="BD98" s="10">
        <v>101</v>
      </c>
    </row>
    <row r="99" spans="1:56" ht="87" x14ac:dyDescent="0.35">
      <c r="A99" s="4" t="s">
        <v>971</v>
      </c>
      <c r="B99" s="4"/>
      <c r="C99" s="4" t="s">
        <v>139</v>
      </c>
      <c r="D99" s="4" t="s">
        <v>23</v>
      </c>
      <c r="E99" s="5" t="s">
        <v>34</v>
      </c>
      <c r="F99" s="4"/>
      <c r="G99" s="4" t="s">
        <v>35</v>
      </c>
      <c r="H99" s="65" t="s">
        <v>489</v>
      </c>
      <c r="I99" s="12"/>
      <c r="J99" s="12"/>
      <c r="K99" s="12"/>
      <c r="L99" s="12"/>
      <c r="M99" s="67"/>
      <c r="N99" s="12"/>
      <c r="O99" s="12"/>
      <c r="P99" s="12"/>
      <c r="Q99" s="12"/>
      <c r="R99" s="12"/>
      <c r="S99" s="12"/>
      <c r="T99" s="12"/>
      <c r="U99" s="12"/>
      <c r="V99" s="12"/>
      <c r="W99" s="7"/>
      <c r="X99" s="12"/>
      <c r="Y99" s="7">
        <v>4</v>
      </c>
      <c r="Z99" s="7"/>
      <c r="AA99" s="7"/>
      <c r="AB99" s="7"/>
      <c r="AC99" s="7"/>
      <c r="AD99" s="4"/>
      <c r="AE99" s="4"/>
      <c r="AF99" s="4"/>
      <c r="AG99" s="4"/>
      <c r="AH99" s="9" t="s">
        <v>492</v>
      </c>
      <c r="AI99" s="9" t="s">
        <v>493</v>
      </c>
      <c r="AJ99" s="9"/>
      <c r="AK99" s="9" t="s">
        <v>494</v>
      </c>
      <c r="AL99" s="10"/>
      <c r="AM99" s="10"/>
      <c r="AN99" s="10"/>
      <c r="AO99" s="10"/>
      <c r="AP99" s="10"/>
      <c r="AQ99" s="11" t="s">
        <v>144</v>
      </c>
      <c r="AR99" s="4"/>
      <c r="AS99" s="10" t="s">
        <v>879</v>
      </c>
      <c r="AT99" s="10"/>
      <c r="AU99" s="10"/>
      <c r="AV99" s="10"/>
      <c r="AW99" s="10"/>
      <c r="AX99" s="10"/>
      <c r="AY99" s="10"/>
      <c r="AZ99" s="10"/>
      <c r="BA99" s="10"/>
      <c r="BB99" s="10"/>
      <c r="BC99" s="10" t="s">
        <v>490</v>
      </c>
      <c r="BD99" s="10" t="s">
        <v>491</v>
      </c>
    </row>
    <row r="100" spans="1:56" ht="43.5" x14ac:dyDescent="0.35">
      <c r="A100" s="4" t="s">
        <v>969</v>
      </c>
      <c r="B100" s="4"/>
      <c r="C100" s="4" t="s">
        <v>70</v>
      </c>
      <c r="D100" s="4" t="s">
        <v>23</v>
      </c>
      <c r="E100" s="5" t="s">
        <v>34</v>
      </c>
      <c r="F100" s="4"/>
      <c r="G100" s="4" t="s">
        <v>35</v>
      </c>
      <c r="H100" s="4" t="s">
        <v>1018</v>
      </c>
      <c r="I100" s="12">
        <v>9.8000000000000007</v>
      </c>
      <c r="J100" s="12">
        <f>technologies[[#This Row],[Mass
Literature]]/6</f>
        <v>1.6333333333333335</v>
      </c>
      <c r="K100" s="12">
        <v>0.75</v>
      </c>
      <c r="L100" s="12">
        <v>0.02</v>
      </c>
      <c r="M100" s="67">
        <f>technologies[[#This Row],[Volume
Literature]]/6</f>
        <v>3.3333333333333335E-3</v>
      </c>
      <c r="N100" s="12">
        <v>0.75</v>
      </c>
      <c r="O100" s="12">
        <v>61</v>
      </c>
      <c r="P100" s="12">
        <f>technologies[[#This Row],[Heat Generated
Literature]]/6</f>
        <v>10.166666666666666</v>
      </c>
      <c r="Q100" s="12">
        <v>0.75</v>
      </c>
      <c r="R100" s="12">
        <v>61</v>
      </c>
      <c r="S100" s="12">
        <f>technologies[[#This Row],[Power required
Literature]]/6</f>
        <v>10.166666666666666</v>
      </c>
      <c r="T100" s="12">
        <v>0.75</v>
      </c>
      <c r="U100" s="12">
        <v>1.0126666666666668</v>
      </c>
      <c r="V100" s="12">
        <v>1.0126666666666668</v>
      </c>
      <c r="W100" s="7"/>
      <c r="X100" s="12"/>
      <c r="Y100" s="7"/>
      <c r="Z100" s="7">
        <v>9</v>
      </c>
      <c r="AA100" s="7">
        <v>0.75</v>
      </c>
      <c r="AB100" s="7"/>
      <c r="AC100" s="7"/>
      <c r="AD100" s="4"/>
      <c r="AE100" s="4"/>
      <c r="AF100" s="4"/>
      <c r="AG100" s="4"/>
      <c r="AH100" s="9"/>
      <c r="AI100" s="9"/>
      <c r="AJ100" s="9"/>
      <c r="AK100" s="9" t="s">
        <v>30</v>
      </c>
      <c r="AL100" s="10"/>
      <c r="AM100" s="10"/>
      <c r="AN100" s="10"/>
      <c r="AO100" s="10"/>
      <c r="AP100" s="10"/>
      <c r="AQ100" s="11">
        <v>14</v>
      </c>
      <c r="AR100" s="4"/>
      <c r="AS100" s="10" t="s">
        <v>891</v>
      </c>
      <c r="AT100" s="10"/>
      <c r="AU100" s="10"/>
      <c r="AV100" s="10"/>
      <c r="AW100" s="10"/>
      <c r="AX100" s="10"/>
      <c r="AY100" s="10"/>
      <c r="AZ100" s="10"/>
      <c r="BA100" s="10"/>
      <c r="BB100" s="10"/>
      <c r="BC100" s="10"/>
      <c r="BD100" s="10"/>
    </row>
    <row r="101" spans="1:56" ht="43.5" x14ac:dyDescent="0.35">
      <c r="A101" s="4" t="s">
        <v>495</v>
      </c>
      <c r="B101" s="4"/>
      <c r="C101" s="4" t="s">
        <v>46</v>
      </c>
      <c r="D101" s="4" t="s">
        <v>23</v>
      </c>
      <c r="E101" s="5" t="s">
        <v>34</v>
      </c>
      <c r="F101" s="6" t="s">
        <v>48</v>
      </c>
      <c r="G101" s="4" t="s">
        <v>67</v>
      </c>
      <c r="H101" s="4" t="s">
        <v>1018</v>
      </c>
      <c r="I101" s="12">
        <v>4.55</v>
      </c>
      <c r="J101" s="12"/>
      <c r="K101" s="12"/>
      <c r="L101" s="12">
        <v>0.02</v>
      </c>
      <c r="M101" s="67"/>
      <c r="N101" s="12"/>
      <c r="O101" s="12">
        <v>4</v>
      </c>
      <c r="P101" s="12"/>
      <c r="Q101" s="12"/>
      <c r="R101" s="12">
        <v>4</v>
      </c>
      <c r="S101" s="12"/>
      <c r="T101" s="12"/>
      <c r="U101" s="12"/>
      <c r="V101" s="12"/>
      <c r="W101" s="7"/>
      <c r="X101" s="12"/>
      <c r="Y101" s="7"/>
      <c r="Z101" s="7">
        <v>9</v>
      </c>
      <c r="AA101" s="7"/>
      <c r="AB101" s="7"/>
      <c r="AC101" s="7"/>
      <c r="AD101" s="4"/>
      <c r="AE101" s="4"/>
      <c r="AF101" s="4"/>
      <c r="AG101" s="4"/>
      <c r="AH101" s="9"/>
      <c r="AI101" s="9"/>
      <c r="AJ101" s="9"/>
      <c r="AK101" s="9" t="s">
        <v>30</v>
      </c>
      <c r="AL101" s="10"/>
      <c r="AM101" s="10"/>
      <c r="AN101" s="10"/>
      <c r="AO101" s="10"/>
      <c r="AP101" s="10"/>
      <c r="AQ101" s="11">
        <v>14</v>
      </c>
      <c r="AR101" s="4" t="s">
        <v>32</v>
      </c>
      <c r="AS101" s="10" t="s">
        <v>875</v>
      </c>
      <c r="AT101" s="10" t="s">
        <v>878</v>
      </c>
      <c r="AU101" s="10"/>
      <c r="AV101" s="10"/>
      <c r="AW101" s="10"/>
      <c r="AX101" s="10"/>
      <c r="AY101" s="10"/>
      <c r="AZ101" s="10"/>
      <c r="BA101" s="10"/>
      <c r="BB101" s="10"/>
      <c r="BC101" s="10"/>
      <c r="BD101" s="10"/>
    </row>
    <row r="102" spans="1:56" ht="87" x14ac:dyDescent="0.35">
      <c r="A102" s="4" t="s">
        <v>496</v>
      </c>
      <c r="B102" s="4"/>
      <c r="C102" s="4" t="s">
        <v>46</v>
      </c>
      <c r="D102" s="4" t="s">
        <v>23</v>
      </c>
      <c r="E102" s="5" t="s">
        <v>34</v>
      </c>
      <c r="F102" s="6"/>
      <c r="G102" s="4" t="s">
        <v>67</v>
      </c>
      <c r="H102" s="4" t="s">
        <v>1019</v>
      </c>
      <c r="I102" s="12" t="s">
        <v>1020</v>
      </c>
      <c r="J102" s="12"/>
      <c r="K102" s="12"/>
      <c r="L102" s="12" t="s">
        <v>1108</v>
      </c>
      <c r="M102" s="67"/>
      <c r="N102" s="12"/>
      <c r="O102" s="12" t="s">
        <v>497</v>
      </c>
      <c r="P102" s="12"/>
      <c r="Q102" s="12"/>
      <c r="R102" s="12" t="s">
        <v>498</v>
      </c>
      <c r="S102" s="12"/>
      <c r="T102" s="12"/>
      <c r="U102" s="12"/>
      <c r="V102" s="12"/>
      <c r="W102" s="7"/>
      <c r="X102" s="12"/>
      <c r="Y102" s="7" t="s">
        <v>499</v>
      </c>
      <c r="Z102" s="7"/>
      <c r="AA102" s="7"/>
      <c r="AB102" s="7"/>
      <c r="AC102" s="7"/>
      <c r="AD102" s="4"/>
      <c r="AE102" s="4"/>
      <c r="AF102" s="4"/>
      <c r="AG102" s="4"/>
      <c r="AH102" s="9"/>
      <c r="AI102" s="9"/>
      <c r="AJ102" s="9"/>
      <c r="AK102" s="9" t="s">
        <v>30</v>
      </c>
      <c r="AL102" s="10"/>
      <c r="AM102" s="10"/>
      <c r="AN102" s="10"/>
      <c r="AO102" s="10"/>
      <c r="AP102" s="10"/>
      <c r="AQ102" s="11" t="s">
        <v>500</v>
      </c>
      <c r="AR102" s="4" t="s">
        <v>32</v>
      </c>
      <c r="AS102" s="10" t="s">
        <v>872</v>
      </c>
      <c r="AT102" s="10" t="s">
        <v>861</v>
      </c>
      <c r="AU102" s="10"/>
      <c r="AV102" s="10"/>
      <c r="AW102" s="10"/>
      <c r="AX102" s="10"/>
      <c r="AY102" s="10"/>
      <c r="AZ102" s="10" t="s">
        <v>858</v>
      </c>
      <c r="BA102" s="10"/>
      <c r="BB102" s="10"/>
      <c r="BC102" s="10"/>
      <c r="BD102" s="10"/>
    </row>
    <row r="103" spans="1:56" ht="29" x14ac:dyDescent="0.35">
      <c r="A103" s="4" t="s">
        <v>1251</v>
      </c>
      <c r="B103" s="4" t="s">
        <v>1509</v>
      </c>
      <c r="C103" s="4" t="s">
        <v>46</v>
      </c>
      <c r="D103" s="4" t="s">
        <v>23</v>
      </c>
      <c r="E103" s="5" t="s">
        <v>34</v>
      </c>
      <c r="F103" s="4"/>
      <c r="G103" s="4" t="s">
        <v>35</v>
      </c>
      <c r="H103" s="4" t="s">
        <v>1018</v>
      </c>
      <c r="I103" s="12">
        <v>582.41999999999996</v>
      </c>
      <c r="J103" s="12"/>
      <c r="K103" s="12"/>
      <c r="L103" s="12">
        <v>2.02</v>
      </c>
      <c r="M103" s="67"/>
      <c r="N103" s="12"/>
      <c r="O103" s="12">
        <v>2831.45</v>
      </c>
      <c r="P103" s="12"/>
      <c r="Q103" s="12"/>
      <c r="R103" s="12">
        <v>2831.45</v>
      </c>
      <c r="S103" s="12"/>
      <c r="T103" s="12"/>
      <c r="U103" s="12"/>
      <c r="V103" s="12"/>
      <c r="W103" s="7"/>
      <c r="X103" s="12"/>
      <c r="Y103" s="7" t="s">
        <v>502</v>
      </c>
      <c r="Z103" s="7">
        <v>4</v>
      </c>
      <c r="AA103" s="7"/>
      <c r="AB103" s="7"/>
      <c r="AC103" s="7"/>
      <c r="AD103" s="4" t="s">
        <v>501</v>
      </c>
      <c r="AE103" s="13">
        <f>180/365</f>
        <v>0.49315068493150682</v>
      </c>
      <c r="AF103" s="13"/>
      <c r="AG103" s="4"/>
      <c r="AH103" s="9" t="s">
        <v>502</v>
      </c>
      <c r="AI103" s="9" t="s">
        <v>502</v>
      </c>
      <c r="AJ103" s="9"/>
      <c r="AK103" s="9" t="s">
        <v>30</v>
      </c>
      <c r="AL103" s="10"/>
      <c r="AM103" s="10"/>
      <c r="AN103" s="10"/>
      <c r="AO103" s="10"/>
      <c r="AP103" s="10"/>
      <c r="AQ103" s="11">
        <v>14</v>
      </c>
      <c r="AR103" s="4"/>
      <c r="AS103" s="10" t="s">
        <v>861</v>
      </c>
      <c r="AT103" s="10"/>
      <c r="AU103" s="10"/>
      <c r="AV103" s="10"/>
      <c r="AW103" s="10"/>
      <c r="AX103" s="10"/>
      <c r="AY103" s="10" t="s">
        <v>860</v>
      </c>
      <c r="AZ103" s="10"/>
      <c r="BA103" s="10"/>
      <c r="BB103" s="10"/>
      <c r="BC103" s="10"/>
      <c r="BD103" s="10"/>
    </row>
    <row r="104" spans="1:56" ht="29" x14ac:dyDescent="0.35">
      <c r="A104" s="4" t="s">
        <v>503</v>
      </c>
      <c r="B104" s="4"/>
      <c r="C104" s="4" t="s">
        <v>46</v>
      </c>
      <c r="D104" s="4" t="s">
        <v>101</v>
      </c>
      <c r="E104" s="5" t="s">
        <v>34</v>
      </c>
      <c r="F104" s="6"/>
      <c r="G104" s="6" t="s">
        <v>26</v>
      </c>
      <c r="H104" s="4" t="s">
        <v>1018</v>
      </c>
      <c r="I104" s="12">
        <v>8.67</v>
      </c>
      <c r="J104" s="12">
        <f>technologies[[#This Row],[Mass
Literature]]/6</f>
        <v>1.4450000000000001</v>
      </c>
      <c r="K104" s="12">
        <v>0.75</v>
      </c>
      <c r="L104" s="12">
        <v>0.02</v>
      </c>
      <c r="M104" s="67">
        <f>technologies[[#This Row],[Volume
Literature]]/6</f>
        <v>3.3333333333333335E-3</v>
      </c>
      <c r="N104" s="12">
        <v>0.75</v>
      </c>
      <c r="O104" s="12">
        <v>0</v>
      </c>
      <c r="P104" s="12">
        <v>0</v>
      </c>
      <c r="Q104" s="12">
        <v>0.75</v>
      </c>
      <c r="R104" s="12">
        <v>0</v>
      </c>
      <c r="S104" s="12">
        <v>0</v>
      </c>
      <c r="T104" s="12">
        <v>0.75</v>
      </c>
      <c r="U104" s="12"/>
      <c r="V104" s="12"/>
      <c r="W104" s="7"/>
      <c r="X104" s="12"/>
      <c r="Y104" s="7">
        <v>9</v>
      </c>
      <c r="Z104" s="7">
        <v>9</v>
      </c>
      <c r="AA104" s="7">
        <v>0.75</v>
      </c>
      <c r="AB104" s="8">
        <f>1/(6.97*10^-6)</f>
        <v>143472.02295552369</v>
      </c>
      <c r="AC104" s="7">
        <v>0.75</v>
      </c>
      <c r="AD104" s="4"/>
      <c r="AE104" s="4"/>
      <c r="AF104" s="4"/>
      <c r="AG104" s="4"/>
      <c r="AH104" s="9"/>
      <c r="AI104" s="9"/>
      <c r="AJ104" s="9"/>
      <c r="AK104" s="9" t="s">
        <v>30</v>
      </c>
      <c r="AL104" s="10"/>
      <c r="AM104" s="10"/>
      <c r="AN104" s="10"/>
      <c r="AO104" s="10"/>
      <c r="AP104" s="10"/>
      <c r="AQ104" s="11" t="s">
        <v>504</v>
      </c>
      <c r="AR104" s="4"/>
      <c r="AS104" s="10" t="s">
        <v>871</v>
      </c>
      <c r="AT104" s="10"/>
      <c r="AU104" s="10"/>
      <c r="AV104" s="10"/>
      <c r="AW104" s="10"/>
      <c r="AX104" s="10"/>
      <c r="AY104" s="10"/>
      <c r="AZ104" s="10"/>
      <c r="BA104" s="10"/>
      <c r="BB104" s="10"/>
      <c r="BC104" s="10"/>
      <c r="BD104" s="10"/>
    </row>
    <row r="105" spans="1:56" ht="58" x14ac:dyDescent="0.35">
      <c r="A105" s="4" t="s">
        <v>505</v>
      </c>
      <c r="B105" s="4"/>
      <c r="C105" s="4" t="s">
        <v>186</v>
      </c>
      <c r="D105" s="4" t="s">
        <v>131</v>
      </c>
      <c r="E105" s="5" t="s">
        <v>24</v>
      </c>
      <c r="F105" s="6"/>
      <c r="G105" s="4" t="s">
        <v>26</v>
      </c>
      <c r="H105" s="65" t="s">
        <v>506</v>
      </c>
      <c r="I105" s="12"/>
      <c r="J105" s="12"/>
      <c r="K105" s="12"/>
      <c r="L105" s="12"/>
      <c r="M105" s="67"/>
      <c r="N105" s="12"/>
      <c r="O105" s="12"/>
      <c r="P105" s="12"/>
      <c r="Q105" s="12"/>
      <c r="R105" s="12"/>
      <c r="S105" s="12"/>
      <c r="T105" s="12"/>
      <c r="U105" s="12"/>
      <c r="V105" s="12"/>
      <c r="W105" s="7"/>
      <c r="X105" s="12"/>
      <c r="Y105" s="7"/>
      <c r="Z105" s="7"/>
      <c r="AA105" s="7"/>
      <c r="AB105" s="7"/>
      <c r="AC105" s="7"/>
      <c r="AD105" s="4"/>
      <c r="AE105" s="4"/>
      <c r="AF105" s="4"/>
      <c r="AG105" s="4"/>
      <c r="AH105" s="9"/>
      <c r="AI105" s="9"/>
      <c r="AJ105" s="9"/>
      <c r="AK105" s="9" t="s">
        <v>30</v>
      </c>
      <c r="AL105" s="10"/>
      <c r="AM105" s="10"/>
      <c r="AN105" s="10"/>
      <c r="AO105" s="10"/>
      <c r="AP105" s="10"/>
      <c r="AQ105" s="11"/>
      <c r="AR105" s="4" t="s">
        <v>507</v>
      </c>
      <c r="AS105" s="10" t="s">
        <v>958</v>
      </c>
      <c r="AT105" s="10"/>
      <c r="AU105" s="10"/>
      <c r="AV105" s="10"/>
      <c r="AW105" s="10"/>
      <c r="AX105" s="10"/>
      <c r="AY105" s="10"/>
      <c r="AZ105" s="10"/>
      <c r="BA105" s="10"/>
      <c r="BB105" s="10"/>
      <c r="BC105" s="10"/>
      <c r="BD105" s="10"/>
    </row>
    <row r="106" spans="1:56" ht="29" x14ac:dyDescent="0.35">
      <c r="A106" s="4" t="s">
        <v>508</v>
      </c>
      <c r="B106" s="4"/>
      <c r="C106" s="4" t="s">
        <v>186</v>
      </c>
      <c r="D106" s="4" t="s">
        <v>23</v>
      </c>
      <c r="E106" s="5" t="s">
        <v>34</v>
      </c>
      <c r="F106" s="6"/>
      <c r="G106" s="4" t="s">
        <v>26</v>
      </c>
      <c r="H106" s="4" t="s">
        <v>1022</v>
      </c>
      <c r="I106" s="12">
        <v>50</v>
      </c>
      <c r="J106" s="12">
        <v>50</v>
      </c>
      <c r="K106" s="12"/>
      <c r="L106" s="12">
        <v>0.25</v>
      </c>
      <c r="M106" s="12">
        <v>0.25</v>
      </c>
      <c r="N106" s="12"/>
      <c r="O106" s="12"/>
      <c r="P106" s="12"/>
      <c r="Q106" s="12"/>
      <c r="R106" s="12">
        <v>2500</v>
      </c>
      <c r="S106" s="12">
        <v>2500</v>
      </c>
      <c r="T106" s="12"/>
      <c r="U106" s="12"/>
      <c r="V106" s="12"/>
      <c r="W106" s="7"/>
      <c r="X106" s="12"/>
      <c r="Y106" s="7"/>
      <c r="Z106" s="7"/>
      <c r="AA106" s="7"/>
      <c r="AB106" s="7"/>
      <c r="AC106" s="7"/>
      <c r="AD106" s="4"/>
      <c r="AE106" s="4"/>
      <c r="AF106" s="4"/>
      <c r="AG106" s="4"/>
      <c r="AH106" s="9"/>
      <c r="AI106" s="9"/>
      <c r="AJ106" s="9"/>
      <c r="AK106" s="9" t="s">
        <v>30</v>
      </c>
      <c r="AL106" s="10"/>
      <c r="AM106" s="10"/>
      <c r="AN106" s="10"/>
      <c r="AO106" s="10"/>
      <c r="AP106" s="10"/>
      <c r="AQ106" s="11">
        <v>9</v>
      </c>
      <c r="AR106" s="4"/>
      <c r="AS106" s="10" t="s">
        <v>959</v>
      </c>
      <c r="AT106" s="10"/>
      <c r="AU106" s="10"/>
      <c r="AV106" s="10"/>
      <c r="AW106" s="10"/>
      <c r="AX106" s="10"/>
      <c r="AY106" s="10"/>
      <c r="AZ106" s="10"/>
      <c r="BA106" s="10"/>
      <c r="BB106" s="10"/>
      <c r="BC106" s="10"/>
      <c r="BD106" s="10"/>
    </row>
    <row r="107" spans="1:56" ht="29" x14ac:dyDescent="0.35">
      <c r="A107" s="4" t="s">
        <v>509</v>
      </c>
      <c r="B107" s="4"/>
      <c r="C107" s="4" t="s">
        <v>186</v>
      </c>
      <c r="D107" s="4" t="s">
        <v>23</v>
      </c>
      <c r="E107" s="5" t="s">
        <v>34</v>
      </c>
      <c r="F107" s="6"/>
      <c r="G107" s="4" t="s">
        <v>26</v>
      </c>
      <c r="H107" s="4" t="s">
        <v>1022</v>
      </c>
      <c r="I107" s="12">
        <v>70</v>
      </c>
      <c r="J107" s="12">
        <v>70</v>
      </c>
      <c r="K107" s="12"/>
      <c r="L107" s="12">
        <v>0.3</v>
      </c>
      <c r="M107" s="12">
        <v>0.3</v>
      </c>
      <c r="N107" s="12"/>
      <c r="O107" s="12"/>
      <c r="P107" s="12"/>
      <c r="Q107" s="12"/>
      <c r="R107" s="12">
        <v>1800</v>
      </c>
      <c r="S107" s="12">
        <v>1800</v>
      </c>
      <c r="T107" s="12"/>
      <c r="U107" s="12"/>
      <c r="V107" s="12"/>
      <c r="W107" s="7"/>
      <c r="X107" s="12"/>
      <c r="Y107" s="7">
        <v>4</v>
      </c>
      <c r="Z107" s="7"/>
      <c r="AA107" s="7"/>
      <c r="AB107" s="7"/>
      <c r="AC107" s="7"/>
      <c r="AD107" s="4"/>
      <c r="AE107" s="4"/>
      <c r="AF107" s="4"/>
      <c r="AG107" s="4"/>
      <c r="AH107" s="9"/>
      <c r="AI107" s="9"/>
      <c r="AJ107" s="9"/>
      <c r="AK107" s="9" t="s">
        <v>30</v>
      </c>
      <c r="AL107" s="10"/>
      <c r="AM107" s="10"/>
      <c r="AN107" s="10"/>
      <c r="AO107" s="10"/>
      <c r="AP107" s="10"/>
      <c r="AQ107" s="11" t="s">
        <v>510</v>
      </c>
      <c r="AR107" s="4"/>
      <c r="AS107" s="10" t="s">
        <v>959</v>
      </c>
      <c r="AT107" s="10"/>
      <c r="AU107" s="10"/>
      <c r="AV107" s="10"/>
      <c r="AW107" s="10"/>
      <c r="AX107" s="10"/>
      <c r="AY107" s="10"/>
      <c r="AZ107" s="10"/>
      <c r="BA107" s="10"/>
      <c r="BB107" s="10"/>
      <c r="BC107" s="10"/>
      <c r="BD107" s="10"/>
    </row>
    <row r="108" spans="1:56" ht="29" x14ac:dyDescent="0.35">
      <c r="A108" s="4" t="s">
        <v>511</v>
      </c>
      <c r="B108" s="4"/>
      <c r="C108" s="4" t="s">
        <v>46</v>
      </c>
      <c r="D108" s="4" t="s">
        <v>23</v>
      </c>
      <c r="E108" s="5" t="s">
        <v>34</v>
      </c>
      <c r="F108" s="6"/>
      <c r="G108" s="4" t="s">
        <v>26</v>
      </c>
      <c r="H108" s="4" t="s">
        <v>1022</v>
      </c>
      <c r="I108" s="12">
        <v>40</v>
      </c>
      <c r="J108" s="12">
        <v>40</v>
      </c>
      <c r="K108" s="12"/>
      <c r="L108" s="12">
        <v>0.56000000000000005</v>
      </c>
      <c r="M108" s="67"/>
      <c r="N108" s="12"/>
      <c r="O108" s="12"/>
      <c r="P108" s="12"/>
      <c r="Q108" s="12"/>
      <c r="R108" s="12">
        <v>1200</v>
      </c>
      <c r="S108" s="12">
        <v>1200</v>
      </c>
      <c r="T108" s="12"/>
      <c r="U108" s="12"/>
      <c r="V108" s="12"/>
      <c r="W108" s="7"/>
      <c r="X108" s="12"/>
      <c r="Y108" s="7"/>
      <c r="Z108" s="7"/>
      <c r="AA108" s="7"/>
      <c r="AB108" s="7"/>
      <c r="AC108" s="7"/>
      <c r="AD108" s="4"/>
      <c r="AE108" s="4"/>
      <c r="AF108" s="4"/>
      <c r="AG108" s="4"/>
      <c r="AH108" s="9"/>
      <c r="AI108" s="9"/>
      <c r="AJ108" s="9"/>
      <c r="AK108" s="9" t="s">
        <v>30</v>
      </c>
      <c r="AL108" s="10"/>
      <c r="AM108" s="10"/>
      <c r="AN108" s="10"/>
      <c r="AO108" s="10"/>
      <c r="AP108" s="10"/>
      <c r="AQ108" s="11">
        <v>9</v>
      </c>
      <c r="AR108" s="4"/>
      <c r="AS108" s="10"/>
      <c r="AT108" s="10"/>
      <c r="AU108" s="10"/>
      <c r="AV108" s="10"/>
      <c r="AW108" s="10"/>
      <c r="AX108" s="10"/>
      <c r="AY108" s="10"/>
      <c r="AZ108" s="10"/>
      <c r="BA108" s="10"/>
      <c r="BB108" s="10"/>
      <c r="BC108" s="10"/>
      <c r="BD108" s="10"/>
    </row>
    <row r="109" spans="1:56" ht="43.5" x14ac:dyDescent="0.35">
      <c r="A109" s="4" t="s">
        <v>512</v>
      </c>
      <c r="B109" s="4"/>
      <c r="C109" s="4" t="s">
        <v>139</v>
      </c>
      <c r="D109" s="4" t="s">
        <v>23</v>
      </c>
      <c r="E109" s="5" t="s">
        <v>34</v>
      </c>
      <c r="F109" s="6"/>
      <c r="G109" s="4" t="s">
        <v>26</v>
      </c>
      <c r="H109" s="4" t="s">
        <v>1023</v>
      </c>
      <c r="I109" s="12" t="s">
        <v>513</v>
      </c>
      <c r="J109" s="12">
        <v>90</v>
      </c>
      <c r="K109" s="12"/>
      <c r="L109" s="12" t="s">
        <v>1203</v>
      </c>
      <c r="M109" s="67">
        <v>4.3600000000000003</v>
      </c>
      <c r="N109" s="12"/>
      <c r="O109" s="12"/>
      <c r="P109" s="12"/>
      <c r="Q109" s="12"/>
      <c r="R109" s="12" t="s">
        <v>514</v>
      </c>
      <c r="S109" s="12">
        <v>180</v>
      </c>
      <c r="T109" s="12"/>
      <c r="U109" s="12"/>
      <c r="V109" s="12"/>
      <c r="W109" s="7"/>
      <c r="X109" s="12"/>
      <c r="Y109" s="7" t="s">
        <v>515</v>
      </c>
      <c r="Z109" s="7"/>
      <c r="AA109" s="7"/>
      <c r="AB109" s="7"/>
      <c r="AC109" s="7"/>
      <c r="AD109" s="4"/>
      <c r="AE109" s="4"/>
      <c r="AF109" s="4"/>
      <c r="AG109" s="4"/>
      <c r="AH109" s="9"/>
      <c r="AI109" s="9"/>
      <c r="AJ109" s="9"/>
      <c r="AK109" s="9" t="s">
        <v>30</v>
      </c>
      <c r="AL109" s="10"/>
      <c r="AM109" s="10"/>
      <c r="AN109" s="10"/>
      <c r="AO109" s="10"/>
      <c r="AP109" s="10"/>
      <c r="AQ109" s="11" t="s">
        <v>516</v>
      </c>
      <c r="AR109" s="4"/>
      <c r="AS109" s="10" t="s">
        <v>875</v>
      </c>
      <c r="AT109" s="10" t="s">
        <v>878</v>
      </c>
      <c r="AU109" s="10"/>
      <c r="AV109" s="10"/>
      <c r="AW109" s="10"/>
      <c r="AX109" s="10"/>
      <c r="AY109" s="10"/>
      <c r="AZ109" s="10"/>
      <c r="BA109" s="10"/>
      <c r="BB109" s="10"/>
      <c r="BC109" s="10"/>
      <c r="BD109" s="10"/>
    </row>
    <row r="110" spans="1:56" ht="29" x14ac:dyDescent="0.35">
      <c r="A110" s="4" t="s">
        <v>517</v>
      </c>
      <c r="B110" s="4"/>
      <c r="C110" s="4" t="s">
        <v>46</v>
      </c>
      <c r="D110" s="4" t="s">
        <v>23</v>
      </c>
      <c r="E110" s="5" t="s">
        <v>34</v>
      </c>
      <c r="F110" s="6"/>
      <c r="G110" s="4" t="s">
        <v>26</v>
      </c>
      <c r="H110" s="65" t="s">
        <v>1024</v>
      </c>
      <c r="I110" s="12" t="s">
        <v>833</v>
      </c>
      <c r="J110" s="12">
        <v>75</v>
      </c>
      <c r="K110" s="12"/>
      <c r="L110" s="12" t="s">
        <v>830</v>
      </c>
      <c r="M110" s="67">
        <v>1.41</v>
      </c>
      <c r="N110" s="12"/>
      <c r="O110" s="12"/>
      <c r="P110" s="12"/>
      <c r="Q110" s="12"/>
      <c r="R110" s="12" t="s">
        <v>518</v>
      </c>
      <c r="S110" s="12">
        <v>100</v>
      </c>
      <c r="T110" s="12"/>
      <c r="U110" s="12"/>
      <c r="V110" s="12"/>
      <c r="W110" s="7"/>
      <c r="X110" s="12"/>
      <c r="Y110" s="7">
        <v>9</v>
      </c>
      <c r="Z110" s="7"/>
      <c r="AA110" s="7"/>
      <c r="AB110" s="7"/>
      <c r="AC110" s="7"/>
      <c r="AD110" s="4"/>
      <c r="AE110" s="4"/>
      <c r="AF110" s="4"/>
      <c r="AG110" s="4"/>
      <c r="AH110" s="9"/>
      <c r="AI110" s="9"/>
      <c r="AJ110" s="9"/>
      <c r="AK110" s="9" t="s">
        <v>30</v>
      </c>
      <c r="AL110" s="10"/>
      <c r="AM110" s="10"/>
      <c r="AN110" s="10"/>
      <c r="AO110" s="10"/>
      <c r="AP110" s="10"/>
      <c r="AQ110" s="11" t="s">
        <v>519</v>
      </c>
      <c r="AR110" s="4"/>
      <c r="AS110" s="10" t="s">
        <v>875</v>
      </c>
      <c r="AT110" s="10"/>
      <c r="AU110" s="10"/>
      <c r="AV110" s="10"/>
      <c r="AW110" s="10"/>
      <c r="AX110" s="10"/>
      <c r="AY110" s="10"/>
      <c r="AZ110" s="10"/>
      <c r="BA110" s="10"/>
      <c r="BB110" s="10"/>
      <c r="BC110" s="10"/>
      <c r="BD110" s="10"/>
    </row>
    <row r="111" spans="1:56" ht="29" x14ac:dyDescent="0.35">
      <c r="A111" s="4" t="s">
        <v>1021</v>
      </c>
      <c r="B111" s="4"/>
      <c r="C111" s="4" t="s">
        <v>46</v>
      </c>
      <c r="D111" s="4" t="s">
        <v>23</v>
      </c>
      <c r="E111" s="5" t="s">
        <v>34</v>
      </c>
      <c r="F111" s="6"/>
      <c r="G111" s="4" t="s">
        <v>26</v>
      </c>
      <c r="H111" s="4" t="s">
        <v>1022</v>
      </c>
      <c r="I111" s="12">
        <v>8</v>
      </c>
      <c r="J111" s="12"/>
      <c r="K111" s="12"/>
      <c r="L111" s="12">
        <v>0.01</v>
      </c>
      <c r="M111" s="67"/>
      <c r="N111" s="12"/>
      <c r="O111" s="12"/>
      <c r="P111" s="12"/>
      <c r="Q111" s="12"/>
      <c r="R111" s="12"/>
      <c r="S111" s="12"/>
      <c r="T111" s="12"/>
      <c r="U111" s="12"/>
      <c r="V111" s="12"/>
      <c r="W111" s="7"/>
      <c r="X111" s="12"/>
      <c r="Y111" s="7"/>
      <c r="Z111" s="7"/>
      <c r="AA111" s="7"/>
      <c r="AB111" s="7"/>
      <c r="AC111" s="7"/>
      <c r="AD111" s="4"/>
      <c r="AE111" s="4"/>
      <c r="AF111" s="4"/>
      <c r="AG111" s="4"/>
      <c r="AH111" s="9"/>
      <c r="AI111" s="9"/>
      <c r="AJ111" s="9"/>
      <c r="AK111" s="9" t="s">
        <v>30</v>
      </c>
      <c r="AL111" s="10"/>
      <c r="AM111" s="10"/>
      <c r="AN111" s="10"/>
      <c r="AO111" s="10"/>
      <c r="AP111" s="10"/>
      <c r="AQ111" s="11">
        <v>9</v>
      </c>
      <c r="AR111" s="4"/>
      <c r="AS111" s="10" t="s">
        <v>875</v>
      </c>
      <c r="AT111" s="10"/>
      <c r="AU111" s="10"/>
      <c r="AV111" s="10"/>
      <c r="AW111" s="10"/>
      <c r="AX111" s="10"/>
      <c r="AY111" s="10"/>
      <c r="AZ111" s="10"/>
      <c r="BA111" s="10"/>
      <c r="BB111" s="10"/>
      <c r="BC111" s="10"/>
      <c r="BD111" s="10"/>
    </row>
    <row r="112" spans="1:56" ht="29" x14ac:dyDescent="0.35">
      <c r="A112" s="4" t="s">
        <v>520</v>
      </c>
      <c r="B112" s="4"/>
      <c r="C112" s="4" t="s">
        <v>46</v>
      </c>
      <c r="D112" s="4" t="s">
        <v>23</v>
      </c>
      <c r="E112" s="5" t="s">
        <v>34</v>
      </c>
      <c r="F112" s="6"/>
      <c r="G112" s="6" t="s">
        <v>26</v>
      </c>
      <c r="H112" s="4" t="s">
        <v>1022</v>
      </c>
      <c r="I112" s="12">
        <v>100</v>
      </c>
      <c r="J112" s="12">
        <v>100</v>
      </c>
      <c r="K112" s="12"/>
      <c r="L112" s="12">
        <v>0.75</v>
      </c>
      <c r="M112" s="67">
        <v>0.75</v>
      </c>
      <c r="N112" s="12"/>
      <c r="O112" s="12"/>
      <c r="P112" s="12"/>
      <c r="Q112" s="12"/>
      <c r="R112" s="12">
        <v>1500</v>
      </c>
      <c r="S112" s="12">
        <v>1500</v>
      </c>
      <c r="T112" s="12"/>
      <c r="U112" s="12"/>
      <c r="V112" s="12"/>
      <c r="W112" s="7"/>
      <c r="X112" s="12"/>
      <c r="Y112" s="7"/>
      <c r="Z112" s="7"/>
      <c r="AA112" s="7"/>
      <c r="AB112" s="7"/>
      <c r="AC112" s="7"/>
      <c r="AD112" s="4"/>
      <c r="AE112" s="4"/>
      <c r="AF112" s="4"/>
      <c r="AG112" s="4"/>
      <c r="AH112" s="9"/>
      <c r="AI112" s="9"/>
      <c r="AJ112" s="9"/>
      <c r="AK112" s="9" t="s">
        <v>30</v>
      </c>
      <c r="AL112" s="10"/>
      <c r="AM112" s="10"/>
      <c r="AN112" s="10"/>
      <c r="AO112" s="10"/>
      <c r="AP112" s="10"/>
      <c r="AQ112" s="11">
        <v>9</v>
      </c>
      <c r="AR112" s="4"/>
      <c r="AS112" s="10"/>
      <c r="AT112" s="10"/>
      <c r="AU112" s="10"/>
      <c r="AV112" s="10"/>
      <c r="AW112" s="10"/>
      <c r="AX112" s="10"/>
      <c r="AY112" s="10"/>
      <c r="AZ112" s="10"/>
      <c r="BA112" s="10"/>
      <c r="BB112" s="10"/>
      <c r="BC112" s="10"/>
      <c r="BD112" s="10"/>
    </row>
    <row r="113" spans="1:56" ht="29" x14ac:dyDescent="0.35">
      <c r="A113" s="4" t="s">
        <v>521</v>
      </c>
      <c r="B113" s="4"/>
      <c r="C113" s="4" t="s">
        <v>46</v>
      </c>
      <c r="D113" s="4" t="s">
        <v>23</v>
      </c>
      <c r="E113" s="5" t="s">
        <v>34</v>
      </c>
      <c r="F113" s="6"/>
      <c r="G113" s="6" t="s">
        <v>26</v>
      </c>
      <c r="H113" s="4" t="s">
        <v>1022</v>
      </c>
      <c r="I113" s="12">
        <v>60</v>
      </c>
      <c r="J113" s="12">
        <v>60</v>
      </c>
      <c r="K113" s="12"/>
      <c r="L113" s="12">
        <v>0.75</v>
      </c>
      <c r="M113" s="67">
        <v>0.75</v>
      </c>
      <c r="N113" s="12"/>
      <c r="O113" s="12"/>
      <c r="P113" s="12"/>
      <c r="Q113" s="12"/>
      <c r="R113" s="12">
        <v>2500</v>
      </c>
      <c r="S113" s="12">
        <v>2500</v>
      </c>
      <c r="T113" s="12"/>
      <c r="U113" s="12"/>
      <c r="V113" s="12"/>
      <c r="W113" s="7"/>
      <c r="X113" s="12"/>
      <c r="Y113" s="7"/>
      <c r="Z113" s="7"/>
      <c r="AA113" s="7"/>
      <c r="AB113" s="7"/>
      <c r="AC113" s="7"/>
      <c r="AD113" s="4"/>
      <c r="AE113" s="4"/>
      <c r="AF113" s="4"/>
      <c r="AG113" s="4"/>
      <c r="AH113" s="9"/>
      <c r="AI113" s="9"/>
      <c r="AJ113" s="9"/>
      <c r="AK113" s="9" t="s">
        <v>30</v>
      </c>
      <c r="AL113" s="10"/>
      <c r="AM113" s="10"/>
      <c r="AN113" s="10"/>
      <c r="AO113" s="10"/>
      <c r="AP113" s="10"/>
      <c r="AQ113" s="11">
        <v>9</v>
      </c>
      <c r="AR113" s="4"/>
      <c r="AS113" s="10"/>
      <c r="AT113" s="10"/>
      <c r="AU113" s="10"/>
      <c r="AV113" s="10"/>
      <c r="AW113" s="10"/>
      <c r="AX113" s="10"/>
      <c r="AY113" s="10"/>
      <c r="AZ113" s="10"/>
      <c r="BA113" s="10"/>
      <c r="BB113" s="10"/>
      <c r="BC113" s="10"/>
      <c r="BD113" s="10"/>
    </row>
    <row r="114" spans="1:56" ht="43.5" x14ac:dyDescent="0.35">
      <c r="A114" s="4" t="s">
        <v>522</v>
      </c>
      <c r="B114" s="4"/>
      <c r="C114" s="4" t="s">
        <v>139</v>
      </c>
      <c r="D114" s="4" t="s">
        <v>131</v>
      </c>
      <c r="E114" s="5" t="s">
        <v>34</v>
      </c>
      <c r="F114" s="6"/>
      <c r="G114" s="4" t="s">
        <v>26</v>
      </c>
      <c r="H114" s="65" t="s">
        <v>1026</v>
      </c>
      <c r="I114" s="12" t="s">
        <v>832</v>
      </c>
      <c r="J114" s="12">
        <v>150</v>
      </c>
      <c r="K114" s="12"/>
      <c r="L114" s="12" t="s">
        <v>831</v>
      </c>
      <c r="M114" s="67">
        <v>0.3</v>
      </c>
      <c r="N114" s="12"/>
      <c r="O114" s="12"/>
      <c r="P114" s="12"/>
      <c r="Q114" s="12"/>
      <c r="R114" s="12" t="s">
        <v>523</v>
      </c>
      <c r="S114" s="12">
        <v>850</v>
      </c>
      <c r="T114" s="12"/>
      <c r="U114" s="12"/>
      <c r="V114" s="12"/>
      <c r="W114" s="7"/>
      <c r="X114" s="12"/>
      <c r="Y114" s="7" t="s">
        <v>515</v>
      </c>
      <c r="Z114" s="7"/>
      <c r="AA114" s="7"/>
      <c r="AB114" s="7"/>
      <c r="AC114" s="7"/>
      <c r="AD114" s="4"/>
      <c r="AE114" s="4"/>
      <c r="AF114" s="4"/>
      <c r="AG114" s="4"/>
      <c r="AH114" s="9"/>
      <c r="AI114" s="9"/>
      <c r="AJ114" s="9"/>
      <c r="AK114" s="9" t="s">
        <v>30</v>
      </c>
      <c r="AL114" s="10"/>
      <c r="AM114" s="10"/>
      <c r="AN114" s="10"/>
      <c r="AO114" s="10"/>
      <c r="AP114" s="10"/>
      <c r="AQ114" s="11" t="s">
        <v>516</v>
      </c>
      <c r="AR114" s="4"/>
      <c r="AS114" s="10" t="s">
        <v>936</v>
      </c>
      <c r="AT114" s="10"/>
      <c r="AU114" s="10"/>
      <c r="AV114" s="10"/>
      <c r="AW114" s="10"/>
      <c r="AX114" s="10"/>
      <c r="AY114" s="10"/>
      <c r="AZ114" s="10"/>
      <c r="BA114" s="10"/>
      <c r="BB114" s="10"/>
      <c r="BC114" s="10"/>
      <c r="BD114" s="10"/>
    </row>
    <row r="115" spans="1:56" ht="43.5" x14ac:dyDescent="0.35">
      <c r="A115" s="4" t="s">
        <v>714</v>
      </c>
      <c r="B115" s="4"/>
      <c r="C115" s="4" t="s">
        <v>186</v>
      </c>
      <c r="D115" s="4" t="s">
        <v>131</v>
      </c>
      <c r="E115" s="5" t="s">
        <v>24</v>
      </c>
      <c r="F115" s="6"/>
      <c r="G115" s="4" t="s">
        <v>26</v>
      </c>
      <c r="H115" s="65" t="s">
        <v>524</v>
      </c>
      <c r="I115" s="12" t="s">
        <v>525</v>
      </c>
      <c r="J115" s="12">
        <v>100</v>
      </c>
      <c r="K115" s="12"/>
      <c r="L115" s="12" t="s">
        <v>1204</v>
      </c>
      <c r="M115" s="67">
        <v>0.54</v>
      </c>
      <c r="N115" s="12"/>
      <c r="O115" s="12">
        <v>0</v>
      </c>
      <c r="P115" s="12"/>
      <c r="Q115" s="12"/>
      <c r="R115" s="12">
        <v>0</v>
      </c>
      <c r="S115" s="12"/>
      <c r="T115" s="12"/>
      <c r="U115" s="12"/>
      <c r="V115" s="12"/>
      <c r="W115" s="7"/>
      <c r="X115" s="12"/>
      <c r="Y115" s="7"/>
      <c r="Z115" s="7"/>
      <c r="AA115" s="7"/>
      <c r="AB115" s="7"/>
      <c r="AC115" s="7"/>
      <c r="AD115" s="4"/>
      <c r="AE115" s="4"/>
      <c r="AF115" s="4"/>
      <c r="AG115" s="4"/>
      <c r="AH115" s="9"/>
      <c r="AI115" s="9"/>
      <c r="AJ115" s="9"/>
      <c r="AK115" s="9" t="s">
        <v>30</v>
      </c>
      <c r="AL115" s="10"/>
      <c r="AM115" s="10"/>
      <c r="AN115" s="10"/>
      <c r="AO115" s="10"/>
      <c r="AP115" s="10"/>
      <c r="AQ115" s="11" t="s">
        <v>526</v>
      </c>
      <c r="AR115" s="4"/>
      <c r="AS115" s="10"/>
      <c r="AT115" s="10"/>
      <c r="AU115" s="10"/>
      <c r="AV115" s="10"/>
      <c r="AW115" s="10"/>
      <c r="AX115" s="10"/>
      <c r="AY115" s="10"/>
      <c r="AZ115" s="10"/>
      <c r="BA115" s="10"/>
      <c r="BB115" s="10"/>
      <c r="BC115" s="10"/>
      <c r="BD115" s="10"/>
    </row>
    <row r="116" spans="1:56" ht="29" x14ac:dyDescent="0.35">
      <c r="A116" s="4" t="s">
        <v>527</v>
      </c>
      <c r="B116" s="4"/>
      <c r="C116" s="4" t="s">
        <v>528</v>
      </c>
      <c r="D116" s="4" t="s">
        <v>23</v>
      </c>
      <c r="E116" s="5" t="s">
        <v>34</v>
      </c>
      <c r="F116" s="4"/>
      <c r="G116" s="6" t="s">
        <v>35</v>
      </c>
      <c r="H116" s="4" t="s">
        <v>1022</v>
      </c>
      <c r="I116" s="12">
        <v>300</v>
      </c>
      <c r="J116" s="12">
        <v>300</v>
      </c>
      <c r="K116" s="12"/>
      <c r="L116" s="12">
        <v>1</v>
      </c>
      <c r="M116" s="67">
        <v>1</v>
      </c>
      <c r="N116" s="12"/>
      <c r="O116" s="12"/>
      <c r="P116" s="12"/>
      <c r="Q116" s="12"/>
      <c r="R116" s="12"/>
      <c r="S116" s="12"/>
      <c r="T116" s="12"/>
      <c r="U116" s="12">
        <v>186</v>
      </c>
      <c r="V116" s="12">
        <v>186</v>
      </c>
      <c r="W116" s="7"/>
      <c r="X116" s="12"/>
      <c r="Y116" s="7"/>
      <c r="Z116" s="7"/>
      <c r="AA116" s="7"/>
      <c r="AB116" s="7"/>
      <c r="AC116" s="7"/>
      <c r="AD116" s="4"/>
      <c r="AE116" s="4"/>
      <c r="AF116" s="4"/>
      <c r="AG116" s="4"/>
      <c r="AH116" s="9"/>
      <c r="AI116" s="9"/>
      <c r="AJ116" s="9"/>
      <c r="AK116" s="9" t="s">
        <v>30</v>
      </c>
      <c r="AL116" s="10"/>
      <c r="AM116" s="10"/>
      <c r="AN116" s="10"/>
      <c r="AO116" s="10"/>
      <c r="AP116" s="10"/>
      <c r="AQ116" s="11">
        <v>9</v>
      </c>
      <c r="AR116" s="4"/>
      <c r="AS116" s="10"/>
      <c r="AT116" s="10"/>
      <c r="AU116" s="10"/>
      <c r="AV116" s="10"/>
      <c r="AW116" s="10"/>
      <c r="AX116" s="10"/>
      <c r="AY116" s="10"/>
      <c r="AZ116" s="10"/>
      <c r="BA116" s="10"/>
      <c r="BB116" s="10"/>
      <c r="BC116" s="10"/>
      <c r="BD116" s="10"/>
    </row>
    <row r="117" spans="1:56" ht="29" x14ac:dyDescent="0.35">
      <c r="A117" s="4" t="s">
        <v>529</v>
      </c>
      <c r="B117" s="4"/>
      <c r="C117" s="4" t="s">
        <v>528</v>
      </c>
      <c r="D117" s="4" t="s">
        <v>131</v>
      </c>
      <c r="E117" s="5" t="s">
        <v>34</v>
      </c>
      <c r="F117" s="6"/>
      <c r="G117" s="6" t="s">
        <v>26</v>
      </c>
      <c r="H117" s="4" t="s">
        <v>1022</v>
      </c>
      <c r="I117" s="12">
        <v>9</v>
      </c>
      <c r="J117" s="12">
        <v>9</v>
      </c>
      <c r="K117" s="12"/>
      <c r="L117" s="12">
        <v>0.1</v>
      </c>
      <c r="M117" s="67">
        <v>0.1</v>
      </c>
      <c r="N117" s="12"/>
      <c r="O117" s="12">
        <v>0</v>
      </c>
      <c r="P117" s="12"/>
      <c r="Q117" s="12"/>
      <c r="R117" s="12">
        <v>0</v>
      </c>
      <c r="S117" s="12"/>
      <c r="T117" s="12"/>
      <c r="U117" s="12"/>
      <c r="V117" s="12"/>
      <c r="W117" s="7"/>
      <c r="X117" s="12"/>
      <c r="Y117" s="7"/>
      <c r="Z117" s="7"/>
      <c r="AA117" s="7"/>
      <c r="AB117" s="7"/>
      <c r="AC117" s="7"/>
      <c r="AD117" s="4"/>
      <c r="AE117" s="4"/>
      <c r="AF117" s="4"/>
      <c r="AG117" s="4"/>
      <c r="AH117" s="9"/>
      <c r="AI117" s="9"/>
      <c r="AJ117" s="9"/>
      <c r="AK117" s="9" t="s">
        <v>30</v>
      </c>
      <c r="AL117" s="10"/>
      <c r="AM117" s="10"/>
      <c r="AN117" s="10"/>
      <c r="AO117" s="10"/>
      <c r="AP117" s="10"/>
      <c r="AQ117" s="11">
        <v>9</v>
      </c>
      <c r="AR117" s="4"/>
      <c r="AS117" s="10"/>
      <c r="AT117" s="10"/>
      <c r="AU117" s="10"/>
      <c r="AV117" s="10"/>
      <c r="AW117" s="10"/>
      <c r="AX117" s="10"/>
      <c r="AY117" s="10"/>
      <c r="AZ117" s="10"/>
      <c r="BA117" s="10"/>
      <c r="BB117" s="10"/>
      <c r="BC117" s="10"/>
      <c r="BD117" s="10"/>
    </row>
    <row r="118" spans="1:56" ht="43.5" x14ac:dyDescent="0.35">
      <c r="A118" s="4" t="s">
        <v>530</v>
      </c>
      <c r="B118" s="4"/>
      <c r="C118" s="4" t="s">
        <v>528</v>
      </c>
      <c r="D118" s="4" t="s">
        <v>131</v>
      </c>
      <c r="E118" s="5" t="s">
        <v>34</v>
      </c>
      <c r="F118" s="6"/>
      <c r="G118" s="4" t="s">
        <v>67</v>
      </c>
      <c r="H118" s="65" t="s">
        <v>1025</v>
      </c>
      <c r="I118" s="12"/>
      <c r="J118" s="12"/>
      <c r="K118" s="12"/>
      <c r="L118" s="12" t="s">
        <v>1205</v>
      </c>
      <c r="M118" s="67"/>
      <c r="N118" s="12"/>
      <c r="O118" s="12"/>
      <c r="P118" s="12"/>
      <c r="Q118" s="12"/>
      <c r="R118" s="12"/>
      <c r="S118" s="12"/>
      <c r="T118" s="12"/>
      <c r="U118" s="12"/>
      <c r="V118" s="12"/>
      <c r="W118" s="7"/>
      <c r="X118" s="12"/>
      <c r="Y118" s="7"/>
      <c r="Z118" s="7"/>
      <c r="AA118" s="7"/>
      <c r="AB118" s="7"/>
      <c r="AC118" s="7"/>
      <c r="AD118" s="4"/>
      <c r="AE118" s="4"/>
      <c r="AF118" s="4"/>
      <c r="AG118" s="4"/>
      <c r="AH118" s="9"/>
      <c r="AI118" s="9"/>
      <c r="AJ118" s="9"/>
      <c r="AK118" s="9" t="s">
        <v>30</v>
      </c>
      <c r="AL118" s="10"/>
      <c r="AM118" s="10"/>
      <c r="AN118" s="10"/>
      <c r="AO118" s="10"/>
      <c r="AP118" s="10"/>
      <c r="AQ118" s="11" t="s">
        <v>531</v>
      </c>
      <c r="AR118" s="4"/>
      <c r="AS118" s="10"/>
      <c r="AT118" s="10"/>
      <c r="AU118" s="10"/>
      <c r="AV118" s="10"/>
      <c r="AW118" s="10"/>
      <c r="AX118" s="10"/>
      <c r="AY118" s="10"/>
      <c r="AZ118" s="10"/>
      <c r="BA118" s="10"/>
      <c r="BB118" s="10"/>
      <c r="BC118" s="10" t="s">
        <v>1110</v>
      </c>
      <c r="BD118" s="10" t="s">
        <v>1111</v>
      </c>
    </row>
    <row r="119" spans="1:56" ht="188.5" x14ac:dyDescent="0.35">
      <c r="A119" s="4" t="s">
        <v>973</v>
      </c>
      <c r="B119" s="4"/>
      <c r="C119" s="4" t="s">
        <v>46</v>
      </c>
      <c r="D119" s="4" t="s">
        <v>23</v>
      </c>
      <c r="E119" s="5" t="s">
        <v>34</v>
      </c>
      <c r="F119" s="4"/>
      <c r="G119" s="4" t="s">
        <v>67</v>
      </c>
      <c r="H119" s="65" t="s">
        <v>1014</v>
      </c>
      <c r="I119" s="12" t="s">
        <v>747</v>
      </c>
      <c r="J119" s="12">
        <v>61.78217821782178</v>
      </c>
      <c r="K119" s="12">
        <v>0.5</v>
      </c>
      <c r="L119" s="12" t="s">
        <v>748</v>
      </c>
      <c r="M119" s="67">
        <v>0.2212792707842213</v>
      </c>
      <c r="N119" s="12">
        <v>0.5</v>
      </c>
      <c r="O119" s="12" t="s">
        <v>448</v>
      </c>
      <c r="P119" s="12">
        <v>107.87364450730789</v>
      </c>
      <c r="Q119" s="12">
        <v>0.5</v>
      </c>
      <c r="R119" s="12" t="s">
        <v>449</v>
      </c>
      <c r="S119" s="12">
        <v>359.32736130755933</v>
      </c>
      <c r="T119" s="12">
        <v>0.5</v>
      </c>
      <c r="U119" s="12"/>
      <c r="V119" s="12"/>
      <c r="W119" s="7">
        <v>70</v>
      </c>
      <c r="X119" s="12">
        <v>0.2082036775106082</v>
      </c>
      <c r="Y119" s="7" t="s">
        <v>451</v>
      </c>
      <c r="Z119" s="7">
        <v>9</v>
      </c>
      <c r="AA119" s="7">
        <v>1</v>
      </c>
      <c r="AB119" s="7">
        <v>13600</v>
      </c>
      <c r="AC119" s="7">
        <v>0.5</v>
      </c>
      <c r="AD119" s="4" t="s">
        <v>1165</v>
      </c>
      <c r="AE119" s="13">
        <f>13.1/9*Crew_Size/500*Mission_Duration</f>
        <v>6.9866666666666664</v>
      </c>
      <c r="AF119" s="13"/>
      <c r="AG119" s="4">
        <v>0.5</v>
      </c>
      <c r="AH119" s="9" t="s">
        <v>452</v>
      </c>
      <c r="AI119" s="9" t="s">
        <v>453</v>
      </c>
      <c r="AJ119" s="9" t="s">
        <v>454</v>
      </c>
      <c r="AK119" s="9" t="s">
        <v>30</v>
      </c>
      <c r="AL119" s="10" t="s">
        <v>455</v>
      </c>
      <c r="AM119" s="10" t="s">
        <v>456</v>
      </c>
      <c r="AN119" s="10" t="s">
        <v>457</v>
      </c>
      <c r="AO119" s="10" t="s">
        <v>458</v>
      </c>
      <c r="AP119" s="10" t="s">
        <v>459</v>
      </c>
      <c r="AQ119" s="11" t="s">
        <v>460</v>
      </c>
      <c r="AR119" s="4" t="s">
        <v>461</v>
      </c>
      <c r="AS119" s="10" t="s">
        <v>861</v>
      </c>
      <c r="AT119" s="10"/>
      <c r="AU119" s="10"/>
      <c r="AV119" s="10"/>
      <c r="AW119" s="10" t="s">
        <v>858</v>
      </c>
      <c r="AX119" s="10" t="s">
        <v>859</v>
      </c>
      <c r="AY119" s="10" t="s">
        <v>860</v>
      </c>
      <c r="AZ119" s="10"/>
      <c r="BA119" s="10"/>
      <c r="BB119" s="10"/>
      <c r="BC119" s="10" t="s">
        <v>450</v>
      </c>
      <c r="BD119" s="10" t="s">
        <v>1136</v>
      </c>
    </row>
    <row r="120" spans="1:56" ht="72.5" x14ac:dyDescent="0.35">
      <c r="A120" s="4" t="s">
        <v>536</v>
      </c>
      <c r="B120" s="4"/>
      <c r="C120" s="4" t="s">
        <v>70</v>
      </c>
      <c r="D120" s="4" t="s">
        <v>23</v>
      </c>
      <c r="E120" s="5" t="s">
        <v>34</v>
      </c>
      <c r="F120" s="6"/>
      <c r="G120" s="4" t="s">
        <v>67</v>
      </c>
      <c r="H120" s="65" t="s">
        <v>1172</v>
      </c>
      <c r="I120" s="12"/>
      <c r="J120" s="12"/>
      <c r="K120" s="12"/>
      <c r="L120" s="12"/>
      <c r="M120" s="67"/>
      <c r="N120" s="12"/>
      <c r="O120" s="12"/>
      <c r="P120" s="12"/>
      <c r="Q120" s="12"/>
      <c r="R120" s="12"/>
      <c r="S120" s="12"/>
      <c r="T120" s="12"/>
      <c r="U120" s="12"/>
      <c r="V120" s="12"/>
      <c r="W120" s="7"/>
      <c r="X120" s="12"/>
      <c r="Y120" s="7"/>
      <c r="Z120" s="7"/>
      <c r="AA120" s="7"/>
      <c r="AB120" s="7"/>
      <c r="AC120" s="7"/>
      <c r="AD120" s="4"/>
      <c r="AE120" s="4"/>
      <c r="AF120" s="4"/>
      <c r="AG120" s="4"/>
      <c r="AH120" s="9"/>
      <c r="AI120" s="9"/>
      <c r="AJ120" s="9"/>
      <c r="AK120" s="9" t="s">
        <v>30</v>
      </c>
      <c r="AL120" s="10"/>
      <c r="AM120" s="10"/>
      <c r="AN120" s="10"/>
      <c r="AO120" s="10"/>
      <c r="AP120" s="10"/>
      <c r="AQ120" s="11">
        <v>23</v>
      </c>
      <c r="AR120" s="4"/>
      <c r="AS120" s="10" t="s">
        <v>916</v>
      </c>
      <c r="AT120" s="10"/>
      <c r="AU120" s="10"/>
      <c r="AV120" s="10"/>
      <c r="AW120" s="10"/>
      <c r="AX120" s="10"/>
      <c r="AY120" s="10"/>
      <c r="AZ120" s="10"/>
      <c r="BA120" s="10"/>
      <c r="BB120" s="10"/>
      <c r="BC120" s="10" t="s">
        <v>1112</v>
      </c>
      <c r="BD120" s="10" t="s">
        <v>537</v>
      </c>
    </row>
    <row r="121" spans="1:56" ht="29" x14ac:dyDescent="0.35">
      <c r="A121" s="4" t="s">
        <v>538</v>
      </c>
      <c r="B121" s="4"/>
      <c r="C121" s="4" t="s">
        <v>66</v>
      </c>
      <c r="D121" s="4" t="s">
        <v>23</v>
      </c>
      <c r="E121" s="5" t="s">
        <v>34</v>
      </c>
      <c r="F121" s="4" t="s">
        <v>221</v>
      </c>
      <c r="G121" s="4" t="s">
        <v>26</v>
      </c>
      <c r="H121" s="4" t="s">
        <v>1027</v>
      </c>
      <c r="I121" s="12" t="s">
        <v>834</v>
      </c>
      <c r="J121" s="12">
        <v>0.7</v>
      </c>
      <c r="K121" s="12"/>
      <c r="L121" s="12" t="s">
        <v>1028</v>
      </c>
      <c r="M121" s="67">
        <v>4.2999999999999999E-4</v>
      </c>
      <c r="N121" s="12"/>
      <c r="O121" s="12">
        <v>0</v>
      </c>
      <c r="P121" s="12"/>
      <c r="Q121" s="12"/>
      <c r="R121" s="12">
        <v>0</v>
      </c>
      <c r="S121" s="12"/>
      <c r="T121" s="12"/>
      <c r="U121" s="12"/>
      <c r="V121" s="12"/>
      <c r="W121" s="7"/>
      <c r="X121" s="12"/>
      <c r="Y121" s="7"/>
      <c r="Z121" s="7"/>
      <c r="AA121" s="7"/>
      <c r="AB121" s="7"/>
      <c r="AC121" s="7"/>
      <c r="AD121" s="4"/>
      <c r="AE121" s="4"/>
      <c r="AF121" s="4"/>
      <c r="AG121" s="4"/>
      <c r="AH121" s="9"/>
      <c r="AI121" s="9"/>
      <c r="AJ121" s="9"/>
      <c r="AK121" s="9" t="s">
        <v>30</v>
      </c>
      <c r="AL121" s="10"/>
      <c r="AM121" s="10"/>
      <c r="AN121" s="10"/>
      <c r="AO121" s="10"/>
      <c r="AP121" s="10"/>
      <c r="AQ121" s="11">
        <v>23</v>
      </c>
      <c r="AR121" s="4" t="s">
        <v>32</v>
      </c>
      <c r="AS121" s="10" t="s">
        <v>954</v>
      </c>
      <c r="AT121" s="10" t="s">
        <v>948</v>
      </c>
      <c r="AU121" s="10"/>
      <c r="AV121" s="10"/>
      <c r="AW121" s="10"/>
      <c r="AX121" s="10"/>
      <c r="AY121" s="10"/>
      <c r="AZ121" s="10"/>
      <c r="BA121" s="10"/>
      <c r="BB121" s="10"/>
      <c r="BC121" s="10"/>
      <c r="BD121" s="10"/>
    </row>
    <row r="122" spans="1:56" ht="29" x14ac:dyDescent="0.35">
      <c r="A122" s="4" t="s">
        <v>539</v>
      </c>
      <c r="B122" s="4"/>
      <c r="C122" s="4" t="s">
        <v>66</v>
      </c>
      <c r="D122" s="4" t="s">
        <v>23</v>
      </c>
      <c r="E122" s="5" t="s">
        <v>34</v>
      </c>
      <c r="F122" s="4"/>
      <c r="G122" s="4" t="s">
        <v>35</v>
      </c>
      <c r="H122" s="4" t="s">
        <v>1173</v>
      </c>
      <c r="I122" s="12" t="s">
        <v>755</v>
      </c>
      <c r="J122" s="12"/>
      <c r="K122" s="12"/>
      <c r="L122" s="12" t="s">
        <v>756</v>
      </c>
      <c r="M122" s="67"/>
      <c r="N122" s="12"/>
      <c r="O122" s="12"/>
      <c r="P122" s="12"/>
      <c r="Q122" s="12"/>
      <c r="R122" s="12"/>
      <c r="S122" s="12"/>
      <c r="T122" s="12"/>
      <c r="U122" s="12"/>
      <c r="V122" s="12"/>
      <c r="W122" s="7"/>
      <c r="X122" s="12"/>
      <c r="Y122" s="7"/>
      <c r="Z122" s="7"/>
      <c r="AA122" s="7"/>
      <c r="AB122" s="7"/>
      <c r="AC122" s="7"/>
      <c r="AD122" s="4"/>
      <c r="AE122" s="4"/>
      <c r="AF122" s="4"/>
      <c r="AG122" s="4"/>
      <c r="AH122" s="9"/>
      <c r="AI122" s="9"/>
      <c r="AJ122" s="9"/>
      <c r="AK122" s="9" t="s">
        <v>30</v>
      </c>
      <c r="AL122" s="10"/>
      <c r="AM122" s="10"/>
      <c r="AN122" s="10"/>
      <c r="AO122" s="10"/>
      <c r="AP122" s="10"/>
      <c r="AQ122" s="11" t="s">
        <v>540</v>
      </c>
      <c r="AR122" s="4"/>
      <c r="AS122" s="10"/>
      <c r="AT122" s="10"/>
      <c r="AU122" s="10"/>
      <c r="AV122" s="10"/>
      <c r="AW122" s="10"/>
      <c r="AX122" s="10"/>
      <c r="AY122" s="10"/>
      <c r="AZ122" s="10"/>
      <c r="BA122" s="10"/>
      <c r="BB122" s="10"/>
      <c r="BC122" s="10"/>
      <c r="BD122" s="10"/>
    </row>
    <row r="123" spans="1:56" ht="43.5" x14ac:dyDescent="0.35">
      <c r="A123" s="4" t="s">
        <v>541</v>
      </c>
      <c r="B123" s="4" t="s">
        <v>1491</v>
      </c>
      <c r="C123" s="4" t="s">
        <v>22</v>
      </c>
      <c r="D123" s="4" t="s">
        <v>62</v>
      </c>
      <c r="E123" s="5" t="s">
        <v>34</v>
      </c>
      <c r="F123" s="4"/>
      <c r="G123" s="4" t="s">
        <v>35</v>
      </c>
      <c r="H123" s="65" t="s">
        <v>542</v>
      </c>
      <c r="I123" s="12"/>
      <c r="J123" s="12"/>
      <c r="K123" s="12"/>
      <c r="L123" s="12"/>
      <c r="M123" s="67"/>
      <c r="N123" s="12"/>
      <c r="O123" s="12"/>
      <c r="P123" s="12"/>
      <c r="Q123" s="12"/>
      <c r="R123" s="12"/>
      <c r="S123" s="12"/>
      <c r="T123" s="12"/>
      <c r="U123" s="12"/>
      <c r="V123" s="12"/>
      <c r="W123" s="7"/>
      <c r="X123" s="12"/>
      <c r="Y123" s="7"/>
      <c r="Z123" s="7">
        <v>3</v>
      </c>
      <c r="AA123" s="7">
        <v>0.25</v>
      </c>
      <c r="AB123" s="7"/>
      <c r="AC123" s="7"/>
      <c r="AD123" s="4"/>
      <c r="AE123" s="4"/>
      <c r="AF123" s="4"/>
      <c r="AG123" s="4"/>
      <c r="AH123" s="9"/>
      <c r="AI123" s="9" t="s">
        <v>543</v>
      </c>
      <c r="AJ123" s="9"/>
      <c r="AK123" s="9" t="s">
        <v>30</v>
      </c>
      <c r="AL123" s="10"/>
      <c r="AM123" s="10"/>
      <c r="AN123" s="10"/>
      <c r="AO123" s="10"/>
      <c r="AP123" s="10"/>
      <c r="AQ123" s="11">
        <v>24</v>
      </c>
      <c r="AR123" s="4"/>
      <c r="AS123" s="10"/>
      <c r="AT123" s="10"/>
      <c r="AU123" s="10"/>
      <c r="AV123" s="10" t="s">
        <v>857</v>
      </c>
      <c r="AW123" s="10"/>
      <c r="AX123" s="10"/>
      <c r="AY123" s="10"/>
      <c r="AZ123" s="10"/>
      <c r="BA123" s="10"/>
      <c r="BB123" s="10"/>
      <c r="BC123" s="10"/>
      <c r="BD123" s="10"/>
    </row>
    <row r="124" spans="1:56" ht="29" x14ac:dyDescent="0.35">
      <c r="A124" s="4" t="s">
        <v>544</v>
      </c>
      <c r="B124" s="4" t="s">
        <v>1492</v>
      </c>
      <c r="C124" s="4" t="s">
        <v>22</v>
      </c>
      <c r="D124" s="4" t="s">
        <v>62</v>
      </c>
      <c r="E124" s="5" t="s">
        <v>34</v>
      </c>
      <c r="F124" s="4"/>
      <c r="G124" s="4" t="s">
        <v>35</v>
      </c>
      <c r="H124" s="4" t="s">
        <v>1033</v>
      </c>
      <c r="I124" s="12"/>
      <c r="J124" s="12"/>
      <c r="K124" s="12"/>
      <c r="L124" s="12"/>
      <c r="M124" s="67"/>
      <c r="N124" s="12"/>
      <c r="O124" s="12"/>
      <c r="P124" s="12"/>
      <c r="Q124" s="12"/>
      <c r="R124" s="12"/>
      <c r="S124" s="12"/>
      <c r="T124" s="12"/>
      <c r="U124" s="12"/>
      <c r="V124" s="12"/>
      <c r="W124" s="7"/>
      <c r="X124" s="12"/>
      <c r="Y124" s="7"/>
      <c r="Z124" s="7">
        <v>3</v>
      </c>
      <c r="AA124" s="7">
        <v>0.25</v>
      </c>
      <c r="AB124" s="7"/>
      <c r="AC124" s="7"/>
      <c r="AD124" s="4"/>
      <c r="AE124" s="4"/>
      <c r="AF124" s="4"/>
      <c r="AG124" s="4"/>
      <c r="AH124" s="9"/>
      <c r="AI124" s="9" t="s">
        <v>543</v>
      </c>
      <c r="AJ124" s="9"/>
      <c r="AK124" s="9" t="s">
        <v>30</v>
      </c>
      <c r="AL124" s="10"/>
      <c r="AM124" s="10"/>
      <c r="AN124" s="10"/>
      <c r="AO124" s="10"/>
      <c r="AP124" s="10"/>
      <c r="AQ124" s="11">
        <v>24</v>
      </c>
      <c r="AR124" s="4"/>
      <c r="AS124" s="10"/>
      <c r="AT124" s="10"/>
      <c r="AU124" s="10" t="s">
        <v>857</v>
      </c>
      <c r="AV124" s="10"/>
      <c r="AW124" s="10"/>
      <c r="AX124" s="10"/>
      <c r="AY124" s="10"/>
      <c r="AZ124" s="10"/>
      <c r="BA124" s="10"/>
      <c r="BB124" s="10"/>
      <c r="BC124" s="10"/>
      <c r="BD124" s="10"/>
    </row>
    <row r="125" spans="1:56" ht="43.5" x14ac:dyDescent="0.35">
      <c r="A125" s="4" t="s">
        <v>545</v>
      </c>
      <c r="B125" s="4"/>
      <c r="C125" s="4" t="s">
        <v>66</v>
      </c>
      <c r="D125" s="4" t="s">
        <v>131</v>
      </c>
      <c r="E125" s="5" t="s">
        <v>24</v>
      </c>
      <c r="F125" s="4"/>
      <c r="G125" s="4" t="s">
        <v>26</v>
      </c>
      <c r="H125" s="4" t="s">
        <v>1034</v>
      </c>
      <c r="I125" s="12">
        <f>2.1+10</f>
        <v>12.1</v>
      </c>
      <c r="J125" s="12">
        <v>12.1</v>
      </c>
      <c r="K125" s="12"/>
      <c r="L125" s="12"/>
      <c r="M125" s="67"/>
      <c r="N125" s="12"/>
      <c r="O125" s="12"/>
      <c r="P125" s="12"/>
      <c r="Q125" s="12"/>
      <c r="R125" s="12"/>
      <c r="S125" s="12"/>
      <c r="T125" s="12"/>
      <c r="U125" s="12"/>
      <c r="V125" s="12"/>
      <c r="W125" s="7"/>
      <c r="X125" s="12"/>
      <c r="Y125" s="7"/>
      <c r="Z125" s="7"/>
      <c r="AA125" s="7"/>
      <c r="AB125" s="7"/>
      <c r="AC125" s="7"/>
      <c r="AD125" s="4"/>
      <c r="AE125" s="4"/>
      <c r="AF125" s="4"/>
      <c r="AG125" s="4"/>
      <c r="AH125" s="9"/>
      <c r="AI125" s="9"/>
      <c r="AJ125" s="9"/>
      <c r="AK125" s="9" t="s">
        <v>30</v>
      </c>
      <c r="AL125" s="10" t="s">
        <v>546</v>
      </c>
      <c r="AM125" s="10"/>
      <c r="AN125" s="10"/>
      <c r="AO125" s="10"/>
      <c r="AP125" s="10"/>
      <c r="AQ125" s="11">
        <v>27</v>
      </c>
      <c r="AR125" s="4"/>
      <c r="AS125" s="10" t="s">
        <v>869</v>
      </c>
      <c r="AT125" s="10"/>
      <c r="AU125" s="10"/>
      <c r="AV125" s="10"/>
      <c r="AW125" s="10"/>
      <c r="AX125" s="10"/>
      <c r="AY125" s="10"/>
      <c r="AZ125" s="10"/>
      <c r="BA125" s="10"/>
      <c r="BB125" s="10"/>
      <c r="BC125" s="10"/>
      <c r="BD125" s="10"/>
    </row>
    <row r="126" spans="1:56" ht="43.5" x14ac:dyDescent="0.35">
      <c r="A126" s="4" t="s">
        <v>1275</v>
      </c>
      <c r="B126" s="4" t="s">
        <v>1275</v>
      </c>
      <c r="C126" s="4" t="s">
        <v>46</v>
      </c>
      <c r="D126" s="4" t="s">
        <v>131</v>
      </c>
      <c r="E126" s="5" t="s">
        <v>24</v>
      </c>
      <c r="F126" s="4"/>
      <c r="G126" s="4" t="s">
        <v>35</v>
      </c>
      <c r="H126" s="4" t="s">
        <v>1035</v>
      </c>
      <c r="I126" s="12"/>
      <c r="J126" s="12">
        <v>93.876941165923142</v>
      </c>
      <c r="K126" s="12">
        <v>1</v>
      </c>
      <c r="L126" s="12"/>
      <c r="M126" s="67">
        <v>26.982045036207516</v>
      </c>
      <c r="N126" s="12">
        <v>1</v>
      </c>
      <c r="O126" s="12"/>
      <c r="P126" s="12">
        <v>0</v>
      </c>
      <c r="Q126" s="12">
        <v>1</v>
      </c>
      <c r="R126" s="12"/>
      <c r="S126" s="12">
        <v>0</v>
      </c>
      <c r="T126" s="12">
        <v>1</v>
      </c>
      <c r="U126" s="12">
        <v>20</v>
      </c>
      <c r="V126" s="12">
        <v>20</v>
      </c>
      <c r="W126" s="7">
        <v>100</v>
      </c>
      <c r="X126" s="12">
        <v>24479.999999999996</v>
      </c>
      <c r="Y126" s="7">
        <v>9</v>
      </c>
      <c r="Z126" s="7">
        <v>9</v>
      </c>
      <c r="AA126" s="7">
        <v>1</v>
      </c>
      <c r="AB126" s="7">
        <v>64561</v>
      </c>
      <c r="AC126" s="7">
        <v>1</v>
      </c>
      <c r="AD126" s="4">
        <v>0</v>
      </c>
      <c r="AE126" s="4">
        <v>0</v>
      </c>
      <c r="AF126" s="4"/>
      <c r="AG126" s="4">
        <v>0.25</v>
      </c>
      <c r="AH126" s="9"/>
      <c r="AI126" s="9"/>
      <c r="AJ126" s="9"/>
      <c r="AK126" s="9" t="s">
        <v>30</v>
      </c>
      <c r="AL126" s="10"/>
      <c r="AM126" s="10"/>
      <c r="AN126" s="10"/>
      <c r="AO126" s="10"/>
      <c r="AP126" s="10"/>
      <c r="AQ126" s="11">
        <v>48</v>
      </c>
      <c r="AR126" s="4"/>
      <c r="AS126" s="10" t="s">
        <v>874</v>
      </c>
      <c r="AT126" s="10" t="s">
        <v>876</v>
      </c>
      <c r="AU126" s="10"/>
      <c r="AV126" s="10"/>
      <c r="AW126" s="10"/>
      <c r="AX126" s="10"/>
      <c r="AY126" s="10"/>
      <c r="AZ126" s="10"/>
      <c r="BA126" s="10"/>
      <c r="BB126" s="10"/>
      <c r="BC126" s="10"/>
      <c r="BD126" s="10"/>
    </row>
    <row r="127" spans="1:56" ht="29" x14ac:dyDescent="0.35">
      <c r="A127" s="4" t="s">
        <v>966</v>
      </c>
      <c r="B127" s="4"/>
      <c r="C127" s="4" t="s">
        <v>66</v>
      </c>
      <c r="D127" s="4" t="s">
        <v>131</v>
      </c>
      <c r="E127" s="5" t="s">
        <v>34</v>
      </c>
      <c r="F127" s="4"/>
      <c r="G127" s="4" t="s">
        <v>26</v>
      </c>
      <c r="H127" s="17"/>
      <c r="I127" s="12"/>
      <c r="J127" s="12"/>
      <c r="K127" s="12">
        <v>0.5</v>
      </c>
      <c r="L127" s="12"/>
      <c r="M127" s="67">
        <v>1</v>
      </c>
      <c r="N127" s="12">
        <v>1</v>
      </c>
      <c r="O127" s="12"/>
      <c r="P127" s="12">
        <v>0</v>
      </c>
      <c r="Q127" s="12">
        <v>1</v>
      </c>
      <c r="R127" s="12"/>
      <c r="S127" s="12">
        <v>0</v>
      </c>
      <c r="T127" s="12">
        <v>0.5</v>
      </c>
      <c r="U127" s="12"/>
      <c r="V127" s="12"/>
      <c r="W127" s="7"/>
      <c r="X127" s="12"/>
      <c r="Y127" s="7"/>
      <c r="Z127" s="7">
        <v>9</v>
      </c>
      <c r="AA127" s="7">
        <v>0.75</v>
      </c>
      <c r="AB127" s="7"/>
      <c r="AC127" s="7"/>
      <c r="AD127" s="4"/>
      <c r="AE127" s="4"/>
      <c r="AF127" s="4"/>
      <c r="AG127" s="4"/>
      <c r="AH127" s="9"/>
      <c r="AI127" s="9"/>
      <c r="AJ127" s="9"/>
      <c r="AK127" s="9" t="s">
        <v>30</v>
      </c>
      <c r="AL127" s="10"/>
      <c r="AM127" s="10"/>
      <c r="AN127" s="10"/>
      <c r="AO127" s="10"/>
      <c r="AP127" s="10"/>
      <c r="AQ127" s="11"/>
      <c r="AR127" s="4"/>
      <c r="AS127" s="10" t="s">
        <v>877</v>
      </c>
      <c r="AT127" s="10"/>
      <c r="AU127" s="10"/>
      <c r="AV127" s="10"/>
      <c r="AW127" s="10"/>
      <c r="AX127" s="10"/>
      <c r="AY127" s="10"/>
      <c r="AZ127" s="10"/>
      <c r="BA127" s="10"/>
      <c r="BB127" s="10"/>
      <c r="BC127" s="10"/>
      <c r="BD127" s="10"/>
    </row>
    <row r="128" spans="1:56" ht="72.5" x14ac:dyDescent="0.35">
      <c r="A128" s="4" t="s">
        <v>547</v>
      </c>
      <c r="B128" s="4"/>
      <c r="C128" s="4" t="s">
        <v>70</v>
      </c>
      <c r="D128" s="4" t="s">
        <v>23</v>
      </c>
      <c r="E128" s="5" t="s">
        <v>34</v>
      </c>
      <c r="F128" s="4" t="s">
        <v>548</v>
      </c>
      <c r="G128" s="4" t="s">
        <v>26</v>
      </c>
      <c r="H128" s="65" t="s">
        <v>1029</v>
      </c>
      <c r="I128" s="12" t="s">
        <v>835</v>
      </c>
      <c r="J128" s="12">
        <v>49.71</v>
      </c>
      <c r="K128" s="12">
        <v>0.75</v>
      </c>
      <c r="L128" s="12" t="s">
        <v>836</v>
      </c>
      <c r="M128" s="67">
        <v>0.393293</v>
      </c>
      <c r="N128" s="12">
        <v>0.75</v>
      </c>
      <c r="O128" s="8">
        <f>2454*0.277777777</f>
        <v>681.66666475800002</v>
      </c>
      <c r="P128" s="8">
        <f>2454*0.277777777</f>
        <v>681.66666475800002</v>
      </c>
      <c r="Q128" s="12">
        <v>0.75</v>
      </c>
      <c r="R128" s="12"/>
      <c r="S128" s="12">
        <v>0</v>
      </c>
      <c r="T128" s="12">
        <v>0.75</v>
      </c>
      <c r="U128" s="12"/>
      <c r="V128" s="12"/>
      <c r="W128" s="7"/>
      <c r="X128" s="12">
        <f>0.006*Mission_Duration</f>
        <v>3.6</v>
      </c>
      <c r="Y128" s="7" t="s">
        <v>549</v>
      </c>
      <c r="Z128" s="7">
        <v>9</v>
      </c>
      <c r="AA128" s="7">
        <v>1</v>
      </c>
      <c r="AB128" s="8">
        <f>1/(1.2*10^-6)</f>
        <v>833333.33333333337</v>
      </c>
      <c r="AC128" s="7">
        <v>0.75</v>
      </c>
      <c r="AD128" s="4"/>
      <c r="AE128" s="4"/>
      <c r="AF128" s="4"/>
      <c r="AG128" s="4"/>
      <c r="AH128" s="9"/>
      <c r="AI128" s="9"/>
      <c r="AJ128" s="9"/>
      <c r="AK128" s="9" t="s">
        <v>30</v>
      </c>
      <c r="AL128" s="10"/>
      <c r="AM128" s="10"/>
      <c r="AN128" s="10"/>
      <c r="AO128" s="10"/>
      <c r="AP128" s="10"/>
      <c r="AQ128" s="11" t="s">
        <v>550</v>
      </c>
      <c r="AR128" s="4" t="s">
        <v>32</v>
      </c>
      <c r="AS128" s="10" t="s">
        <v>944</v>
      </c>
      <c r="AT128" s="10" t="s">
        <v>945</v>
      </c>
      <c r="AU128" s="10" t="s">
        <v>890</v>
      </c>
      <c r="AV128" s="10" t="s">
        <v>960</v>
      </c>
      <c r="AW128" s="10" t="s">
        <v>905</v>
      </c>
      <c r="AX128" s="10" t="s">
        <v>870</v>
      </c>
      <c r="AY128" s="10"/>
      <c r="AZ128" s="10"/>
      <c r="BA128" s="10"/>
      <c r="BB128" s="10"/>
      <c r="BC128" s="10"/>
      <c r="BD128" s="10"/>
    </row>
    <row r="129" spans="1:56" ht="43.5" x14ac:dyDescent="0.35">
      <c r="A129" s="4" t="s">
        <v>551</v>
      </c>
      <c r="B129" s="4"/>
      <c r="C129" s="4" t="s">
        <v>70</v>
      </c>
      <c r="D129" s="4" t="s">
        <v>23</v>
      </c>
      <c r="E129" s="5" t="s">
        <v>34</v>
      </c>
      <c r="F129" s="4" t="s">
        <v>552</v>
      </c>
      <c r="G129" s="4" t="s">
        <v>26</v>
      </c>
      <c r="H129" s="4" t="s">
        <v>553</v>
      </c>
      <c r="I129" s="12" t="s">
        <v>757</v>
      </c>
      <c r="J129" s="12">
        <v>54.45</v>
      </c>
      <c r="K129" s="12">
        <v>1</v>
      </c>
      <c r="L129" s="12" t="s">
        <v>758</v>
      </c>
      <c r="M129" s="67">
        <v>0.108</v>
      </c>
      <c r="N129" s="12">
        <v>0.75</v>
      </c>
      <c r="O129" s="12"/>
      <c r="P129" s="12"/>
      <c r="Q129" s="12"/>
      <c r="R129" s="12"/>
      <c r="S129" s="12"/>
      <c r="T129" s="12"/>
      <c r="U129" s="12">
        <v>33.759</v>
      </c>
      <c r="V129" s="12">
        <v>33.759</v>
      </c>
      <c r="W129" s="7"/>
      <c r="X129" s="12"/>
      <c r="Y129" s="7" t="str">
        <f>Y128</f>
        <v>8
9</v>
      </c>
      <c r="Z129" s="7"/>
      <c r="AA129" s="7"/>
      <c r="AB129" s="7"/>
      <c r="AC129" s="7"/>
      <c r="AD129" s="4"/>
      <c r="AE129" s="4"/>
      <c r="AF129" s="4"/>
      <c r="AG129" s="4"/>
      <c r="AH129" s="9"/>
      <c r="AI129" s="9"/>
      <c r="AJ129" s="9"/>
      <c r="AK129" s="9" t="s">
        <v>30</v>
      </c>
      <c r="AL129" s="10"/>
      <c r="AM129" s="10"/>
      <c r="AN129" s="10"/>
      <c r="AO129" s="10"/>
      <c r="AP129" s="10"/>
      <c r="AQ129" s="11" t="s">
        <v>554</v>
      </c>
      <c r="AR129" s="4" t="s">
        <v>32</v>
      </c>
      <c r="AS129" s="10" t="s">
        <v>944</v>
      </c>
      <c r="AT129" s="10" t="s">
        <v>945</v>
      </c>
      <c r="AU129" s="10" t="s">
        <v>890</v>
      </c>
      <c r="AV129" s="10" t="s">
        <v>903</v>
      </c>
      <c r="AW129" s="10" t="s">
        <v>905</v>
      </c>
      <c r="AX129" s="10"/>
      <c r="AY129" s="10"/>
      <c r="AZ129" s="10"/>
      <c r="BA129" s="10"/>
      <c r="BB129" s="10"/>
      <c r="BC129" s="10"/>
      <c r="BD129" s="10">
        <v>101</v>
      </c>
    </row>
    <row r="130" spans="1:56" ht="58" x14ac:dyDescent="0.35">
      <c r="A130" s="4" t="s">
        <v>555</v>
      </c>
      <c r="B130" s="4"/>
      <c r="C130" s="4" t="s">
        <v>70</v>
      </c>
      <c r="D130" s="4" t="s">
        <v>23</v>
      </c>
      <c r="E130" s="5" t="s">
        <v>34</v>
      </c>
      <c r="F130" s="4" t="s">
        <v>548</v>
      </c>
      <c r="G130" s="4" t="s">
        <v>26</v>
      </c>
      <c r="H130" s="65" t="s">
        <v>556</v>
      </c>
      <c r="I130" s="12">
        <v>7.45</v>
      </c>
      <c r="J130" s="12">
        <v>7.4526000000000003</v>
      </c>
      <c r="K130" s="12">
        <v>0.75</v>
      </c>
      <c r="L130" s="12">
        <v>7.0800000000000004E-3</v>
      </c>
      <c r="M130" s="67">
        <v>7.0800000000000004E-3</v>
      </c>
      <c r="N130" s="12">
        <v>0.75</v>
      </c>
      <c r="O130" s="12"/>
      <c r="P130" s="12"/>
      <c r="Q130" s="12"/>
      <c r="R130" s="68" t="s">
        <v>1113</v>
      </c>
      <c r="S130" s="12">
        <v>6.8</v>
      </c>
      <c r="T130" s="12">
        <v>0.75</v>
      </c>
      <c r="U130" s="12"/>
      <c r="V130" s="12"/>
      <c r="W130" s="7"/>
      <c r="X130" s="12"/>
      <c r="Y130" s="7" t="str">
        <f>Y128</f>
        <v>8
9</v>
      </c>
      <c r="Z130" s="7"/>
      <c r="AA130" s="7"/>
      <c r="AB130" s="8">
        <f>1/(3.04*10^-5)</f>
        <v>32894.73684210526</v>
      </c>
      <c r="AC130" s="7"/>
      <c r="AD130" s="4"/>
      <c r="AE130" s="4"/>
      <c r="AF130" s="4"/>
      <c r="AG130" s="4"/>
      <c r="AH130" s="9"/>
      <c r="AI130" s="9"/>
      <c r="AJ130" s="9"/>
      <c r="AK130" s="9" t="s">
        <v>30</v>
      </c>
      <c r="AL130" s="10"/>
      <c r="AM130" s="10"/>
      <c r="AN130" s="10"/>
      <c r="AO130" s="10"/>
      <c r="AP130" s="10"/>
      <c r="AQ130" s="11" t="s">
        <v>557</v>
      </c>
      <c r="AR130" s="4" t="s">
        <v>32</v>
      </c>
      <c r="AS130" s="10" t="s">
        <v>945</v>
      </c>
      <c r="AT130" s="10" t="s">
        <v>890</v>
      </c>
      <c r="AU130" s="10" t="s">
        <v>903</v>
      </c>
      <c r="AV130" s="10"/>
      <c r="AW130" s="10"/>
      <c r="AX130" s="10"/>
      <c r="AY130" s="10"/>
      <c r="AZ130" s="10"/>
      <c r="BA130" s="10"/>
      <c r="BB130" s="10"/>
      <c r="BC130" s="10"/>
      <c r="BD130" s="10"/>
    </row>
    <row r="131" spans="1:56" ht="43.5" x14ac:dyDescent="0.35">
      <c r="A131" s="4" t="s">
        <v>558</v>
      </c>
      <c r="B131" s="4"/>
      <c r="C131" s="4" t="s">
        <v>70</v>
      </c>
      <c r="D131" s="4" t="s">
        <v>101</v>
      </c>
      <c r="E131" s="5" t="s">
        <v>34</v>
      </c>
      <c r="F131" s="4" t="s">
        <v>548</v>
      </c>
      <c r="G131" s="4" t="s">
        <v>26</v>
      </c>
      <c r="H131" s="65" t="s">
        <v>1036</v>
      </c>
      <c r="I131" s="12">
        <v>0.26300000000000001</v>
      </c>
      <c r="J131" s="12">
        <v>0.26300000000000001</v>
      </c>
      <c r="K131" s="12">
        <v>0.75</v>
      </c>
      <c r="L131" s="12" t="s">
        <v>837</v>
      </c>
      <c r="M131" s="67">
        <v>1.4159999999999999E-3</v>
      </c>
      <c r="N131" s="12">
        <v>0.75</v>
      </c>
      <c r="O131" s="12"/>
      <c r="P131" s="12"/>
      <c r="Q131" s="12"/>
      <c r="R131" s="12">
        <v>1E-3</v>
      </c>
      <c r="S131" s="12">
        <v>1E-3</v>
      </c>
      <c r="T131" s="12">
        <v>0.75</v>
      </c>
      <c r="U131" s="12"/>
      <c r="V131" s="12"/>
      <c r="W131" s="7"/>
      <c r="X131" s="12"/>
      <c r="Y131" s="7" t="str">
        <f>Y128</f>
        <v>8
9</v>
      </c>
      <c r="Z131" s="7"/>
      <c r="AA131" s="7"/>
      <c r="AB131" s="8">
        <f>1/(2.66*10^-5)</f>
        <v>37593.984962406008</v>
      </c>
      <c r="AC131" s="7"/>
      <c r="AD131" s="4"/>
      <c r="AE131" s="4"/>
      <c r="AF131" s="4"/>
      <c r="AG131" s="4"/>
      <c r="AH131" s="9"/>
      <c r="AI131" s="9"/>
      <c r="AJ131" s="9"/>
      <c r="AK131" s="9" t="s">
        <v>30</v>
      </c>
      <c r="AL131" s="10"/>
      <c r="AM131" s="10"/>
      <c r="AN131" s="10"/>
      <c r="AO131" s="10"/>
      <c r="AP131" s="10"/>
      <c r="AQ131" s="11">
        <v>23</v>
      </c>
      <c r="AR131" s="4" t="s">
        <v>32</v>
      </c>
      <c r="AS131" s="10" t="s">
        <v>944</v>
      </c>
      <c r="AT131" s="10" t="s">
        <v>945</v>
      </c>
      <c r="AU131" s="10"/>
      <c r="AV131" s="10"/>
      <c r="AW131" s="10"/>
      <c r="AX131" s="10"/>
      <c r="AY131" s="10"/>
      <c r="AZ131" s="10"/>
      <c r="BA131" s="10"/>
      <c r="BB131" s="10"/>
      <c r="BC131" s="10"/>
      <c r="BD131" s="10"/>
    </row>
    <row r="132" spans="1:56" ht="29" x14ac:dyDescent="0.35">
      <c r="A132" s="4" t="s">
        <v>559</v>
      </c>
      <c r="B132" s="4"/>
      <c r="C132" s="4" t="s">
        <v>70</v>
      </c>
      <c r="D132" s="4" t="s">
        <v>101</v>
      </c>
      <c r="E132" s="5" t="s">
        <v>34</v>
      </c>
      <c r="F132" s="4" t="s">
        <v>552</v>
      </c>
      <c r="G132" s="4" t="s">
        <v>26</v>
      </c>
      <c r="H132" s="65" t="s">
        <v>560</v>
      </c>
      <c r="I132" s="12">
        <v>0.63500000000000001</v>
      </c>
      <c r="J132" s="12">
        <v>0.63500000000000001</v>
      </c>
      <c r="K132" s="12">
        <v>0.75</v>
      </c>
      <c r="L132" s="12">
        <v>5.6599999999999999E-4</v>
      </c>
      <c r="M132" s="77">
        <v>5.6599999999999999E-4</v>
      </c>
      <c r="N132" s="47">
        <v>0.75</v>
      </c>
      <c r="O132" s="12"/>
      <c r="P132" s="12"/>
      <c r="Q132" s="12"/>
      <c r="R132" s="12">
        <v>8.9999999999999993E-3</v>
      </c>
      <c r="S132" s="12">
        <v>8.9999999999999993E-3</v>
      </c>
      <c r="T132" s="12">
        <v>0.75</v>
      </c>
      <c r="U132" s="12"/>
      <c r="V132" s="12"/>
      <c r="W132" s="7"/>
      <c r="X132" s="12"/>
      <c r="Y132" s="7" t="str">
        <f>Y128</f>
        <v>8
9</v>
      </c>
      <c r="Z132" s="7"/>
      <c r="AA132" s="7"/>
      <c r="AB132" s="8">
        <f>1/(8.8*10^-7)</f>
        <v>1136363.6363636362</v>
      </c>
      <c r="AC132" s="7"/>
      <c r="AD132" s="4"/>
      <c r="AE132" s="4"/>
      <c r="AF132" s="4"/>
      <c r="AG132" s="4"/>
      <c r="AH132" s="9"/>
      <c r="AI132" s="9"/>
      <c r="AJ132" s="9"/>
      <c r="AK132" s="9" t="s">
        <v>30</v>
      </c>
      <c r="AL132" s="10"/>
      <c r="AM132" s="10"/>
      <c r="AN132" s="10"/>
      <c r="AO132" s="10"/>
      <c r="AP132" s="10"/>
      <c r="AQ132" s="11" t="s">
        <v>557</v>
      </c>
      <c r="AR132" s="4" t="s">
        <v>32</v>
      </c>
      <c r="AS132" s="10"/>
      <c r="AT132" s="10"/>
      <c r="AU132" s="10"/>
      <c r="AV132" s="10"/>
      <c r="AW132" s="10"/>
      <c r="AX132" s="10"/>
      <c r="AY132" s="10"/>
      <c r="AZ132" s="10"/>
      <c r="BA132" s="10"/>
      <c r="BB132" s="10"/>
      <c r="BC132" s="10"/>
      <c r="BD132" s="10"/>
    </row>
    <row r="133" spans="1:56" ht="29" x14ac:dyDescent="0.35">
      <c r="A133" s="4" t="s">
        <v>561</v>
      </c>
      <c r="B133" s="4"/>
      <c r="C133" s="4" t="s">
        <v>70</v>
      </c>
      <c r="D133" s="4" t="s">
        <v>23</v>
      </c>
      <c r="E133" s="5" t="s">
        <v>34</v>
      </c>
      <c r="F133" s="4" t="s">
        <v>552</v>
      </c>
      <c r="G133" s="4" t="s">
        <v>26</v>
      </c>
      <c r="H133" s="65" t="s">
        <v>1037</v>
      </c>
      <c r="I133" s="12">
        <v>11.93</v>
      </c>
      <c r="J133" s="12">
        <v>11.93</v>
      </c>
      <c r="K133" s="12">
        <v>0.75</v>
      </c>
      <c r="L133" s="12">
        <v>5.8285000000000003E-2</v>
      </c>
      <c r="M133" s="67">
        <v>5.8285000000000003E-2</v>
      </c>
      <c r="N133" s="12">
        <v>0.75</v>
      </c>
      <c r="O133" s="12"/>
      <c r="P133" s="12">
        <f>technologies[[#This Row],[Power]]*0.1</f>
        <v>4.6360000000000001</v>
      </c>
      <c r="Q133" s="12">
        <v>0.25</v>
      </c>
      <c r="R133" s="12">
        <v>46.36</v>
      </c>
      <c r="S133" s="12">
        <f>46.36</f>
        <v>46.36</v>
      </c>
      <c r="T133" s="12">
        <v>0.75</v>
      </c>
      <c r="U133" s="12"/>
      <c r="V133" s="12"/>
      <c r="W133" s="7"/>
      <c r="X133" s="12"/>
      <c r="Y133" s="7" t="str">
        <f>Y128</f>
        <v>8
9</v>
      </c>
      <c r="Z133" s="7">
        <v>9</v>
      </c>
      <c r="AA133" s="7">
        <v>1</v>
      </c>
      <c r="AB133" s="8">
        <f>1/(7.65*10^-6)</f>
        <v>130718.95424836602</v>
      </c>
      <c r="AC133" s="7">
        <v>0.75</v>
      </c>
      <c r="AD133" s="4"/>
      <c r="AE133" s="4"/>
      <c r="AF133" s="4"/>
      <c r="AG133" s="4"/>
      <c r="AH133" s="9"/>
      <c r="AI133" s="9"/>
      <c r="AJ133" s="9"/>
      <c r="AK133" s="9" t="s">
        <v>30</v>
      </c>
      <c r="AL133" s="10"/>
      <c r="AM133" s="10"/>
      <c r="AN133" s="10"/>
      <c r="AO133" s="10"/>
      <c r="AP133" s="10"/>
      <c r="AQ133" s="11">
        <v>23</v>
      </c>
      <c r="AR133" s="4" t="s">
        <v>32</v>
      </c>
      <c r="AS133" s="10" t="s">
        <v>905</v>
      </c>
      <c r="AT133" s="10"/>
      <c r="AU133" s="10"/>
      <c r="AV133" s="10"/>
      <c r="AW133" s="10"/>
      <c r="AX133" s="10"/>
      <c r="AY133" s="10"/>
      <c r="AZ133" s="10"/>
      <c r="BA133" s="10"/>
      <c r="BB133" s="10"/>
      <c r="BC133" s="10"/>
      <c r="BD133" s="10"/>
    </row>
    <row r="134" spans="1:56" ht="43.5" x14ac:dyDescent="0.35">
      <c r="A134" s="4" t="s">
        <v>562</v>
      </c>
      <c r="B134" s="4"/>
      <c r="C134" s="4" t="s">
        <v>70</v>
      </c>
      <c r="D134" s="4" t="s">
        <v>101</v>
      </c>
      <c r="E134" s="5" t="s">
        <v>34</v>
      </c>
      <c r="F134" s="4" t="s">
        <v>563</v>
      </c>
      <c r="G134" s="4" t="s">
        <v>26</v>
      </c>
      <c r="H134" s="65" t="s">
        <v>564</v>
      </c>
      <c r="I134" s="12" t="s">
        <v>1030</v>
      </c>
      <c r="J134" s="12">
        <v>1.66</v>
      </c>
      <c r="K134" s="12">
        <v>0.75</v>
      </c>
      <c r="L134" s="12" t="s">
        <v>1031</v>
      </c>
      <c r="M134" s="67">
        <v>5.6999999999999998E-4</v>
      </c>
      <c r="N134" s="12">
        <v>1</v>
      </c>
      <c r="O134" s="12"/>
      <c r="P134" s="12"/>
      <c r="Q134" s="12"/>
      <c r="R134" s="12" t="s">
        <v>1114</v>
      </c>
      <c r="S134" s="12">
        <v>0.24</v>
      </c>
      <c r="T134" s="12">
        <v>1</v>
      </c>
      <c r="U134" s="12"/>
      <c r="V134" s="12"/>
      <c r="W134" s="7"/>
      <c r="X134" s="12"/>
      <c r="Y134" s="7"/>
      <c r="Z134" s="7"/>
      <c r="AA134" s="7"/>
      <c r="AB134" s="7">
        <f>1/(8*10^-7)</f>
        <v>1250000</v>
      </c>
      <c r="AC134" s="7"/>
      <c r="AD134" s="4"/>
      <c r="AE134" s="4"/>
      <c r="AF134" s="4"/>
      <c r="AG134" s="4"/>
      <c r="AH134" s="9"/>
      <c r="AI134" s="9"/>
      <c r="AJ134" s="9"/>
      <c r="AK134" s="9" t="s">
        <v>30</v>
      </c>
      <c r="AL134" s="10"/>
      <c r="AM134" s="10"/>
      <c r="AN134" s="10"/>
      <c r="AO134" s="10"/>
      <c r="AP134" s="10"/>
      <c r="AQ134" s="11" t="s">
        <v>557</v>
      </c>
      <c r="AR134" s="4" t="s">
        <v>32</v>
      </c>
      <c r="AS134" s="10"/>
      <c r="AT134" s="10"/>
      <c r="AU134" s="10"/>
      <c r="AV134" s="10"/>
      <c r="AW134" s="10"/>
      <c r="AX134" s="10"/>
      <c r="AY134" s="10"/>
      <c r="AZ134" s="10"/>
      <c r="BA134" s="10"/>
      <c r="BB134" s="10"/>
      <c r="BC134" s="10"/>
      <c r="BD134" s="10"/>
    </row>
    <row r="135" spans="1:56" ht="29" x14ac:dyDescent="0.35">
      <c r="A135" s="4" t="s">
        <v>565</v>
      </c>
      <c r="B135" s="4"/>
      <c r="C135" s="4" t="s">
        <v>70</v>
      </c>
      <c r="D135" s="4" t="s">
        <v>23</v>
      </c>
      <c r="E135" s="5" t="s">
        <v>34</v>
      </c>
      <c r="F135" s="4" t="s">
        <v>552</v>
      </c>
      <c r="G135" s="4" t="s">
        <v>26</v>
      </c>
      <c r="H135" s="65" t="s">
        <v>566</v>
      </c>
      <c r="I135" s="12">
        <v>4.0369999999999999</v>
      </c>
      <c r="J135" s="12">
        <v>4.0369999999999999</v>
      </c>
      <c r="K135" s="12">
        <v>0.75</v>
      </c>
      <c r="L135" s="12">
        <v>1.7274999999999999E-2</v>
      </c>
      <c r="M135" s="67">
        <v>1.7274999999999999E-2</v>
      </c>
      <c r="N135" s="12">
        <v>0.75</v>
      </c>
      <c r="O135" s="12"/>
      <c r="P135" s="12"/>
      <c r="Q135" s="12"/>
      <c r="R135" s="12">
        <v>8</v>
      </c>
      <c r="S135" s="12">
        <v>8</v>
      </c>
      <c r="T135" s="12">
        <v>0.75</v>
      </c>
      <c r="U135" s="12"/>
      <c r="V135" s="12"/>
      <c r="W135" s="7"/>
      <c r="X135" s="12"/>
      <c r="Y135" s="7" t="str">
        <f>Y128</f>
        <v>8
9</v>
      </c>
      <c r="Z135" s="7"/>
      <c r="AA135" s="7"/>
      <c r="AB135" s="8">
        <f>1/(4.25*10^-7)</f>
        <v>2352941.1764705884</v>
      </c>
      <c r="AC135" s="18"/>
      <c r="AD135" s="4"/>
      <c r="AE135" s="4"/>
      <c r="AF135" s="4"/>
      <c r="AG135" s="4"/>
      <c r="AH135" s="9"/>
      <c r="AI135" s="9"/>
      <c r="AJ135" s="9"/>
      <c r="AK135" s="9" t="s">
        <v>30</v>
      </c>
      <c r="AL135" s="10"/>
      <c r="AM135" s="10"/>
      <c r="AN135" s="10"/>
      <c r="AO135" s="10"/>
      <c r="AP135" s="10"/>
      <c r="AQ135" s="11" t="s">
        <v>557</v>
      </c>
      <c r="AR135" s="4" t="s">
        <v>32</v>
      </c>
      <c r="AS135" s="10"/>
      <c r="AT135" s="10"/>
      <c r="AU135" s="10"/>
      <c r="AV135" s="10"/>
      <c r="AW135" s="10"/>
      <c r="AX135" s="10"/>
      <c r="AY135" s="10"/>
      <c r="AZ135" s="10"/>
      <c r="BA135" s="10"/>
      <c r="BB135" s="10"/>
      <c r="BC135" s="10"/>
      <c r="BD135" s="10"/>
    </row>
    <row r="136" spans="1:56" ht="43.5" x14ac:dyDescent="0.35">
      <c r="A136" s="4" t="s">
        <v>567</v>
      </c>
      <c r="B136" s="4"/>
      <c r="C136" s="4" t="s">
        <v>70</v>
      </c>
      <c r="D136" s="4" t="s">
        <v>23</v>
      </c>
      <c r="E136" s="5" t="s">
        <v>34</v>
      </c>
      <c r="F136" s="4" t="s">
        <v>568</v>
      </c>
      <c r="G136" s="4" t="s">
        <v>26</v>
      </c>
      <c r="H136" s="65" t="s">
        <v>762</v>
      </c>
      <c r="I136" s="12">
        <v>9.1999999999999993</v>
      </c>
      <c r="J136" s="12">
        <v>9.1999999999999993</v>
      </c>
      <c r="K136" s="12">
        <v>0.75</v>
      </c>
      <c r="L136" s="12">
        <v>9.2999999999999992E-3</v>
      </c>
      <c r="M136" s="67">
        <f>0.0093</f>
        <v>9.2999999999999992E-3</v>
      </c>
      <c r="N136" s="12">
        <v>0.75</v>
      </c>
      <c r="O136" s="12"/>
      <c r="P136" s="12">
        <v>0</v>
      </c>
      <c r="Q136" s="12">
        <v>0.25</v>
      </c>
      <c r="R136" s="12" t="s">
        <v>569</v>
      </c>
      <c r="S136" s="12">
        <v>55</v>
      </c>
      <c r="T136" s="12">
        <v>0.75</v>
      </c>
      <c r="U136" s="12">
        <v>5.7039999999999997</v>
      </c>
      <c r="V136" s="12">
        <v>5.7039999999999997</v>
      </c>
      <c r="W136" s="7"/>
      <c r="X136" s="12"/>
      <c r="Y136" s="7"/>
      <c r="Z136" s="7">
        <v>9</v>
      </c>
      <c r="AA136" s="7">
        <v>1</v>
      </c>
      <c r="AB136" s="8">
        <v>332900</v>
      </c>
      <c r="AC136" s="7"/>
      <c r="AD136" s="4"/>
      <c r="AE136" s="4"/>
      <c r="AF136" s="4"/>
      <c r="AG136" s="4"/>
      <c r="AH136" s="9"/>
      <c r="AI136" s="9"/>
      <c r="AJ136" s="9"/>
      <c r="AK136" s="9" t="s">
        <v>30</v>
      </c>
      <c r="AL136" s="10"/>
      <c r="AM136" s="10"/>
      <c r="AN136" s="10"/>
      <c r="AO136" s="10"/>
      <c r="AP136" s="10"/>
      <c r="AQ136" s="11">
        <v>23</v>
      </c>
      <c r="AR136" s="4" t="s">
        <v>32</v>
      </c>
      <c r="AS136" s="10"/>
      <c r="AT136" s="10"/>
      <c r="AU136" s="10" t="s">
        <v>892</v>
      </c>
      <c r="AV136" s="10" t="s">
        <v>866</v>
      </c>
      <c r="AW136" s="10" t="s">
        <v>868</v>
      </c>
      <c r="AX136" s="10"/>
      <c r="AY136" s="10"/>
      <c r="AZ136" s="10"/>
      <c r="BA136" s="10"/>
      <c r="BB136" s="10"/>
      <c r="BC136" s="10"/>
      <c r="BD136" s="10"/>
    </row>
    <row r="137" spans="1:56" ht="58" x14ac:dyDescent="0.35">
      <c r="A137" s="4" t="s">
        <v>570</v>
      </c>
      <c r="B137" s="4" t="s">
        <v>568</v>
      </c>
      <c r="C137" s="4" t="s">
        <v>70</v>
      </c>
      <c r="D137" s="4" t="s">
        <v>23</v>
      </c>
      <c r="E137" s="5" t="s">
        <v>34</v>
      </c>
      <c r="F137" s="4"/>
      <c r="G137" s="4" t="s">
        <v>35</v>
      </c>
      <c r="H137" s="65" t="s">
        <v>571</v>
      </c>
      <c r="I137" s="12"/>
      <c r="J137" s="12">
        <f>J136+J138+J351</f>
        <v>14.299999999999999</v>
      </c>
      <c r="K137" s="12">
        <v>0.75</v>
      </c>
      <c r="L137" s="12"/>
      <c r="M137" s="67">
        <f>M136+M138+M351</f>
        <v>1.9200000000000002E-2</v>
      </c>
      <c r="N137" s="12">
        <v>0.75</v>
      </c>
      <c r="O137" s="12"/>
      <c r="P137" s="12"/>
      <c r="Q137" s="12"/>
      <c r="R137" s="12"/>
      <c r="S137" s="12">
        <f>S138+S136</f>
        <v>61</v>
      </c>
      <c r="T137" s="12">
        <v>0.75</v>
      </c>
      <c r="U137" s="12">
        <v>8.8659999999999997</v>
      </c>
      <c r="V137" s="12">
        <v>8.8659999999999997</v>
      </c>
      <c r="W137" s="7"/>
      <c r="X137" s="12"/>
      <c r="Y137" s="7"/>
      <c r="Z137" s="7">
        <v>9</v>
      </c>
      <c r="AA137" s="7">
        <v>1</v>
      </c>
      <c r="AB137" s="7"/>
      <c r="AC137" s="7"/>
      <c r="AD137" s="4"/>
      <c r="AE137" s="4"/>
      <c r="AF137" s="4"/>
      <c r="AG137" s="4"/>
      <c r="AH137" s="9"/>
      <c r="AI137" s="9"/>
      <c r="AJ137" s="9"/>
      <c r="AK137" s="9" t="s">
        <v>30</v>
      </c>
      <c r="AL137" s="10"/>
      <c r="AM137" s="10"/>
      <c r="AN137" s="10"/>
      <c r="AO137" s="10"/>
      <c r="AP137" s="10"/>
      <c r="AQ137" s="11">
        <v>23</v>
      </c>
      <c r="AR137" s="4" t="s">
        <v>32</v>
      </c>
      <c r="AS137" s="10"/>
      <c r="AT137" s="10"/>
      <c r="AU137" s="10" t="s">
        <v>892</v>
      </c>
      <c r="AV137" s="10" t="s">
        <v>866</v>
      </c>
      <c r="AW137" s="10" t="s">
        <v>868</v>
      </c>
      <c r="AX137" s="10"/>
      <c r="AY137" s="10"/>
      <c r="AZ137" s="10"/>
      <c r="BA137" s="10"/>
      <c r="BB137" s="10"/>
      <c r="BC137" s="10"/>
      <c r="BD137" s="10"/>
    </row>
    <row r="138" spans="1:56" ht="43.5" x14ac:dyDescent="0.35">
      <c r="A138" s="4" t="s">
        <v>572</v>
      </c>
      <c r="B138" s="4"/>
      <c r="C138" s="4" t="s">
        <v>70</v>
      </c>
      <c r="D138" s="4" t="s">
        <v>23</v>
      </c>
      <c r="E138" s="5" t="s">
        <v>34</v>
      </c>
      <c r="F138" s="4" t="s">
        <v>568</v>
      </c>
      <c r="G138" s="4" t="s">
        <v>26</v>
      </c>
      <c r="H138" s="65" t="s">
        <v>573</v>
      </c>
      <c r="I138" s="12" t="s">
        <v>838</v>
      </c>
      <c r="J138" s="12">
        <f>5.1</f>
        <v>5.0999999999999996</v>
      </c>
      <c r="K138" s="12">
        <v>0.75</v>
      </c>
      <c r="L138" s="12" t="s">
        <v>1032</v>
      </c>
      <c r="M138" s="67">
        <f>0.0099</f>
        <v>9.9000000000000008E-3</v>
      </c>
      <c r="N138" s="12">
        <v>0.75</v>
      </c>
      <c r="O138" s="12"/>
      <c r="P138" s="12"/>
      <c r="Q138" s="12"/>
      <c r="R138" s="12" t="s">
        <v>1115</v>
      </c>
      <c r="S138" s="12">
        <v>6</v>
      </c>
      <c r="T138" s="12">
        <v>0.75</v>
      </c>
      <c r="U138" s="12">
        <v>3.1619999999999999</v>
      </c>
      <c r="V138" s="12">
        <v>3.1619999999999999</v>
      </c>
      <c r="W138" s="7"/>
      <c r="X138" s="12"/>
      <c r="Y138" s="7"/>
      <c r="Z138" s="7"/>
      <c r="AA138" s="7"/>
      <c r="AB138" s="8">
        <v>167000</v>
      </c>
      <c r="AC138" s="7"/>
      <c r="AD138" s="4"/>
      <c r="AE138" s="4"/>
      <c r="AF138" s="4"/>
      <c r="AG138" s="4"/>
      <c r="AH138" s="9"/>
      <c r="AI138" s="9"/>
      <c r="AJ138" s="9"/>
      <c r="AK138" s="9" t="s">
        <v>30</v>
      </c>
      <c r="AL138" s="10"/>
      <c r="AM138" s="10"/>
      <c r="AN138" s="10"/>
      <c r="AO138" s="10"/>
      <c r="AP138" s="10"/>
      <c r="AQ138" s="11">
        <v>23</v>
      </c>
      <c r="AR138" s="4" t="s">
        <v>32</v>
      </c>
      <c r="AS138" s="10"/>
      <c r="AT138" s="10"/>
      <c r="AU138" s="10"/>
      <c r="AV138" s="10"/>
      <c r="AW138" s="10"/>
      <c r="AX138" s="10"/>
      <c r="AY138" s="10"/>
      <c r="AZ138" s="10"/>
      <c r="BA138" s="10"/>
      <c r="BB138" s="10"/>
      <c r="BC138" s="10"/>
      <c r="BD138" s="10"/>
    </row>
    <row r="139" spans="1:56" ht="58" x14ac:dyDescent="0.35">
      <c r="A139" s="4" t="s">
        <v>574</v>
      </c>
      <c r="B139" s="4"/>
      <c r="C139" s="4" t="s">
        <v>70</v>
      </c>
      <c r="D139" s="4" t="s">
        <v>23</v>
      </c>
      <c r="E139" s="5" t="s">
        <v>34</v>
      </c>
      <c r="F139" s="4" t="s">
        <v>552</v>
      </c>
      <c r="G139" s="4" t="s">
        <v>26</v>
      </c>
      <c r="H139" s="65" t="s">
        <v>575</v>
      </c>
      <c r="I139" s="12" t="s">
        <v>761</v>
      </c>
      <c r="J139" s="12">
        <v>25.3</v>
      </c>
      <c r="K139" s="12">
        <v>0.75</v>
      </c>
      <c r="L139" s="12">
        <v>0.13020000000000001</v>
      </c>
      <c r="M139" s="67">
        <v>0.13020000000000001</v>
      </c>
      <c r="N139" s="12">
        <v>0.75</v>
      </c>
      <c r="O139" s="12"/>
      <c r="P139" s="12"/>
      <c r="Q139" s="12"/>
      <c r="R139" s="12">
        <v>180</v>
      </c>
      <c r="S139" s="12">
        <v>180</v>
      </c>
      <c r="T139" s="12">
        <v>0.75</v>
      </c>
      <c r="U139" s="12">
        <v>15.686</v>
      </c>
      <c r="V139" s="12">
        <v>15.686</v>
      </c>
      <c r="W139" s="7"/>
      <c r="X139" s="12"/>
      <c r="Y139" s="7" t="str">
        <f>Y128</f>
        <v>8
9</v>
      </c>
      <c r="Z139" s="7"/>
      <c r="AA139" s="7"/>
      <c r="AB139" s="8">
        <f>1/(3*10^-6)</f>
        <v>333333.33333333331</v>
      </c>
      <c r="AC139" s="7"/>
      <c r="AD139" s="4"/>
      <c r="AE139" s="4"/>
      <c r="AF139" s="4"/>
      <c r="AG139" s="4"/>
      <c r="AH139" s="9"/>
      <c r="AI139" s="9"/>
      <c r="AJ139" s="9"/>
      <c r="AK139" s="9" t="s">
        <v>30</v>
      </c>
      <c r="AL139" s="10"/>
      <c r="AM139" s="10"/>
      <c r="AN139" s="10"/>
      <c r="AO139" s="10"/>
      <c r="AP139" s="10"/>
      <c r="AQ139" s="11" t="s">
        <v>576</v>
      </c>
      <c r="AR139" s="4" t="s">
        <v>577</v>
      </c>
      <c r="AS139" s="10" t="s">
        <v>892</v>
      </c>
      <c r="AT139" s="10"/>
      <c r="AU139" s="10"/>
      <c r="AV139" s="10"/>
      <c r="AW139" s="10"/>
      <c r="AX139" s="10"/>
      <c r="AY139" s="10"/>
      <c r="AZ139" s="10"/>
      <c r="BA139" s="10"/>
      <c r="BB139" s="10"/>
      <c r="BC139" s="10"/>
      <c r="BD139" s="10" t="s">
        <v>1116</v>
      </c>
    </row>
    <row r="140" spans="1:56" ht="29" x14ac:dyDescent="0.35">
      <c r="A140" s="4" t="s">
        <v>578</v>
      </c>
      <c r="B140" s="4"/>
      <c r="C140" s="4" t="s">
        <v>70</v>
      </c>
      <c r="D140" s="4" t="s">
        <v>23</v>
      </c>
      <c r="E140" s="5" t="s">
        <v>34</v>
      </c>
      <c r="F140" s="4"/>
      <c r="G140" s="4" t="s">
        <v>26</v>
      </c>
      <c r="H140" s="65" t="s">
        <v>579</v>
      </c>
      <c r="I140" s="12">
        <v>2.7214999999999998</v>
      </c>
      <c r="J140" s="12">
        <v>2.7214999999999998</v>
      </c>
      <c r="K140" s="12">
        <v>0.75</v>
      </c>
      <c r="L140" s="12">
        <v>6.1215000000000002E-3</v>
      </c>
      <c r="M140" s="67">
        <v>6.1215000000000002E-3</v>
      </c>
      <c r="N140" s="12">
        <v>0.75</v>
      </c>
      <c r="O140" s="12"/>
      <c r="P140" s="12"/>
      <c r="Q140" s="12"/>
      <c r="R140" s="12">
        <v>0</v>
      </c>
      <c r="S140" s="12">
        <v>0</v>
      </c>
      <c r="T140" s="12">
        <v>0.75</v>
      </c>
      <c r="U140" s="12"/>
      <c r="V140" s="12"/>
      <c r="W140" s="7"/>
      <c r="X140" s="12"/>
      <c r="Y140" s="7"/>
      <c r="Z140" s="7"/>
      <c r="AA140" s="7"/>
      <c r="AB140" s="7"/>
      <c r="AC140" s="7"/>
      <c r="AD140" s="4"/>
      <c r="AE140" s="4"/>
      <c r="AF140" s="4"/>
      <c r="AG140" s="4"/>
      <c r="AH140" s="9"/>
      <c r="AI140" s="9"/>
      <c r="AJ140" s="9"/>
      <c r="AK140" s="9" t="s">
        <v>30</v>
      </c>
      <c r="AL140" s="10"/>
      <c r="AM140" s="10"/>
      <c r="AN140" s="10"/>
      <c r="AO140" s="10"/>
      <c r="AP140" s="10"/>
      <c r="AQ140" s="11">
        <v>11</v>
      </c>
      <c r="AR140" s="4" t="s">
        <v>32</v>
      </c>
      <c r="AS140" s="10"/>
      <c r="AT140" s="10"/>
      <c r="AU140" s="10"/>
      <c r="AV140" s="10"/>
      <c r="AW140" s="10"/>
      <c r="AX140" s="10"/>
      <c r="AY140" s="10"/>
      <c r="AZ140" s="10"/>
      <c r="BA140" s="10"/>
      <c r="BB140" s="10"/>
      <c r="BC140" s="10"/>
      <c r="BD140" s="10"/>
    </row>
    <row r="141" spans="1:56" ht="29" x14ac:dyDescent="0.35">
      <c r="A141" s="4" t="s">
        <v>81</v>
      </c>
      <c r="B141" s="4"/>
      <c r="C141" s="4" t="s">
        <v>22</v>
      </c>
      <c r="D141" s="4" t="s">
        <v>23</v>
      </c>
      <c r="E141" s="5" t="s">
        <v>34</v>
      </c>
      <c r="F141" s="4" t="s">
        <v>580</v>
      </c>
      <c r="G141" s="4" t="s">
        <v>26</v>
      </c>
      <c r="H141" s="4" t="s">
        <v>1038</v>
      </c>
      <c r="I141" s="12">
        <v>2.2999999999999998</v>
      </c>
      <c r="J141" s="12"/>
      <c r="K141" s="12"/>
      <c r="L141" s="12"/>
      <c r="M141" s="67"/>
      <c r="N141" s="12"/>
      <c r="O141" s="12"/>
      <c r="P141" s="12"/>
      <c r="Q141" s="12"/>
      <c r="R141" s="12"/>
      <c r="S141" s="12"/>
      <c r="T141" s="12"/>
      <c r="U141" s="12"/>
      <c r="V141" s="12"/>
      <c r="W141" s="7"/>
      <c r="X141" s="12"/>
      <c r="Y141" s="7">
        <v>8</v>
      </c>
      <c r="Z141" s="7"/>
      <c r="AA141" s="7"/>
      <c r="AB141" s="7">
        <f>1/(8*10^-6)</f>
        <v>125000</v>
      </c>
      <c r="AC141" s="7"/>
      <c r="AD141" s="4"/>
      <c r="AE141" s="4"/>
      <c r="AF141" s="4"/>
      <c r="AG141" s="4"/>
      <c r="AH141" s="9"/>
      <c r="AI141" s="9"/>
      <c r="AJ141" s="9"/>
      <c r="AK141" s="9" t="s">
        <v>30</v>
      </c>
      <c r="AL141" s="10"/>
      <c r="AM141" s="10"/>
      <c r="AN141" s="10"/>
      <c r="AO141" s="10"/>
      <c r="AP141" s="10"/>
      <c r="AQ141" s="11">
        <v>13</v>
      </c>
      <c r="AR141" s="4"/>
      <c r="AS141" s="10"/>
      <c r="AT141" s="10"/>
      <c r="AU141" s="10"/>
      <c r="AV141" s="10"/>
      <c r="AW141" s="10"/>
      <c r="AX141" s="10"/>
      <c r="AY141" s="10"/>
      <c r="AZ141" s="10"/>
      <c r="BA141" s="10"/>
      <c r="BB141" s="10"/>
      <c r="BC141" s="10"/>
      <c r="BD141" s="10"/>
    </row>
    <row r="142" spans="1:56" ht="29" x14ac:dyDescent="0.35">
      <c r="A142" s="4" t="s">
        <v>581</v>
      </c>
      <c r="B142" s="4"/>
      <c r="C142" s="4" t="s">
        <v>22</v>
      </c>
      <c r="D142" s="4" t="s">
        <v>23</v>
      </c>
      <c r="E142" s="5" t="s">
        <v>34</v>
      </c>
      <c r="F142" s="4" t="s">
        <v>580</v>
      </c>
      <c r="G142" s="4" t="s">
        <v>26</v>
      </c>
      <c r="H142" s="4" t="s">
        <v>1039</v>
      </c>
      <c r="I142" s="12" t="s">
        <v>839</v>
      </c>
      <c r="J142" s="12">
        <f>(17.3+21.32)/2/4</f>
        <v>4.8275000000000006</v>
      </c>
      <c r="K142" s="12">
        <v>1</v>
      </c>
      <c r="L142" s="12" t="s">
        <v>840</v>
      </c>
      <c r="M142" s="67">
        <f>0.04248/4</f>
        <v>1.0619999999999999E-2</v>
      </c>
      <c r="N142" s="12">
        <v>0.75</v>
      </c>
      <c r="O142" s="12"/>
      <c r="P142" s="12">
        <v>0</v>
      </c>
      <c r="Q142" s="12">
        <v>0.75</v>
      </c>
      <c r="R142" s="12"/>
      <c r="S142" s="12">
        <v>0</v>
      </c>
      <c r="T142" s="12">
        <v>0.75</v>
      </c>
      <c r="U142" s="12"/>
      <c r="V142" s="12"/>
      <c r="W142" s="7"/>
      <c r="X142" s="12"/>
      <c r="Y142" s="7"/>
      <c r="Z142" s="7">
        <v>9</v>
      </c>
      <c r="AA142" s="7">
        <v>1</v>
      </c>
      <c r="AB142" s="7">
        <v>77100</v>
      </c>
      <c r="AC142" s="7">
        <v>1</v>
      </c>
      <c r="AD142" s="4"/>
      <c r="AE142" s="4"/>
      <c r="AF142" s="4"/>
      <c r="AG142" s="4"/>
      <c r="AH142" s="9"/>
      <c r="AI142" s="9"/>
      <c r="AJ142" s="9"/>
      <c r="AK142" s="9" t="s">
        <v>30</v>
      </c>
      <c r="AL142" s="10"/>
      <c r="AM142" s="10"/>
      <c r="AN142" s="10"/>
      <c r="AO142" s="10"/>
      <c r="AP142" s="10"/>
      <c r="AQ142" s="11" t="s">
        <v>582</v>
      </c>
      <c r="AR142" s="4"/>
      <c r="AS142" s="10" t="s">
        <v>905</v>
      </c>
      <c r="AT142" s="10"/>
      <c r="AU142" s="10"/>
      <c r="AV142" s="10"/>
      <c r="AW142" s="10"/>
      <c r="AX142" s="10"/>
      <c r="AY142" s="10"/>
      <c r="AZ142" s="10"/>
      <c r="BA142" s="10"/>
      <c r="BB142" s="10"/>
      <c r="BC142" s="10"/>
      <c r="BD142" s="10"/>
    </row>
    <row r="143" spans="1:56" ht="29" x14ac:dyDescent="0.35">
      <c r="A143" s="4" t="s">
        <v>583</v>
      </c>
      <c r="B143" s="4"/>
      <c r="C143" s="4" t="s">
        <v>22</v>
      </c>
      <c r="D143" s="4" t="s">
        <v>23</v>
      </c>
      <c r="E143" s="5" t="s">
        <v>34</v>
      </c>
      <c r="F143" s="4" t="s">
        <v>580</v>
      </c>
      <c r="G143" s="4" t="s">
        <v>26</v>
      </c>
      <c r="H143" s="4" t="s">
        <v>1043</v>
      </c>
      <c r="I143" s="12">
        <v>3.3</v>
      </c>
      <c r="J143" s="12">
        <v>3.3</v>
      </c>
      <c r="K143" s="12"/>
      <c r="L143" s="12"/>
      <c r="M143" s="67"/>
      <c r="N143" s="12"/>
      <c r="O143" s="12"/>
      <c r="P143" s="12"/>
      <c r="Q143" s="12"/>
      <c r="R143" s="12"/>
      <c r="S143" s="12"/>
      <c r="T143" s="12"/>
      <c r="U143" s="12"/>
      <c r="V143" s="12"/>
      <c r="W143" s="7"/>
      <c r="X143" s="12"/>
      <c r="Y143" s="7"/>
      <c r="Z143" s="7"/>
      <c r="AA143" s="7"/>
      <c r="AB143" s="8">
        <f>1/(5.99*10^-6)</f>
        <v>166944.9081803005</v>
      </c>
      <c r="AC143" s="7"/>
      <c r="AD143" s="4"/>
      <c r="AE143" s="4"/>
      <c r="AF143" s="4"/>
      <c r="AG143" s="4"/>
      <c r="AH143" s="9"/>
      <c r="AI143" s="9"/>
      <c r="AJ143" s="9"/>
      <c r="AK143" s="9" t="s">
        <v>30</v>
      </c>
      <c r="AL143" s="10"/>
      <c r="AM143" s="10"/>
      <c r="AN143" s="10"/>
      <c r="AO143" s="10"/>
      <c r="AP143" s="10"/>
      <c r="AQ143" s="11">
        <v>13</v>
      </c>
      <c r="AR143" s="4"/>
      <c r="AS143" s="10"/>
      <c r="AT143" s="10"/>
      <c r="AU143" s="10"/>
      <c r="AV143" s="10"/>
      <c r="AW143" s="10"/>
      <c r="AX143" s="10"/>
      <c r="AY143" s="10"/>
      <c r="AZ143" s="10"/>
      <c r="BA143" s="10"/>
      <c r="BB143" s="10"/>
      <c r="BC143" s="10"/>
      <c r="BD143" s="10"/>
    </row>
    <row r="144" spans="1:56" ht="29" x14ac:dyDescent="0.35">
      <c r="A144" s="4" t="s">
        <v>584</v>
      </c>
      <c r="B144" s="4"/>
      <c r="C144" s="4" t="s">
        <v>22</v>
      </c>
      <c r="D144" s="4" t="s">
        <v>23</v>
      </c>
      <c r="E144" s="5" t="s">
        <v>34</v>
      </c>
      <c r="F144" s="4" t="s">
        <v>580</v>
      </c>
      <c r="G144" s="4" t="s">
        <v>26</v>
      </c>
      <c r="H144" s="4" t="s">
        <v>1042</v>
      </c>
      <c r="I144" s="12">
        <v>0.1</v>
      </c>
      <c r="J144" s="12">
        <v>0.1</v>
      </c>
      <c r="K144" s="12"/>
      <c r="L144" s="12"/>
      <c r="M144" s="67"/>
      <c r="N144" s="12"/>
      <c r="O144" s="12"/>
      <c r="P144" s="12"/>
      <c r="Q144" s="12"/>
      <c r="R144" s="12"/>
      <c r="S144" s="12"/>
      <c r="T144" s="12"/>
      <c r="U144" s="12"/>
      <c r="V144" s="12"/>
      <c r="W144" s="7"/>
      <c r="X144" s="12"/>
      <c r="Y144" s="7"/>
      <c r="Z144" s="7"/>
      <c r="AA144" s="7"/>
      <c r="AB144" s="8">
        <f>1/(10^-6)</f>
        <v>1000000</v>
      </c>
      <c r="AC144" s="7"/>
      <c r="AD144" s="4"/>
      <c r="AE144" s="4"/>
      <c r="AF144" s="4"/>
      <c r="AG144" s="4"/>
      <c r="AH144" s="9"/>
      <c r="AI144" s="9"/>
      <c r="AJ144" s="9"/>
      <c r="AK144" s="9" t="s">
        <v>30</v>
      </c>
      <c r="AL144" s="10"/>
      <c r="AM144" s="10"/>
      <c r="AN144" s="10"/>
      <c r="AO144" s="10"/>
      <c r="AP144" s="10"/>
      <c r="AQ144" s="11">
        <v>13</v>
      </c>
      <c r="AR144" s="4"/>
      <c r="AS144" s="10"/>
      <c r="AT144" s="10"/>
      <c r="AU144" s="10"/>
      <c r="AV144" s="10"/>
      <c r="AW144" s="10"/>
      <c r="AX144" s="10"/>
      <c r="AY144" s="10"/>
      <c r="AZ144" s="10"/>
      <c r="BA144" s="10"/>
      <c r="BB144" s="10"/>
      <c r="BC144" s="10"/>
      <c r="BD144" s="10"/>
    </row>
    <row r="145" spans="1:56" ht="29" x14ac:dyDescent="0.35">
      <c r="A145" s="4" t="s">
        <v>585</v>
      </c>
      <c r="B145" s="4"/>
      <c r="C145" s="4" t="s">
        <v>22</v>
      </c>
      <c r="D145" s="4" t="s">
        <v>23</v>
      </c>
      <c r="E145" s="5" t="s">
        <v>34</v>
      </c>
      <c r="F145" s="4" t="s">
        <v>580</v>
      </c>
      <c r="G145" s="4" t="s">
        <v>26</v>
      </c>
      <c r="H145" s="4" t="s">
        <v>1042</v>
      </c>
      <c r="I145" s="12">
        <v>2.7</v>
      </c>
      <c r="J145" s="12">
        <v>2.7</v>
      </c>
      <c r="K145" s="12"/>
      <c r="L145" s="12"/>
      <c r="M145" s="67"/>
      <c r="N145" s="12"/>
      <c r="O145" s="12"/>
      <c r="P145" s="12"/>
      <c r="Q145" s="12"/>
      <c r="R145" s="12"/>
      <c r="S145" s="12"/>
      <c r="T145" s="12"/>
      <c r="U145" s="12"/>
      <c r="V145" s="12"/>
      <c r="W145" s="7"/>
      <c r="X145" s="12"/>
      <c r="Y145" s="7"/>
      <c r="Z145" s="7"/>
      <c r="AA145" s="7"/>
      <c r="AB145" s="8">
        <f>1/(5.99*10^-6)</f>
        <v>166944.9081803005</v>
      </c>
      <c r="AC145" s="7"/>
      <c r="AD145" s="4"/>
      <c r="AE145" s="4"/>
      <c r="AF145" s="4"/>
      <c r="AG145" s="4"/>
      <c r="AH145" s="9"/>
      <c r="AI145" s="9"/>
      <c r="AJ145" s="9"/>
      <c r="AK145" s="9" t="s">
        <v>30</v>
      </c>
      <c r="AL145" s="10"/>
      <c r="AM145" s="10"/>
      <c r="AN145" s="10"/>
      <c r="AO145" s="10"/>
      <c r="AP145" s="10"/>
      <c r="AQ145" s="11">
        <v>13</v>
      </c>
      <c r="AR145" s="4"/>
      <c r="AS145" s="10"/>
      <c r="AT145" s="10"/>
      <c r="AU145" s="10"/>
      <c r="AV145" s="10"/>
      <c r="AW145" s="10"/>
      <c r="AX145" s="10"/>
      <c r="AY145" s="10"/>
      <c r="AZ145" s="10"/>
      <c r="BA145" s="10"/>
      <c r="BB145" s="10"/>
      <c r="BC145" s="10"/>
      <c r="BD145" s="10"/>
    </row>
    <row r="146" spans="1:56" ht="29" x14ac:dyDescent="0.35">
      <c r="A146" s="4" t="s">
        <v>586</v>
      </c>
      <c r="B146" s="4"/>
      <c r="C146" s="4" t="s">
        <v>22</v>
      </c>
      <c r="D146" s="4" t="s">
        <v>23</v>
      </c>
      <c r="E146" s="5" t="s">
        <v>34</v>
      </c>
      <c r="F146" s="4" t="s">
        <v>580</v>
      </c>
      <c r="G146" s="4" t="s">
        <v>26</v>
      </c>
      <c r="H146" s="4" t="s">
        <v>1040</v>
      </c>
      <c r="I146" s="12">
        <v>0.2</v>
      </c>
      <c r="J146" s="12">
        <v>0.2</v>
      </c>
      <c r="K146" s="12"/>
      <c r="L146" s="12"/>
      <c r="M146" s="67"/>
      <c r="N146" s="12"/>
      <c r="O146" s="12"/>
      <c r="P146" s="12"/>
      <c r="Q146" s="12"/>
      <c r="R146" s="12"/>
      <c r="S146" s="12"/>
      <c r="T146" s="12"/>
      <c r="U146" s="12"/>
      <c r="V146" s="12"/>
      <c r="W146" s="7"/>
      <c r="X146" s="12"/>
      <c r="Y146" s="7"/>
      <c r="Z146" s="7"/>
      <c r="AA146" s="7"/>
      <c r="AB146" s="8">
        <f>1/(10^-5)</f>
        <v>99999.999999999985</v>
      </c>
      <c r="AC146" s="7"/>
      <c r="AD146" s="4"/>
      <c r="AE146" s="4"/>
      <c r="AF146" s="4"/>
      <c r="AG146" s="4"/>
      <c r="AH146" s="9"/>
      <c r="AI146" s="9"/>
      <c r="AJ146" s="9"/>
      <c r="AK146" s="9" t="s">
        <v>30</v>
      </c>
      <c r="AL146" s="10"/>
      <c r="AM146" s="10"/>
      <c r="AN146" s="10"/>
      <c r="AO146" s="10"/>
      <c r="AP146" s="10"/>
      <c r="AQ146" s="11">
        <v>13</v>
      </c>
      <c r="AR146" s="4"/>
      <c r="AS146" s="10"/>
      <c r="AT146" s="10"/>
      <c r="AU146" s="10"/>
      <c r="AV146" s="10"/>
      <c r="AW146" s="10"/>
      <c r="AX146" s="10"/>
      <c r="AY146" s="10"/>
      <c r="AZ146" s="10"/>
      <c r="BA146" s="10"/>
      <c r="BB146" s="10"/>
      <c r="BC146" s="10"/>
      <c r="BD146" s="10"/>
    </row>
    <row r="147" spans="1:56" ht="29" x14ac:dyDescent="0.35">
      <c r="A147" s="4" t="s">
        <v>587</v>
      </c>
      <c r="B147" s="4"/>
      <c r="C147" s="4" t="s">
        <v>22</v>
      </c>
      <c r="D147" s="4" t="s">
        <v>23</v>
      </c>
      <c r="E147" s="5" t="s">
        <v>34</v>
      </c>
      <c r="F147" s="4" t="s">
        <v>580</v>
      </c>
      <c r="G147" s="4" t="s">
        <v>26</v>
      </c>
      <c r="H147" s="4" t="s">
        <v>1042</v>
      </c>
      <c r="I147" s="12">
        <v>9.5</v>
      </c>
      <c r="J147" s="12">
        <v>9.5</v>
      </c>
      <c r="K147" s="12"/>
      <c r="L147" s="12"/>
      <c r="M147" s="67"/>
      <c r="N147" s="12"/>
      <c r="O147" s="12"/>
      <c r="P147" s="12"/>
      <c r="Q147" s="12"/>
      <c r="R147" s="12"/>
      <c r="S147" s="12"/>
      <c r="T147" s="12"/>
      <c r="U147" s="12"/>
      <c r="V147" s="12"/>
      <c r="W147" s="7"/>
      <c r="X147" s="12"/>
      <c r="Y147" s="7"/>
      <c r="Z147" s="7"/>
      <c r="AA147" s="7"/>
      <c r="AB147" s="8">
        <f>1/(1.5*10^-5)</f>
        <v>66666.666666666657</v>
      </c>
      <c r="AC147" s="7"/>
      <c r="AD147" s="4"/>
      <c r="AE147" s="4"/>
      <c r="AF147" s="4"/>
      <c r="AG147" s="4"/>
      <c r="AH147" s="9"/>
      <c r="AI147" s="9"/>
      <c r="AJ147" s="9"/>
      <c r="AK147" s="9" t="s">
        <v>30</v>
      </c>
      <c r="AL147" s="10"/>
      <c r="AM147" s="10"/>
      <c r="AN147" s="10"/>
      <c r="AO147" s="10"/>
      <c r="AP147" s="10"/>
      <c r="AQ147" s="11">
        <v>13</v>
      </c>
      <c r="AR147" s="4"/>
      <c r="AS147" s="10"/>
      <c r="AT147" s="10"/>
      <c r="AU147" s="10"/>
      <c r="AV147" s="10"/>
      <c r="AW147" s="10"/>
      <c r="AX147" s="10"/>
      <c r="AY147" s="10"/>
      <c r="AZ147" s="10"/>
      <c r="BA147" s="10"/>
      <c r="BB147" s="10"/>
      <c r="BC147" s="10"/>
      <c r="BD147" s="10"/>
    </row>
    <row r="148" spans="1:56" ht="29" x14ac:dyDescent="0.35">
      <c r="A148" s="4" t="s">
        <v>588</v>
      </c>
      <c r="B148" s="4"/>
      <c r="C148" s="4" t="s">
        <v>22</v>
      </c>
      <c r="D148" s="4" t="s">
        <v>23</v>
      </c>
      <c r="E148" s="5" t="s">
        <v>34</v>
      </c>
      <c r="F148" s="4" t="s">
        <v>580</v>
      </c>
      <c r="G148" s="4" t="s">
        <v>26</v>
      </c>
      <c r="H148" s="4" t="s">
        <v>1040</v>
      </c>
      <c r="I148" s="12">
        <v>0.1</v>
      </c>
      <c r="J148" s="12">
        <v>0.01</v>
      </c>
      <c r="K148" s="12"/>
      <c r="L148" s="12"/>
      <c r="M148" s="67"/>
      <c r="N148" s="12"/>
      <c r="O148" s="12"/>
      <c r="P148" s="12"/>
      <c r="Q148" s="12"/>
      <c r="R148" s="12"/>
      <c r="S148" s="12"/>
      <c r="T148" s="12"/>
      <c r="U148" s="12"/>
      <c r="V148" s="12"/>
      <c r="W148" s="7"/>
      <c r="X148" s="12"/>
      <c r="Y148" s="7"/>
      <c r="Z148" s="7"/>
      <c r="AA148" s="7"/>
      <c r="AB148" s="8">
        <f>1/(10^-5)</f>
        <v>99999.999999999985</v>
      </c>
      <c r="AC148" s="7"/>
      <c r="AD148" s="4"/>
      <c r="AE148" s="4"/>
      <c r="AF148" s="4"/>
      <c r="AG148" s="4"/>
      <c r="AH148" s="9"/>
      <c r="AI148" s="9"/>
      <c r="AJ148" s="9"/>
      <c r="AK148" s="9" t="s">
        <v>30</v>
      </c>
      <c r="AL148" s="10"/>
      <c r="AM148" s="10"/>
      <c r="AN148" s="10"/>
      <c r="AO148" s="10"/>
      <c r="AP148" s="10"/>
      <c r="AQ148" s="11">
        <v>13</v>
      </c>
      <c r="AR148" s="4"/>
      <c r="AS148" s="10"/>
      <c r="AT148" s="10"/>
      <c r="AU148" s="10"/>
      <c r="AV148" s="10"/>
      <c r="AW148" s="10"/>
      <c r="AX148" s="10"/>
      <c r="AY148" s="10"/>
      <c r="AZ148" s="10"/>
      <c r="BA148" s="10"/>
      <c r="BB148" s="10"/>
      <c r="BC148" s="10"/>
      <c r="BD148" s="10"/>
    </row>
    <row r="149" spans="1:56" ht="29" x14ac:dyDescent="0.35">
      <c r="A149" s="4" t="s">
        <v>589</v>
      </c>
      <c r="B149" s="4"/>
      <c r="C149" s="4" t="s">
        <v>22</v>
      </c>
      <c r="D149" s="4" t="s">
        <v>23</v>
      </c>
      <c r="E149" s="5" t="s">
        <v>34</v>
      </c>
      <c r="F149" s="4" t="s">
        <v>580</v>
      </c>
      <c r="G149" s="4" t="s">
        <v>26</v>
      </c>
      <c r="H149" s="4" t="s">
        <v>1040</v>
      </c>
      <c r="I149" s="12">
        <v>23.6</v>
      </c>
      <c r="J149" s="12">
        <v>23.6</v>
      </c>
      <c r="K149" s="12"/>
      <c r="L149" s="12"/>
      <c r="M149" s="67"/>
      <c r="N149" s="12"/>
      <c r="O149" s="12"/>
      <c r="P149" s="12"/>
      <c r="Q149" s="12"/>
      <c r="R149" s="12"/>
      <c r="S149" s="12"/>
      <c r="T149" s="12"/>
      <c r="U149" s="12"/>
      <c r="V149" s="12"/>
      <c r="W149" s="7"/>
      <c r="X149" s="12"/>
      <c r="Y149" s="7"/>
      <c r="Z149" s="7"/>
      <c r="AA149" s="7"/>
      <c r="AB149" s="8">
        <f>1/(1.3*10^-5)</f>
        <v>76923.076923076922</v>
      </c>
      <c r="AC149" s="7"/>
      <c r="AD149" s="4"/>
      <c r="AE149" s="4"/>
      <c r="AF149" s="4"/>
      <c r="AG149" s="4"/>
      <c r="AH149" s="9"/>
      <c r="AI149" s="9"/>
      <c r="AJ149" s="9"/>
      <c r="AK149" s="9" t="s">
        <v>30</v>
      </c>
      <c r="AL149" s="10"/>
      <c r="AM149" s="10"/>
      <c r="AN149" s="10"/>
      <c r="AO149" s="10"/>
      <c r="AP149" s="10"/>
      <c r="AQ149" s="11">
        <v>13</v>
      </c>
      <c r="AR149" s="4"/>
      <c r="AS149" s="10"/>
      <c r="AT149" s="10"/>
      <c r="AU149" s="10"/>
      <c r="AV149" s="10"/>
      <c r="AW149" s="10"/>
      <c r="AX149" s="10"/>
      <c r="AY149" s="10"/>
      <c r="AZ149" s="10"/>
      <c r="BA149" s="10"/>
      <c r="BB149" s="10"/>
      <c r="BC149" s="10"/>
      <c r="BD149" s="10"/>
    </row>
    <row r="150" spans="1:56" ht="29" x14ac:dyDescent="0.35">
      <c r="A150" s="4" t="s">
        <v>590</v>
      </c>
      <c r="B150" s="4"/>
      <c r="C150" s="4" t="s">
        <v>22</v>
      </c>
      <c r="D150" s="4" t="s">
        <v>23</v>
      </c>
      <c r="E150" s="5" t="s">
        <v>34</v>
      </c>
      <c r="F150" s="4" t="s">
        <v>580</v>
      </c>
      <c r="G150" s="4" t="s">
        <v>26</v>
      </c>
      <c r="H150" s="4" t="s">
        <v>1043</v>
      </c>
      <c r="I150" s="12">
        <v>0.1</v>
      </c>
      <c r="J150" s="12">
        <v>0.01</v>
      </c>
      <c r="K150" s="12"/>
      <c r="L150" s="12"/>
      <c r="M150" s="67"/>
      <c r="N150" s="12"/>
      <c r="O150" s="12"/>
      <c r="P150" s="12"/>
      <c r="Q150" s="12"/>
      <c r="R150" s="12"/>
      <c r="S150" s="12"/>
      <c r="T150" s="12"/>
      <c r="U150" s="12"/>
      <c r="V150" s="12"/>
      <c r="W150" s="7"/>
      <c r="X150" s="12"/>
      <c r="Y150" s="7"/>
      <c r="Z150" s="7"/>
      <c r="AA150" s="7"/>
      <c r="AB150" s="8">
        <f>1/(10^-5)</f>
        <v>99999.999999999985</v>
      </c>
      <c r="AC150" s="7"/>
      <c r="AD150" s="4"/>
      <c r="AE150" s="4"/>
      <c r="AF150" s="4"/>
      <c r="AG150" s="4"/>
      <c r="AH150" s="9"/>
      <c r="AI150" s="9"/>
      <c r="AJ150" s="9"/>
      <c r="AK150" s="9" t="s">
        <v>30</v>
      </c>
      <c r="AL150" s="10"/>
      <c r="AM150" s="10"/>
      <c r="AN150" s="10"/>
      <c r="AO150" s="10"/>
      <c r="AP150" s="10"/>
      <c r="AQ150" s="11">
        <v>13</v>
      </c>
      <c r="AR150" s="4"/>
      <c r="AS150" s="10"/>
      <c r="AT150" s="10"/>
      <c r="AU150" s="10"/>
      <c r="AV150" s="10"/>
      <c r="AW150" s="10"/>
      <c r="AX150" s="10"/>
      <c r="AY150" s="10"/>
      <c r="AZ150" s="10"/>
      <c r="BA150" s="10"/>
      <c r="BB150" s="10"/>
      <c r="BC150" s="10"/>
      <c r="BD150" s="10"/>
    </row>
    <row r="151" spans="1:56" ht="29" x14ac:dyDescent="0.35">
      <c r="A151" s="4" t="s">
        <v>591</v>
      </c>
      <c r="B151" s="4"/>
      <c r="C151" s="4" t="s">
        <v>22</v>
      </c>
      <c r="D151" s="4" t="s">
        <v>23</v>
      </c>
      <c r="E151" s="5" t="s">
        <v>34</v>
      </c>
      <c r="F151" s="4" t="s">
        <v>580</v>
      </c>
      <c r="G151" s="4" t="s">
        <v>26</v>
      </c>
      <c r="H151" s="4" t="s">
        <v>1040</v>
      </c>
      <c r="I151" s="12">
        <v>0.1</v>
      </c>
      <c r="J151" s="12">
        <v>0.01</v>
      </c>
      <c r="K151" s="12"/>
      <c r="L151" s="12"/>
      <c r="M151" s="67"/>
      <c r="N151" s="12"/>
      <c r="O151" s="12"/>
      <c r="P151" s="12"/>
      <c r="Q151" s="12"/>
      <c r="R151" s="12"/>
      <c r="S151" s="12"/>
      <c r="T151" s="12"/>
      <c r="U151" s="12"/>
      <c r="V151" s="12"/>
      <c r="W151" s="7"/>
      <c r="X151" s="12"/>
      <c r="Y151" s="7"/>
      <c r="Z151" s="7"/>
      <c r="AA151" s="7"/>
      <c r="AB151" s="8">
        <f>1/(6*10^-6)</f>
        <v>166666.66666666666</v>
      </c>
      <c r="AC151" s="7"/>
      <c r="AD151" s="4"/>
      <c r="AE151" s="4"/>
      <c r="AF151" s="4"/>
      <c r="AG151" s="4"/>
      <c r="AH151" s="9"/>
      <c r="AI151" s="9"/>
      <c r="AJ151" s="9"/>
      <c r="AK151" s="9" t="s">
        <v>30</v>
      </c>
      <c r="AL151" s="10"/>
      <c r="AM151" s="10"/>
      <c r="AN151" s="10"/>
      <c r="AO151" s="10"/>
      <c r="AP151" s="10"/>
      <c r="AQ151" s="11">
        <v>13</v>
      </c>
      <c r="AR151" s="4"/>
      <c r="AS151" s="10"/>
      <c r="AT151" s="10"/>
      <c r="AU151" s="10"/>
      <c r="AV151" s="10"/>
      <c r="AW151" s="10"/>
      <c r="AX151" s="10"/>
      <c r="AY151" s="10"/>
      <c r="AZ151" s="10"/>
      <c r="BA151" s="10"/>
      <c r="BB151" s="10"/>
      <c r="BC151" s="10"/>
      <c r="BD151" s="10"/>
    </row>
    <row r="152" spans="1:56" ht="29" x14ac:dyDescent="0.35">
      <c r="A152" s="4" t="s">
        <v>592</v>
      </c>
      <c r="B152" s="4"/>
      <c r="C152" s="4" t="s">
        <v>22</v>
      </c>
      <c r="D152" s="4" t="s">
        <v>23</v>
      </c>
      <c r="E152" s="5" t="s">
        <v>34</v>
      </c>
      <c r="F152" s="4" t="s">
        <v>580</v>
      </c>
      <c r="G152" s="4" t="s">
        <v>26</v>
      </c>
      <c r="H152" s="4" t="s">
        <v>1045</v>
      </c>
      <c r="I152" s="12">
        <v>2</v>
      </c>
      <c r="J152" s="12">
        <v>2</v>
      </c>
      <c r="K152" s="12"/>
      <c r="L152" s="12"/>
      <c r="M152" s="67"/>
      <c r="N152" s="12"/>
      <c r="O152" s="12"/>
      <c r="P152" s="12"/>
      <c r="Q152" s="12"/>
      <c r="R152" s="12"/>
      <c r="S152" s="12"/>
      <c r="T152" s="12"/>
      <c r="U152" s="12"/>
      <c r="V152" s="12"/>
      <c r="W152" s="7"/>
      <c r="X152" s="12"/>
      <c r="Y152" s="7"/>
      <c r="Z152" s="7"/>
      <c r="AA152" s="7"/>
      <c r="AB152" s="8">
        <f>1/(10^-5)</f>
        <v>99999.999999999985</v>
      </c>
      <c r="AC152" s="7"/>
      <c r="AD152" s="4"/>
      <c r="AE152" s="4"/>
      <c r="AF152" s="4"/>
      <c r="AG152" s="4"/>
      <c r="AH152" s="9"/>
      <c r="AI152" s="9"/>
      <c r="AJ152" s="9"/>
      <c r="AK152" s="9" t="s">
        <v>30</v>
      </c>
      <c r="AL152" s="10"/>
      <c r="AM152" s="10"/>
      <c r="AN152" s="10"/>
      <c r="AO152" s="10"/>
      <c r="AP152" s="10"/>
      <c r="AQ152" s="11">
        <v>13</v>
      </c>
      <c r="AR152" s="4"/>
      <c r="AS152" s="10"/>
      <c r="AT152" s="10"/>
      <c r="AU152" s="10"/>
      <c r="AV152" s="10"/>
      <c r="AW152" s="10"/>
      <c r="AX152" s="10"/>
      <c r="AY152" s="10"/>
      <c r="AZ152" s="10"/>
      <c r="BA152" s="10"/>
      <c r="BB152" s="10"/>
      <c r="BC152" s="10"/>
      <c r="BD152" s="10"/>
    </row>
    <row r="153" spans="1:56" ht="29" x14ac:dyDescent="0.35">
      <c r="A153" s="4" t="s">
        <v>593</v>
      </c>
      <c r="B153" s="4"/>
      <c r="C153" s="4" t="s">
        <v>22</v>
      </c>
      <c r="D153" s="4" t="s">
        <v>33</v>
      </c>
      <c r="E153" s="5" t="s">
        <v>34</v>
      </c>
      <c r="F153" s="4" t="s">
        <v>594</v>
      </c>
      <c r="G153" s="4" t="s">
        <v>26</v>
      </c>
      <c r="H153" s="4" t="s">
        <v>1042</v>
      </c>
      <c r="I153" s="12">
        <v>0.91</v>
      </c>
      <c r="J153" s="12">
        <v>0.91</v>
      </c>
      <c r="K153" s="12"/>
      <c r="L153" s="12"/>
      <c r="M153" s="67"/>
      <c r="N153" s="12"/>
      <c r="O153" s="12"/>
      <c r="P153" s="12"/>
      <c r="Q153" s="12"/>
      <c r="R153" s="12"/>
      <c r="S153" s="12"/>
      <c r="T153" s="12"/>
      <c r="U153" s="12"/>
      <c r="V153" s="12"/>
      <c r="W153" s="7"/>
      <c r="X153" s="12"/>
      <c r="Y153" s="7"/>
      <c r="Z153" s="7"/>
      <c r="AA153" s="7"/>
      <c r="AB153" s="8">
        <f>1/(5*10^-7)</f>
        <v>2000000</v>
      </c>
      <c r="AC153" s="8"/>
      <c r="AD153" s="4"/>
      <c r="AE153" s="4"/>
      <c r="AF153" s="4"/>
      <c r="AG153" s="4"/>
      <c r="AH153" s="9"/>
      <c r="AI153" s="9"/>
      <c r="AJ153" s="9"/>
      <c r="AK153" s="9" t="s">
        <v>30</v>
      </c>
      <c r="AL153" s="10"/>
      <c r="AM153" s="10"/>
      <c r="AN153" s="10"/>
      <c r="AO153" s="10"/>
      <c r="AP153" s="10"/>
      <c r="AQ153" s="11">
        <v>13</v>
      </c>
      <c r="AR153" s="4"/>
      <c r="AS153" s="10"/>
      <c r="AT153" s="10"/>
      <c r="AU153" s="10"/>
      <c r="AV153" s="10"/>
      <c r="AW153" s="10"/>
      <c r="AX153" s="10"/>
      <c r="AY153" s="10"/>
      <c r="AZ153" s="10"/>
      <c r="BA153" s="10"/>
      <c r="BB153" s="10"/>
      <c r="BC153" s="10"/>
      <c r="BD153" s="10"/>
    </row>
    <row r="154" spans="1:56" ht="29" x14ac:dyDescent="0.35">
      <c r="A154" s="4" t="s">
        <v>595</v>
      </c>
      <c r="B154" s="4"/>
      <c r="C154" s="4" t="s">
        <v>22</v>
      </c>
      <c r="D154" s="4" t="s">
        <v>33</v>
      </c>
      <c r="E154" s="5" t="s">
        <v>34</v>
      </c>
      <c r="F154" s="4" t="s">
        <v>594</v>
      </c>
      <c r="G154" s="4" t="s">
        <v>26</v>
      </c>
      <c r="H154" s="4" t="s">
        <v>1043</v>
      </c>
      <c r="I154" s="12">
        <v>6.8</v>
      </c>
      <c r="J154" s="12">
        <v>6.8</v>
      </c>
      <c r="K154" s="12"/>
      <c r="L154" s="12"/>
      <c r="M154" s="67"/>
      <c r="N154" s="12"/>
      <c r="O154" s="12"/>
      <c r="P154" s="12"/>
      <c r="Q154" s="12"/>
      <c r="R154" s="12"/>
      <c r="S154" s="12"/>
      <c r="T154" s="12"/>
      <c r="U154" s="12"/>
      <c r="V154" s="12"/>
      <c r="W154" s="7"/>
      <c r="X154" s="12"/>
      <c r="Y154" s="7"/>
      <c r="Z154" s="7"/>
      <c r="AA154" s="7"/>
      <c r="AB154" s="8">
        <f>1/(3*10^-6)</f>
        <v>333333.33333333331</v>
      </c>
      <c r="AC154" s="8"/>
      <c r="AD154" s="4"/>
      <c r="AE154" s="4"/>
      <c r="AF154" s="4"/>
      <c r="AG154" s="4"/>
      <c r="AH154" s="9"/>
      <c r="AI154" s="9"/>
      <c r="AJ154" s="9"/>
      <c r="AK154" s="9" t="s">
        <v>30</v>
      </c>
      <c r="AL154" s="10"/>
      <c r="AM154" s="10"/>
      <c r="AN154" s="10"/>
      <c r="AO154" s="10"/>
      <c r="AP154" s="10"/>
      <c r="AQ154" s="11">
        <v>13</v>
      </c>
      <c r="AR154" s="4"/>
      <c r="AS154" s="10"/>
      <c r="AT154" s="10"/>
      <c r="AU154" s="10"/>
      <c r="AV154" s="10"/>
      <c r="AW154" s="10"/>
      <c r="AX154" s="10"/>
      <c r="AY154" s="10"/>
      <c r="AZ154" s="10"/>
      <c r="BA154" s="10"/>
      <c r="BB154" s="10"/>
      <c r="BC154" s="10"/>
      <c r="BD154" s="10"/>
    </row>
    <row r="155" spans="1:56" ht="29" x14ac:dyDescent="0.35">
      <c r="A155" s="4" t="s">
        <v>596</v>
      </c>
      <c r="B155" s="4"/>
      <c r="C155" s="4" t="s">
        <v>22</v>
      </c>
      <c r="D155" s="4" t="s">
        <v>33</v>
      </c>
      <c r="E155" s="5" t="s">
        <v>34</v>
      </c>
      <c r="F155" s="4" t="s">
        <v>594</v>
      </c>
      <c r="G155" s="4" t="s">
        <v>26</v>
      </c>
      <c r="H155" s="4" t="s">
        <v>1042</v>
      </c>
      <c r="I155" s="12">
        <v>0.2</v>
      </c>
      <c r="J155" s="12">
        <v>0.2</v>
      </c>
      <c r="K155" s="12"/>
      <c r="L155" s="12"/>
      <c r="M155" s="67"/>
      <c r="N155" s="12"/>
      <c r="O155" s="12"/>
      <c r="P155" s="12"/>
      <c r="Q155" s="12"/>
      <c r="R155" s="12"/>
      <c r="S155" s="12"/>
      <c r="T155" s="12"/>
      <c r="U155" s="12"/>
      <c r="V155" s="12"/>
      <c r="W155" s="7"/>
      <c r="X155" s="12"/>
      <c r="Y155" s="7"/>
      <c r="Z155" s="7"/>
      <c r="AA155" s="7"/>
      <c r="AB155" s="8">
        <f>1/(1*10^-5)</f>
        <v>99999.999999999985</v>
      </c>
      <c r="AC155" s="8"/>
      <c r="AD155" s="4"/>
      <c r="AE155" s="4"/>
      <c r="AF155" s="4"/>
      <c r="AG155" s="4"/>
      <c r="AH155" s="9"/>
      <c r="AI155" s="9"/>
      <c r="AJ155" s="9"/>
      <c r="AK155" s="9" t="s">
        <v>30</v>
      </c>
      <c r="AL155" s="10"/>
      <c r="AM155" s="10"/>
      <c r="AN155" s="10"/>
      <c r="AO155" s="10"/>
      <c r="AP155" s="10"/>
      <c r="AQ155" s="11">
        <v>13</v>
      </c>
      <c r="AR155" s="4"/>
      <c r="AS155" s="10"/>
      <c r="AT155" s="10"/>
      <c r="AU155" s="10"/>
      <c r="AV155" s="10"/>
      <c r="AW155" s="10"/>
      <c r="AX155" s="10"/>
      <c r="AY155" s="10"/>
      <c r="AZ155" s="10"/>
      <c r="BA155" s="10"/>
      <c r="BB155" s="10"/>
      <c r="BC155" s="10"/>
      <c r="BD155" s="10"/>
    </row>
    <row r="156" spans="1:56" ht="29" x14ac:dyDescent="0.35">
      <c r="A156" s="4" t="s">
        <v>597</v>
      </c>
      <c r="B156" s="4"/>
      <c r="C156" s="4" t="s">
        <v>22</v>
      </c>
      <c r="D156" s="4" t="s">
        <v>33</v>
      </c>
      <c r="E156" s="5" t="s">
        <v>34</v>
      </c>
      <c r="F156" s="4" t="s">
        <v>594</v>
      </c>
      <c r="G156" s="4" t="s">
        <v>26</v>
      </c>
      <c r="H156" s="4" t="s">
        <v>1042</v>
      </c>
      <c r="I156" s="12">
        <v>0.91</v>
      </c>
      <c r="J156" s="12">
        <v>0.91</v>
      </c>
      <c r="K156" s="12"/>
      <c r="L156" s="12"/>
      <c r="M156" s="67"/>
      <c r="N156" s="12"/>
      <c r="O156" s="12"/>
      <c r="P156" s="12"/>
      <c r="Q156" s="12"/>
      <c r="R156" s="12"/>
      <c r="S156" s="12"/>
      <c r="T156" s="12"/>
      <c r="U156" s="12"/>
      <c r="V156" s="12"/>
      <c r="W156" s="7"/>
      <c r="X156" s="12"/>
      <c r="Y156" s="7"/>
      <c r="Z156" s="7"/>
      <c r="AA156" s="7"/>
      <c r="AB156" s="8">
        <f>1/(1*10^-6)</f>
        <v>1000000</v>
      </c>
      <c r="AC156" s="8"/>
      <c r="AD156" s="4"/>
      <c r="AE156" s="4"/>
      <c r="AF156" s="4"/>
      <c r="AG156" s="4"/>
      <c r="AH156" s="9"/>
      <c r="AI156" s="9"/>
      <c r="AJ156" s="9"/>
      <c r="AK156" s="9" t="s">
        <v>30</v>
      </c>
      <c r="AL156" s="10"/>
      <c r="AM156" s="10"/>
      <c r="AN156" s="10"/>
      <c r="AO156" s="10"/>
      <c r="AP156" s="10"/>
      <c r="AQ156" s="11">
        <v>13</v>
      </c>
      <c r="AR156" s="4"/>
      <c r="AS156" s="10"/>
      <c r="AT156" s="10"/>
      <c r="AU156" s="10"/>
      <c r="AV156" s="10"/>
      <c r="AW156" s="10"/>
      <c r="AX156" s="10"/>
      <c r="AY156" s="10"/>
      <c r="AZ156" s="10"/>
      <c r="BA156" s="10"/>
      <c r="BB156" s="10"/>
      <c r="BC156" s="10"/>
      <c r="BD156" s="10"/>
    </row>
    <row r="157" spans="1:56" ht="29" x14ac:dyDescent="0.35">
      <c r="A157" s="4" t="s">
        <v>598</v>
      </c>
      <c r="B157" s="4"/>
      <c r="C157" s="4" t="s">
        <v>22</v>
      </c>
      <c r="D157" s="4" t="s">
        <v>33</v>
      </c>
      <c r="E157" s="5" t="s">
        <v>34</v>
      </c>
      <c r="F157" s="4" t="s">
        <v>594</v>
      </c>
      <c r="G157" s="4" t="s">
        <v>26</v>
      </c>
      <c r="H157" s="4" t="s">
        <v>1042</v>
      </c>
      <c r="I157" s="12">
        <v>0.2</v>
      </c>
      <c r="J157" s="12">
        <v>0.2</v>
      </c>
      <c r="K157" s="12"/>
      <c r="L157" s="12"/>
      <c r="M157" s="67"/>
      <c r="N157" s="12"/>
      <c r="O157" s="12"/>
      <c r="P157" s="12"/>
      <c r="Q157" s="12"/>
      <c r="R157" s="12"/>
      <c r="S157" s="12"/>
      <c r="T157" s="12"/>
      <c r="U157" s="12"/>
      <c r="V157" s="12"/>
      <c r="W157" s="7"/>
      <c r="X157" s="12"/>
      <c r="Y157" s="7"/>
      <c r="Z157" s="7"/>
      <c r="AA157" s="7"/>
      <c r="AB157" s="8">
        <f>1/(2.14*10^-6)</f>
        <v>467289.71962616825</v>
      </c>
      <c r="AC157" s="8"/>
      <c r="AD157" s="4"/>
      <c r="AE157" s="4"/>
      <c r="AF157" s="4"/>
      <c r="AG157" s="4"/>
      <c r="AH157" s="9"/>
      <c r="AI157" s="9"/>
      <c r="AJ157" s="9"/>
      <c r="AK157" s="9" t="s">
        <v>30</v>
      </c>
      <c r="AL157" s="10"/>
      <c r="AM157" s="10"/>
      <c r="AN157" s="10"/>
      <c r="AO157" s="10"/>
      <c r="AP157" s="10"/>
      <c r="AQ157" s="11">
        <v>13</v>
      </c>
      <c r="AR157" s="4"/>
      <c r="AS157" s="10"/>
      <c r="AT157" s="10"/>
      <c r="AU157" s="10"/>
      <c r="AV157" s="10"/>
      <c r="AW157" s="10"/>
      <c r="AX157" s="10"/>
      <c r="AY157" s="10"/>
      <c r="AZ157" s="10"/>
      <c r="BA157" s="10"/>
      <c r="BB157" s="10"/>
      <c r="BC157" s="10"/>
      <c r="BD157" s="10"/>
    </row>
    <row r="158" spans="1:56" ht="29" x14ac:dyDescent="0.35">
      <c r="A158" s="4" t="s">
        <v>599</v>
      </c>
      <c r="B158" s="4"/>
      <c r="C158" s="4" t="s">
        <v>22</v>
      </c>
      <c r="D158" s="4" t="s">
        <v>33</v>
      </c>
      <c r="E158" s="5" t="s">
        <v>34</v>
      </c>
      <c r="F158" s="4" t="s">
        <v>594</v>
      </c>
      <c r="G158" s="4" t="s">
        <v>26</v>
      </c>
      <c r="H158" s="4" t="s">
        <v>1045</v>
      </c>
      <c r="I158" s="12">
        <v>2.09</v>
      </c>
      <c r="J158" s="12">
        <v>2.09</v>
      </c>
      <c r="K158" s="12"/>
      <c r="L158" s="12"/>
      <c r="M158" s="67"/>
      <c r="N158" s="12"/>
      <c r="O158" s="12"/>
      <c r="P158" s="12"/>
      <c r="Q158" s="12"/>
      <c r="R158" s="12"/>
      <c r="S158" s="12"/>
      <c r="T158" s="12"/>
      <c r="U158" s="12"/>
      <c r="V158" s="12"/>
      <c r="W158" s="7"/>
      <c r="X158" s="12"/>
      <c r="Y158" s="7"/>
      <c r="Z158" s="7"/>
      <c r="AA158" s="7"/>
      <c r="AB158" s="8">
        <f>1/(5*10^-6)</f>
        <v>200000.00000000003</v>
      </c>
      <c r="AC158" s="8"/>
      <c r="AD158" s="4"/>
      <c r="AE158" s="4"/>
      <c r="AF158" s="4"/>
      <c r="AG158" s="4"/>
      <c r="AH158" s="9"/>
      <c r="AI158" s="9"/>
      <c r="AJ158" s="9"/>
      <c r="AK158" s="9" t="s">
        <v>30</v>
      </c>
      <c r="AL158" s="10"/>
      <c r="AM158" s="10"/>
      <c r="AN158" s="10"/>
      <c r="AO158" s="10"/>
      <c r="AP158" s="10"/>
      <c r="AQ158" s="11">
        <v>13</v>
      </c>
      <c r="AR158" s="4"/>
      <c r="AS158" s="10"/>
      <c r="AT158" s="10"/>
      <c r="AU158" s="10"/>
      <c r="AV158" s="10"/>
      <c r="AW158" s="10"/>
      <c r="AX158" s="10"/>
      <c r="AY158" s="10"/>
      <c r="AZ158" s="10"/>
      <c r="BA158" s="10"/>
      <c r="BB158" s="10"/>
      <c r="BC158" s="10"/>
      <c r="BD158" s="10"/>
    </row>
    <row r="159" spans="1:56" ht="29" x14ac:dyDescent="0.35">
      <c r="A159" s="4" t="s">
        <v>600</v>
      </c>
      <c r="B159" s="4"/>
      <c r="C159" s="4" t="s">
        <v>22</v>
      </c>
      <c r="D159" s="4" t="s">
        <v>33</v>
      </c>
      <c r="E159" s="5" t="s">
        <v>34</v>
      </c>
      <c r="F159" s="4" t="s">
        <v>594</v>
      </c>
      <c r="G159" s="4" t="s">
        <v>26</v>
      </c>
      <c r="H159" s="4" t="s">
        <v>1040</v>
      </c>
      <c r="I159" s="12">
        <v>1</v>
      </c>
      <c r="J159" s="12">
        <v>1</v>
      </c>
      <c r="K159" s="12"/>
      <c r="L159" s="12"/>
      <c r="M159" s="67"/>
      <c r="N159" s="12"/>
      <c r="O159" s="12"/>
      <c r="P159" s="12"/>
      <c r="Q159" s="12"/>
      <c r="R159" s="12"/>
      <c r="S159" s="12"/>
      <c r="T159" s="12"/>
      <c r="U159" s="12"/>
      <c r="V159" s="12"/>
      <c r="W159" s="7"/>
      <c r="X159" s="12"/>
      <c r="Y159" s="7"/>
      <c r="Z159" s="7"/>
      <c r="AA159" s="7"/>
      <c r="AB159" s="8">
        <f>1/(1*10^-5)</f>
        <v>99999.999999999985</v>
      </c>
      <c r="AC159" s="8"/>
      <c r="AD159" s="4"/>
      <c r="AE159" s="4"/>
      <c r="AF159" s="4"/>
      <c r="AG159" s="4"/>
      <c r="AH159" s="9"/>
      <c r="AI159" s="9"/>
      <c r="AJ159" s="9"/>
      <c r="AK159" s="9" t="s">
        <v>30</v>
      </c>
      <c r="AL159" s="10"/>
      <c r="AM159" s="10"/>
      <c r="AN159" s="10"/>
      <c r="AO159" s="10"/>
      <c r="AP159" s="10"/>
      <c r="AQ159" s="11">
        <v>13</v>
      </c>
      <c r="AR159" s="4"/>
      <c r="AS159" s="10"/>
      <c r="AT159" s="10"/>
      <c r="AU159" s="10"/>
      <c r="AV159" s="10"/>
      <c r="AW159" s="10"/>
      <c r="AX159" s="10"/>
      <c r="AY159" s="10"/>
      <c r="AZ159" s="10"/>
      <c r="BA159" s="10"/>
      <c r="BB159" s="10"/>
      <c r="BC159" s="10"/>
      <c r="BD159" s="10"/>
    </row>
    <row r="160" spans="1:56" ht="29" x14ac:dyDescent="0.35">
      <c r="A160" s="4" t="s">
        <v>601</v>
      </c>
      <c r="B160" s="4"/>
      <c r="C160" s="4" t="s">
        <v>22</v>
      </c>
      <c r="D160" s="4" t="s">
        <v>33</v>
      </c>
      <c r="E160" s="5" t="s">
        <v>34</v>
      </c>
      <c r="F160" s="4" t="s">
        <v>594</v>
      </c>
      <c r="G160" s="4" t="s">
        <v>26</v>
      </c>
      <c r="H160" s="4" t="s">
        <v>1042</v>
      </c>
      <c r="I160" s="12">
        <v>5.9</v>
      </c>
      <c r="J160" s="12">
        <v>5.9</v>
      </c>
      <c r="K160" s="12"/>
      <c r="L160" s="12"/>
      <c r="M160" s="67"/>
      <c r="N160" s="12"/>
      <c r="O160" s="12"/>
      <c r="P160" s="12"/>
      <c r="Q160" s="12"/>
      <c r="R160" s="12"/>
      <c r="S160" s="12"/>
      <c r="T160" s="12"/>
      <c r="U160" s="12"/>
      <c r="V160" s="12"/>
      <c r="W160" s="7"/>
      <c r="X160" s="12"/>
      <c r="Y160" s="7"/>
      <c r="Z160" s="7"/>
      <c r="AA160" s="7"/>
      <c r="AB160" s="8">
        <f>1/(1*10^-5)</f>
        <v>99999.999999999985</v>
      </c>
      <c r="AC160" s="8"/>
      <c r="AD160" s="4"/>
      <c r="AE160" s="4"/>
      <c r="AF160" s="4"/>
      <c r="AG160" s="4"/>
      <c r="AH160" s="9"/>
      <c r="AI160" s="9"/>
      <c r="AJ160" s="9"/>
      <c r="AK160" s="9" t="s">
        <v>30</v>
      </c>
      <c r="AL160" s="10"/>
      <c r="AM160" s="10"/>
      <c r="AN160" s="10"/>
      <c r="AO160" s="10"/>
      <c r="AP160" s="10"/>
      <c r="AQ160" s="11">
        <v>13</v>
      </c>
      <c r="AR160" s="4"/>
      <c r="AS160" s="10"/>
      <c r="AT160" s="10"/>
      <c r="AU160" s="10"/>
      <c r="AV160" s="10"/>
      <c r="AW160" s="10"/>
      <c r="AX160" s="10"/>
      <c r="AY160" s="10"/>
      <c r="AZ160" s="10"/>
      <c r="BA160" s="10"/>
      <c r="BB160" s="10"/>
      <c r="BC160" s="10"/>
      <c r="BD160" s="10"/>
    </row>
    <row r="161" spans="1:56" ht="29" x14ac:dyDescent="0.35">
      <c r="A161" s="4" t="s">
        <v>583</v>
      </c>
      <c r="B161" s="4"/>
      <c r="C161" s="4" t="s">
        <v>22</v>
      </c>
      <c r="D161" s="4" t="s">
        <v>33</v>
      </c>
      <c r="E161" s="5" t="s">
        <v>34</v>
      </c>
      <c r="F161" s="4" t="s">
        <v>594</v>
      </c>
      <c r="G161" s="4" t="s">
        <v>26</v>
      </c>
      <c r="H161" s="4" t="s">
        <v>1040</v>
      </c>
      <c r="I161" s="12">
        <v>3.3</v>
      </c>
      <c r="J161" s="12">
        <v>3.3</v>
      </c>
      <c r="K161" s="12"/>
      <c r="L161" s="12"/>
      <c r="M161" s="67"/>
      <c r="N161" s="12"/>
      <c r="O161" s="12"/>
      <c r="P161" s="12"/>
      <c r="Q161" s="12"/>
      <c r="R161" s="12"/>
      <c r="S161" s="12"/>
      <c r="T161" s="12"/>
      <c r="U161" s="12"/>
      <c r="V161" s="12"/>
      <c r="W161" s="7"/>
      <c r="X161" s="12"/>
      <c r="Y161" s="7"/>
      <c r="Z161" s="7"/>
      <c r="AA161" s="7"/>
      <c r="AB161" s="8">
        <v>242700</v>
      </c>
      <c r="AC161" s="8"/>
      <c r="AD161" s="4"/>
      <c r="AE161" s="4"/>
      <c r="AF161" s="4"/>
      <c r="AG161" s="4"/>
      <c r="AH161" s="9"/>
      <c r="AI161" s="9"/>
      <c r="AJ161" s="9"/>
      <c r="AK161" s="9" t="s">
        <v>30</v>
      </c>
      <c r="AL161" s="10"/>
      <c r="AM161" s="10"/>
      <c r="AN161" s="10"/>
      <c r="AO161" s="10"/>
      <c r="AP161" s="10"/>
      <c r="AQ161" s="11">
        <v>13</v>
      </c>
      <c r="AR161" s="4"/>
      <c r="AS161" s="10"/>
      <c r="AT161" s="10"/>
      <c r="AU161" s="10"/>
      <c r="AV161" s="10"/>
      <c r="AW161" s="10"/>
      <c r="AX161" s="10"/>
      <c r="AY161" s="10"/>
      <c r="AZ161" s="10"/>
      <c r="BA161" s="10"/>
      <c r="BB161" s="10"/>
      <c r="BC161" s="10"/>
      <c r="BD161" s="10"/>
    </row>
    <row r="162" spans="1:56" ht="29" x14ac:dyDescent="0.35">
      <c r="A162" s="4" t="s">
        <v>584</v>
      </c>
      <c r="B162" s="4"/>
      <c r="C162" s="4" t="s">
        <v>22</v>
      </c>
      <c r="D162" s="4" t="s">
        <v>33</v>
      </c>
      <c r="E162" s="5" t="s">
        <v>34</v>
      </c>
      <c r="F162" s="4" t="s">
        <v>594</v>
      </c>
      <c r="G162" s="4" t="s">
        <v>26</v>
      </c>
      <c r="H162" s="4" t="s">
        <v>1040</v>
      </c>
      <c r="I162" s="12">
        <v>0.2</v>
      </c>
      <c r="J162" s="12">
        <v>0.2</v>
      </c>
      <c r="K162" s="12"/>
      <c r="L162" s="12"/>
      <c r="M162" s="67"/>
      <c r="N162" s="12"/>
      <c r="O162" s="12"/>
      <c r="P162" s="12"/>
      <c r="Q162" s="12"/>
      <c r="R162" s="12"/>
      <c r="S162" s="12"/>
      <c r="T162" s="12"/>
      <c r="U162" s="12"/>
      <c r="V162" s="12"/>
      <c r="W162" s="7"/>
      <c r="X162" s="12"/>
      <c r="Y162" s="7"/>
      <c r="Z162" s="7"/>
      <c r="AA162" s="7"/>
      <c r="AB162" s="8">
        <f>1/(1*10^-6)</f>
        <v>1000000</v>
      </c>
      <c r="AC162" s="8"/>
      <c r="AD162" s="4"/>
      <c r="AE162" s="4"/>
      <c r="AF162" s="4"/>
      <c r="AG162" s="4"/>
      <c r="AH162" s="9"/>
      <c r="AI162" s="9"/>
      <c r="AJ162" s="9"/>
      <c r="AK162" s="9" t="s">
        <v>30</v>
      </c>
      <c r="AL162" s="10"/>
      <c r="AM162" s="10"/>
      <c r="AN162" s="10"/>
      <c r="AO162" s="10"/>
      <c r="AP162" s="10"/>
      <c r="AQ162" s="11">
        <v>13</v>
      </c>
      <c r="AR162" s="4"/>
      <c r="AS162" s="10"/>
      <c r="AT162" s="10"/>
      <c r="AU162" s="10"/>
      <c r="AV162" s="10"/>
      <c r="AW162" s="10"/>
      <c r="AX162" s="10"/>
      <c r="AY162" s="10"/>
      <c r="AZ162" s="10"/>
      <c r="BA162" s="10"/>
      <c r="BB162" s="10"/>
      <c r="BC162" s="10"/>
      <c r="BD162" s="10"/>
    </row>
    <row r="163" spans="1:56" ht="29" x14ac:dyDescent="0.35">
      <c r="A163" s="4" t="s">
        <v>602</v>
      </c>
      <c r="B163" s="4"/>
      <c r="C163" s="4" t="s">
        <v>22</v>
      </c>
      <c r="D163" s="4" t="s">
        <v>33</v>
      </c>
      <c r="E163" s="5" t="s">
        <v>34</v>
      </c>
      <c r="F163" s="4" t="s">
        <v>594</v>
      </c>
      <c r="G163" s="4" t="s">
        <v>26</v>
      </c>
      <c r="H163" s="4" t="s">
        <v>1042</v>
      </c>
      <c r="I163" s="12">
        <v>0.6</v>
      </c>
      <c r="J163" s="12">
        <v>0.6</v>
      </c>
      <c r="K163" s="12"/>
      <c r="L163" s="12"/>
      <c r="M163" s="67"/>
      <c r="N163" s="12"/>
      <c r="O163" s="12"/>
      <c r="P163" s="12"/>
      <c r="Q163" s="12"/>
      <c r="R163" s="12"/>
      <c r="S163" s="12"/>
      <c r="T163" s="12"/>
      <c r="U163" s="12"/>
      <c r="V163" s="12"/>
      <c r="W163" s="7"/>
      <c r="X163" s="12"/>
      <c r="Y163" s="7"/>
      <c r="Z163" s="7"/>
      <c r="AA163" s="7"/>
      <c r="AB163" s="8">
        <f>1/(1*10^-5)</f>
        <v>99999.999999999985</v>
      </c>
      <c r="AC163" s="8"/>
      <c r="AD163" s="4"/>
      <c r="AE163" s="4"/>
      <c r="AF163" s="4"/>
      <c r="AG163" s="4"/>
      <c r="AH163" s="9"/>
      <c r="AI163" s="9"/>
      <c r="AJ163" s="9"/>
      <c r="AK163" s="9" t="s">
        <v>30</v>
      </c>
      <c r="AL163" s="10"/>
      <c r="AM163" s="10"/>
      <c r="AN163" s="10"/>
      <c r="AO163" s="10"/>
      <c r="AP163" s="10"/>
      <c r="AQ163" s="11">
        <v>13</v>
      </c>
      <c r="AR163" s="4"/>
      <c r="AS163" s="10"/>
      <c r="AT163" s="10"/>
      <c r="AU163" s="10"/>
      <c r="AV163" s="10"/>
      <c r="AW163" s="10"/>
      <c r="AX163" s="10"/>
      <c r="AY163" s="10"/>
      <c r="AZ163" s="10"/>
      <c r="BA163" s="10"/>
      <c r="BB163" s="10"/>
      <c r="BC163" s="10"/>
      <c r="BD163" s="10"/>
    </row>
    <row r="164" spans="1:56" ht="29" x14ac:dyDescent="0.35">
      <c r="A164" s="4" t="s">
        <v>603</v>
      </c>
      <c r="B164" s="4"/>
      <c r="C164" s="4" t="s">
        <v>22</v>
      </c>
      <c r="D164" s="4" t="s">
        <v>33</v>
      </c>
      <c r="E164" s="5" t="s">
        <v>34</v>
      </c>
      <c r="F164" s="4" t="s">
        <v>594</v>
      </c>
      <c r="G164" s="4" t="s">
        <v>26</v>
      </c>
      <c r="H164" s="4" t="s">
        <v>1042</v>
      </c>
      <c r="I164" s="12">
        <v>1.36</v>
      </c>
      <c r="J164" s="12">
        <v>1.36</v>
      </c>
      <c r="K164" s="12"/>
      <c r="L164" s="12"/>
      <c r="M164" s="67"/>
      <c r="N164" s="12"/>
      <c r="O164" s="12"/>
      <c r="P164" s="12"/>
      <c r="Q164" s="12"/>
      <c r="R164" s="12"/>
      <c r="S164" s="12"/>
      <c r="T164" s="12"/>
      <c r="U164" s="12"/>
      <c r="V164" s="12"/>
      <c r="W164" s="7"/>
      <c r="X164" s="12"/>
      <c r="Y164" s="7"/>
      <c r="Z164" s="7"/>
      <c r="AA164" s="7"/>
      <c r="AB164" s="8">
        <f>1/(1*10^-5)</f>
        <v>99999.999999999985</v>
      </c>
      <c r="AC164" s="8"/>
      <c r="AD164" s="4"/>
      <c r="AE164" s="4"/>
      <c r="AF164" s="4"/>
      <c r="AG164" s="4"/>
      <c r="AH164" s="9"/>
      <c r="AI164" s="9"/>
      <c r="AJ164" s="9"/>
      <c r="AK164" s="9" t="s">
        <v>30</v>
      </c>
      <c r="AL164" s="10"/>
      <c r="AM164" s="10"/>
      <c r="AN164" s="10"/>
      <c r="AO164" s="10"/>
      <c r="AP164" s="10"/>
      <c r="AQ164" s="11">
        <v>13</v>
      </c>
      <c r="AR164" s="4"/>
      <c r="AS164" s="10"/>
      <c r="AT164" s="10"/>
      <c r="AU164" s="10"/>
      <c r="AV164" s="10"/>
      <c r="AW164" s="10"/>
      <c r="AX164" s="10"/>
      <c r="AY164" s="10"/>
      <c r="AZ164" s="10"/>
      <c r="BA164" s="10"/>
      <c r="BB164" s="10"/>
      <c r="BC164" s="10"/>
      <c r="BD164" s="10"/>
    </row>
    <row r="165" spans="1:56" ht="29" x14ac:dyDescent="0.35">
      <c r="A165" s="4" t="s">
        <v>586</v>
      </c>
      <c r="B165" s="4"/>
      <c r="C165" s="4" t="s">
        <v>22</v>
      </c>
      <c r="D165" s="4" t="s">
        <v>33</v>
      </c>
      <c r="E165" s="5" t="s">
        <v>34</v>
      </c>
      <c r="F165" s="4" t="s">
        <v>594</v>
      </c>
      <c r="G165" s="4" t="s">
        <v>26</v>
      </c>
      <c r="H165" s="4" t="s">
        <v>1040</v>
      </c>
      <c r="I165" s="12">
        <v>0.2</v>
      </c>
      <c r="J165" s="12">
        <v>0.2</v>
      </c>
      <c r="K165" s="12"/>
      <c r="L165" s="12"/>
      <c r="M165" s="67"/>
      <c r="N165" s="12"/>
      <c r="O165" s="12"/>
      <c r="P165" s="12"/>
      <c r="Q165" s="12"/>
      <c r="R165" s="12"/>
      <c r="S165" s="12"/>
      <c r="T165" s="12"/>
      <c r="U165" s="12"/>
      <c r="V165" s="12"/>
      <c r="W165" s="7"/>
      <c r="X165" s="12"/>
      <c r="Y165" s="7"/>
      <c r="Z165" s="7"/>
      <c r="AA165" s="7"/>
      <c r="AB165" s="8">
        <f>1/(1*10^-5)</f>
        <v>99999.999999999985</v>
      </c>
      <c r="AC165" s="8"/>
      <c r="AD165" s="4"/>
      <c r="AE165" s="4"/>
      <c r="AF165" s="4"/>
      <c r="AG165" s="4"/>
      <c r="AH165" s="9"/>
      <c r="AI165" s="9"/>
      <c r="AJ165" s="9"/>
      <c r="AK165" s="9" t="s">
        <v>30</v>
      </c>
      <c r="AL165" s="10"/>
      <c r="AM165" s="10"/>
      <c r="AN165" s="10"/>
      <c r="AO165" s="10"/>
      <c r="AP165" s="10"/>
      <c r="AQ165" s="11">
        <v>13</v>
      </c>
      <c r="AR165" s="4"/>
      <c r="AS165" s="10"/>
      <c r="AT165" s="10"/>
      <c r="AU165" s="10"/>
      <c r="AV165" s="10"/>
      <c r="AW165" s="10"/>
      <c r="AX165" s="10"/>
      <c r="AY165" s="10"/>
      <c r="AZ165" s="10"/>
      <c r="BA165" s="10"/>
      <c r="BB165" s="10"/>
      <c r="BC165" s="10"/>
      <c r="BD165" s="10"/>
    </row>
    <row r="166" spans="1:56" ht="29" x14ac:dyDescent="0.35">
      <c r="A166" s="4" t="s">
        <v>590</v>
      </c>
      <c r="B166" s="4"/>
      <c r="C166" s="4" t="s">
        <v>22</v>
      </c>
      <c r="D166" s="4" t="s">
        <v>33</v>
      </c>
      <c r="E166" s="5" t="s">
        <v>34</v>
      </c>
      <c r="F166" s="4" t="s">
        <v>594</v>
      </c>
      <c r="G166" s="4" t="s">
        <v>26</v>
      </c>
      <c r="H166" s="4" t="s">
        <v>1040</v>
      </c>
      <c r="I166" s="12">
        <v>0.1</v>
      </c>
      <c r="J166" s="12">
        <v>0.1</v>
      </c>
      <c r="K166" s="12"/>
      <c r="L166" s="12"/>
      <c r="M166" s="67"/>
      <c r="N166" s="12"/>
      <c r="O166" s="12"/>
      <c r="P166" s="12"/>
      <c r="Q166" s="12"/>
      <c r="R166" s="12"/>
      <c r="S166" s="12"/>
      <c r="T166" s="12"/>
      <c r="U166" s="12"/>
      <c r="V166" s="12"/>
      <c r="W166" s="7"/>
      <c r="X166" s="12"/>
      <c r="Y166" s="7"/>
      <c r="Z166" s="7"/>
      <c r="AA166" s="7"/>
      <c r="AB166" s="8">
        <f t="shared" ref="AB166:AB172" si="0">1/(1*10^-5)</f>
        <v>99999.999999999985</v>
      </c>
      <c r="AC166" s="8"/>
      <c r="AD166" s="4"/>
      <c r="AE166" s="4"/>
      <c r="AF166" s="4"/>
      <c r="AG166" s="4"/>
      <c r="AH166" s="9"/>
      <c r="AI166" s="9"/>
      <c r="AJ166" s="9"/>
      <c r="AK166" s="9" t="s">
        <v>30</v>
      </c>
      <c r="AL166" s="10"/>
      <c r="AM166" s="10"/>
      <c r="AN166" s="10"/>
      <c r="AO166" s="10"/>
      <c r="AP166" s="10"/>
      <c r="AQ166" s="11">
        <v>13</v>
      </c>
      <c r="AR166" s="4"/>
      <c r="AS166" s="10"/>
      <c r="AT166" s="10"/>
      <c r="AU166" s="10"/>
      <c r="AV166" s="10"/>
      <c r="AW166" s="10"/>
      <c r="AX166" s="10"/>
      <c r="AY166" s="10"/>
      <c r="AZ166" s="10"/>
      <c r="BA166" s="10"/>
      <c r="BB166" s="10"/>
      <c r="BC166" s="10"/>
      <c r="BD166" s="10"/>
    </row>
    <row r="167" spans="1:56" ht="29" x14ac:dyDescent="0.35">
      <c r="A167" s="4" t="s">
        <v>592</v>
      </c>
      <c r="B167" s="4"/>
      <c r="C167" s="4" t="s">
        <v>22</v>
      </c>
      <c r="D167" s="4" t="s">
        <v>33</v>
      </c>
      <c r="E167" s="5" t="s">
        <v>34</v>
      </c>
      <c r="F167" s="4" t="s">
        <v>594</v>
      </c>
      <c r="G167" s="4" t="s">
        <v>26</v>
      </c>
      <c r="H167" s="4" t="s">
        <v>1042</v>
      </c>
      <c r="I167" s="12">
        <v>2.09</v>
      </c>
      <c r="J167" s="12">
        <v>2.09</v>
      </c>
      <c r="K167" s="12"/>
      <c r="L167" s="12"/>
      <c r="M167" s="67"/>
      <c r="N167" s="12"/>
      <c r="O167" s="12"/>
      <c r="P167" s="12"/>
      <c r="Q167" s="12"/>
      <c r="R167" s="12"/>
      <c r="S167" s="12"/>
      <c r="T167" s="12"/>
      <c r="U167" s="12"/>
      <c r="V167" s="12"/>
      <c r="W167" s="7"/>
      <c r="X167" s="12"/>
      <c r="Y167" s="7"/>
      <c r="Z167" s="7"/>
      <c r="AA167" s="7"/>
      <c r="AB167" s="8">
        <f t="shared" si="0"/>
        <v>99999.999999999985</v>
      </c>
      <c r="AC167" s="8"/>
      <c r="AD167" s="4"/>
      <c r="AE167" s="4"/>
      <c r="AF167" s="4"/>
      <c r="AG167" s="4"/>
      <c r="AH167" s="9"/>
      <c r="AI167" s="9"/>
      <c r="AJ167" s="9"/>
      <c r="AK167" s="9" t="s">
        <v>30</v>
      </c>
      <c r="AL167" s="10"/>
      <c r="AM167" s="10"/>
      <c r="AN167" s="10"/>
      <c r="AO167" s="10"/>
      <c r="AP167" s="10"/>
      <c r="AQ167" s="11">
        <v>13</v>
      </c>
      <c r="AR167" s="4"/>
      <c r="AS167" s="10"/>
      <c r="AT167" s="10"/>
      <c r="AU167" s="10"/>
      <c r="AV167" s="10"/>
      <c r="AW167" s="10"/>
      <c r="AX167" s="10"/>
      <c r="AY167" s="10"/>
      <c r="AZ167" s="10"/>
      <c r="BA167" s="10"/>
      <c r="BB167" s="10"/>
      <c r="BC167" s="10"/>
      <c r="BD167" s="10"/>
    </row>
    <row r="168" spans="1:56" ht="29" x14ac:dyDescent="0.35">
      <c r="A168" s="4" t="s">
        <v>604</v>
      </c>
      <c r="B168" s="4"/>
      <c r="C168" s="4" t="s">
        <v>22</v>
      </c>
      <c r="D168" s="4" t="s">
        <v>33</v>
      </c>
      <c r="E168" s="5" t="s">
        <v>34</v>
      </c>
      <c r="F168" s="4" t="s">
        <v>594</v>
      </c>
      <c r="G168" s="4" t="s">
        <v>26</v>
      </c>
      <c r="H168" s="4" t="s">
        <v>1042</v>
      </c>
      <c r="I168" s="12">
        <v>2</v>
      </c>
      <c r="J168" s="12">
        <v>2</v>
      </c>
      <c r="K168" s="12"/>
      <c r="L168" s="12"/>
      <c r="M168" s="67"/>
      <c r="N168" s="12"/>
      <c r="O168" s="12"/>
      <c r="P168" s="12"/>
      <c r="Q168" s="12"/>
      <c r="R168" s="12"/>
      <c r="S168" s="12"/>
      <c r="T168" s="12"/>
      <c r="U168" s="12"/>
      <c r="V168" s="12"/>
      <c r="W168" s="7"/>
      <c r="X168" s="12"/>
      <c r="Y168" s="7"/>
      <c r="Z168" s="7"/>
      <c r="AA168" s="7"/>
      <c r="AB168" s="8">
        <f t="shared" si="0"/>
        <v>99999.999999999985</v>
      </c>
      <c r="AC168" s="8"/>
      <c r="AD168" s="4"/>
      <c r="AE168" s="4"/>
      <c r="AF168" s="4"/>
      <c r="AG168" s="4"/>
      <c r="AH168" s="9"/>
      <c r="AI168" s="9"/>
      <c r="AJ168" s="9"/>
      <c r="AK168" s="9" t="s">
        <v>30</v>
      </c>
      <c r="AL168" s="10"/>
      <c r="AM168" s="10"/>
      <c r="AN168" s="10"/>
      <c r="AO168" s="10"/>
      <c r="AP168" s="10"/>
      <c r="AQ168" s="11">
        <v>13</v>
      </c>
      <c r="AR168" s="4"/>
      <c r="AS168" s="10"/>
      <c r="AT168" s="10"/>
      <c r="AU168" s="10"/>
      <c r="AV168" s="10"/>
      <c r="AW168" s="10"/>
      <c r="AX168" s="10"/>
      <c r="AY168" s="10"/>
      <c r="AZ168" s="10"/>
      <c r="BA168" s="10"/>
      <c r="BB168" s="10"/>
      <c r="BC168" s="10"/>
      <c r="BD168" s="10"/>
    </row>
    <row r="169" spans="1:56" ht="29" x14ac:dyDescent="0.35">
      <c r="A169" s="4" t="s">
        <v>605</v>
      </c>
      <c r="B169" s="4"/>
      <c r="C169" s="4" t="s">
        <v>22</v>
      </c>
      <c r="D169" s="4" t="s">
        <v>33</v>
      </c>
      <c r="E169" s="5" t="s">
        <v>34</v>
      </c>
      <c r="F169" s="4" t="s">
        <v>594</v>
      </c>
      <c r="G169" s="4" t="s">
        <v>26</v>
      </c>
      <c r="H169" s="4" t="s">
        <v>1044</v>
      </c>
      <c r="I169" s="12">
        <v>0.23</v>
      </c>
      <c r="J169" s="12">
        <v>0.23</v>
      </c>
      <c r="K169" s="12"/>
      <c r="L169" s="12"/>
      <c r="M169" s="67"/>
      <c r="N169" s="12"/>
      <c r="O169" s="12"/>
      <c r="P169" s="12"/>
      <c r="Q169" s="12"/>
      <c r="R169" s="12"/>
      <c r="S169" s="12"/>
      <c r="T169" s="12"/>
      <c r="U169" s="12"/>
      <c r="V169" s="12"/>
      <c r="W169" s="7"/>
      <c r="X169" s="12"/>
      <c r="Y169" s="7"/>
      <c r="Z169" s="7"/>
      <c r="AA169" s="7"/>
      <c r="AB169" s="8">
        <f t="shared" si="0"/>
        <v>99999.999999999985</v>
      </c>
      <c r="AC169" s="8"/>
      <c r="AD169" s="4"/>
      <c r="AE169" s="4"/>
      <c r="AF169" s="4"/>
      <c r="AG169" s="4"/>
      <c r="AH169" s="9"/>
      <c r="AI169" s="9"/>
      <c r="AJ169" s="9"/>
      <c r="AK169" s="9" t="s">
        <v>30</v>
      </c>
      <c r="AL169" s="10"/>
      <c r="AM169" s="10"/>
      <c r="AN169" s="10"/>
      <c r="AO169" s="10"/>
      <c r="AP169" s="10"/>
      <c r="AQ169" s="11">
        <v>13</v>
      </c>
      <c r="AR169" s="4"/>
      <c r="AS169" s="10"/>
      <c r="AT169" s="10"/>
      <c r="AU169" s="10"/>
      <c r="AV169" s="10"/>
      <c r="AW169" s="10"/>
      <c r="AX169" s="10"/>
      <c r="AY169" s="10"/>
      <c r="AZ169" s="10"/>
      <c r="BA169" s="10"/>
      <c r="BB169" s="10"/>
      <c r="BC169" s="10"/>
      <c r="BD169" s="10"/>
    </row>
    <row r="170" spans="1:56" ht="29" x14ac:dyDescent="0.35">
      <c r="A170" s="4" t="s">
        <v>606</v>
      </c>
      <c r="B170" s="4"/>
      <c r="C170" s="4" t="s">
        <v>22</v>
      </c>
      <c r="D170" s="4" t="s">
        <v>33</v>
      </c>
      <c r="E170" s="5" t="s">
        <v>34</v>
      </c>
      <c r="F170" s="4" t="s">
        <v>594</v>
      </c>
      <c r="G170" s="4" t="s">
        <v>26</v>
      </c>
      <c r="H170" s="4" t="s">
        <v>1042</v>
      </c>
      <c r="I170" s="12">
        <v>0.45</v>
      </c>
      <c r="J170" s="12">
        <v>0.45</v>
      </c>
      <c r="K170" s="12"/>
      <c r="L170" s="12"/>
      <c r="M170" s="67"/>
      <c r="N170" s="12"/>
      <c r="O170" s="12"/>
      <c r="P170" s="12"/>
      <c r="Q170" s="12"/>
      <c r="R170" s="12"/>
      <c r="S170" s="12"/>
      <c r="T170" s="12"/>
      <c r="U170" s="12"/>
      <c r="V170" s="12"/>
      <c r="W170" s="7"/>
      <c r="X170" s="12"/>
      <c r="Y170" s="7"/>
      <c r="Z170" s="7"/>
      <c r="AA170" s="7"/>
      <c r="AB170" s="8">
        <f t="shared" si="0"/>
        <v>99999.999999999985</v>
      </c>
      <c r="AC170" s="8"/>
      <c r="AD170" s="4"/>
      <c r="AE170" s="4"/>
      <c r="AF170" s="4"/>
      <c r="AG170" s="4"/>
      <c r="AH170" s="9"/>
      <c r="AI170" s="9"/>
      <c r="AJ170" s="9"/>
      <c r="AK170" s="9" t="s">
        <v>30</v>
      </c>
      <c r="AL170" s="10"/>
      <c r="AM170" s="10"/>
      <c r="AN170" s="10"/>
      <c r="AO170" s="10"/>
      <c r="AP170" s="10"/>
      <c r="AQ170" s="11">
        <v>13</v>
      </c>
      <c r="AR170" s="4"/>
      <c r="AS170" s="10"/>
      <c r="AT170" s="10"/>
      <c r="AU170" s="10"/>
      <c r="AV170" s="10"/>
      <c r="AW170" s="10"/>
      <c r="AX170" s="10"/>
      <c r="AY170" s="10"/>
      <c r="AZ170" s="10"/>
      <c r="BA170" s="10"/>
      <c r="BB170" s="10"/>
      <c r="BC170" s="10"/>
      <c r="BD170" s="10"/>
    </row>
    <row r="171" spans="1:56" ht="29" x14ac:dyDescent="0.35">
      <c r="A171" s="4" t="s">
        <v>607</v>
      </c>
      <c r="B171" s="4"/>
      <c r="C171" s="4" t="s">
        <v>22</v>
      </c>
      <c r="D171" s="4" t="s">
        <v>33</v>
      </c>
      <c r="E171" s="5" t="s">
        <v>34</v>
      </c>
      <c r="F171" s="4" t="s">
        <v>594</v>
      </c>
      <c r="G171" s="4" t="s">
        <v>26</v>
      </c>
      <c r="H171" s="4" t="s">
        <v>1040</v>
      </c>
      <c r="I171" s="12">
        <v>1.36</v>
      </c>
      <c r="J171" s="12">
        <v>1.36</v>
      </c>
      <c r="K171" s="12"/>
      <c r="L171" s="12"/>
      <c r="M171" s="67"/>
      <c r="N171" s="12"/>
      <c r="O171" s="12"/>
      <c r="P171" s="12"/>
      <c r="Q171" s="12"/>
      <c r="R171" s="12"/>
      <c r="S171" s="12"/>
      <c r="T171" s="12"/>
      <c r="U171" s="12"/>
      <c r="V171" s="12"/>
      <c r="W171" s="7"/>
      <c r="X171" s="12"/>
      <c r="Y171" s="7"/>
      <c r="Z171" s="7"/>
      <c r="AA171" s="7"/>
      <c r="AB171" s="8">
        <f t="shared" si="0"/>
        <v>99999.999999999985</v>
      </c>
      <c r="AC171" s="8"/>
      <c r="AD171" s="4"/>
      <c r="AE171" s="4"/>
      <c r="AF171" s="4"/>
      <c r="AG171" s="4"/>
      <c r="AH171" s="9"/>
      <c r="AI171" s="9"/>
      <c r="AJ171" s="9"/>
      <c r="AK171" s="9" t="s">
        <v>30</v>
      </c>
      <c r="AL171" s="10"/>
      <c r="AM171" s="10"/>
      <c r="AN171" s="10"/>
      <c r="AO171" s="10"/>
      <c r="AP171" s="10"/>
      <c r="AQ171" s="11">
        <v>13</v>
      </c>
      <c r="AR171" s="4"/>
      <c r="AS171" s="10"/>
      <c r="AT171" s="10"/>
      <c r="AU171" s="10"/>
      <c r="AV171" s="10"/>
      <c r="AW171" s="10"/>
      <c r="AX171" s="10"/>
      <c r="AY171" s="10"/>
      <c r="AZ171" s="10"/>
      <c r="BA171" s="10"/>
      <c r="BB171" s="10"/>
      <c r="BC171" s="10"/>
      <c r="BD171" s="10"/>
    </row>
    <row r="172" spans="1:56" ht="29" x14ac:dyDescent="0.35">
      <c r="A172" s="4" t="s">
        <v>608</v>
      </c>
      <c r="B172" s="4"/>
      <c r="C172" s="4" t="s">
        <v>22</v>
      </c>
      <c r="D172" s="4" t="s">
        <v>33</v>
      </c>
      <c r="E172" s="5" t="s">
        <v>34</v>
      </c>
      <c r="F172" s="4" t="s">
        <v>594</v>
      </c>
      <c r="G172" s="4" t="s">
        <v>26</v>
      </c>
      <c r="H172" s="4" t="s">
        <v>1042</v>
      </c>
      <c r="I172" s="12">
        <v>0.91</v>
      </c>
      <c r="J172" s="12">
        <v>0.91</v>
      </c>
      <c r="K172" s="12"/>
      <c r="L172" s="12"/>
      <c r="M172" s="67"/>
      <c r="N172" s="12"/>
      <c r="O172" s="12"/>
      <c r="P172" s="12"/>
      <c r="Q172" s="12"/>
      <c r="R172" s="12"/>
      <c r="S172" s="12"/>
      <c r="T172" s="12"/>
      <c r="U172" s="12"/>
      <c r="V172" s="12"/>
      <c r="W172" s="7"/>
      <c r="X172" s="12"/>
      <c r="Y172" s="7"/>
      <c r="Z172" s="7"/>
      <c r="AA172" s="7"/>
      <c r="AB172" s="8">
        <f t="shared" si="0"/>
        <v>99999.999999999985</v>
      </c>
      <c r="AC172" s="8"/>
      <c r="AD172" s="4"/>
      <c r="AE172" s="4"/>
      <c r="AF172" s="4"/>
      <c r="AG172" s="4"/>
      <c r="AH172" s="9"/>
      <c r="AI172" s="9"/>
      <c r="AJ172" s="9"/>
      <c r="AK172" s="9" t="s">
        <v>30</v>
      </c>
      <c r="AL172" s="10"/>
      <c r="AM172" s="10"/>
      <c r="AN172" s="10"/>
      <c r="AO172" s="10"/>
      <c r="AP172" s="10"/>
      <c r="AQ172" s="11">
        <v>13</v>
      </c>
      <c r="AR172" s="4"/>
      <c r="AS172" s="10"/>
      <c r="AT172" s="10"/>
      <c r="AU172" s="10"/>
      <c r="AV172" s="10"/>
      <c r="AW172" s="10"/>
      <c r="AX172" s="10"/>
      <c r="AY172" s="10"/>
      <c r="AZ172" s="10"/>
      <c r="BA172" s="10"/>
      <c r="BB172" s="10"/>
      <c r="BC172" s="10"/>
      <c r="BD172" s="10"/>
    </row>
    <row r="173" spans="1:56" ht="29" x14ac:dyDescent="0.35">
      <c r="A173" s="4" t="s">
        <v>609</v>
      </c>
      <c r="B173" s="4"/>
      <c r="C173" s="4" t="s">
        <v>22</v>
      </c>
      <c r="D173" s="4" t="s">
        <v>33</v>
      </c>
      <c r="E173" s="5" t="s">
        <v>34</v>
      </c>
      <c r="F173" s="4" t="s">
        <v>594</v>
      </c>
      <c r="G173" s="4" t="s">
        <v>26</v>
      </c>
      <c r="H173" s="4" t="s">
        <v>1042</v>
      </c>
      <c r="I173" s="12">
        <v>1.36</v>
      </c>
      <c r="J173" s="12">
        <v>1.36</v>
      </c>
      <c r="K173" s="12"/>
      <c r="L173" s="12"/>
      <c r="M173" s="67"/>
      <c r="N173" s="12"/>
      <c r="O173" s="12"/>
      <c r="P173" s="12"/>
      <c r="Q173" s="12"/>
      <c r="R173" s="12"/>
      <c r="S173" s="12"/>
      <c r="T173" s="12"/>
      <c r="U173" s="12"/>
      <c r="V173" s="12"/>
      <c r="W173" s="7"/>
      <c r="X173" s="12"/>
      <c r="Y173" s="7"/>
      <c r="Z173" s="7"/>
      <c r="AA173" s="7"/>
      <c r="AB173" s="8">
        <f>1/(2.33*10^-5)</f>
        <v>42918.454935622307</v>
      </c>
      <c r="AC173" s="8"/>
      <c r="AD173" s="4"/>
      <c r="AE173" s="4"/>
      <c r="AF173" s="4"/>
      <c r="AG173" s="4"/>
      <c r="AH173" s="9"/>
      <c r="AI173" s="9"/>
      <c r="AJ173" s="9"/>
      <c r="AK173" s="9" t="s">
        <v>30</v>
      </c>
      <c r="AL173" s="10"/>
      <c r="AM173" s="10"/>
      <c r="AN173" s="10"/>
      <c r="AO173" s="10"/>
      <c r="AP173" s="10"/>
      <c r="AQ173" s="11">
        <v>13</v>
      </c>
      <c r="AR173" s="4"/>
      <c r="AS173" s="10"/>
      <c r="AT173" s="10"/>
      <c r="AU173" s="10"/>
      <c r="AV173" s="10"/>
      <c r="AW173" s="10"/>
      <c r="AX173" s="10"/>
      <c r="AY173" s="10"/>
      <c r="AZ173" s="10"/>
      <c r="BA173" s="10"/>
      <c r="BB173" s="10"/>
      <c r="BC173" s="10"/>
      <c r="BD173" s="10"/>
    </row>
    <row r="174" spans="1:56" ht="29" x14ac:dyDescent="0.35">
      <c r="A174" s="4" t="s">
        <v>610</v>
      </c>
      <c r="B174" s="4"/>
      <c r="C174" s="4" t="s">
        <v>22</v>
      </c>
      <c r="D174" s="4" t="s">
        <v>33</v>
      </c>
      <c r="E174" s="5" t="s">
        <v>34</v>
      </c>
      <c r="F174" s="4" t="s">
        <v>594</v>
      </c>
      <c r="G174" s="4" t="s">
        <v>26</v>
      </c>
      <c r="H174" s="4" t="s">
        <v>1044</v>
      </c>
      <c r="I174" s="12">
        <v>0.2</v>
      </c>
      <c r="J174" s="12">
        <v>0.2</v>
      </c>
      <c r="K174" s="12"/>
      <c r="L174" s="12"/>
      <c r="M174" s="67"/>
      <c r="N174" s="12"/>
      <c r="O174" s="12"/>
      <c r="P174" s="12"/>
      <c r="Q174" s="12"/>
      <c r="R174" s="12"/>
      <c r="S174" s="12"/>
      <c r="T174" s="12"/>
      <c r="U174" s="12"/>
      <c r="V174" s="12"/>
      <c r="W174" s="7"/>
      <c r="X174" s="12"/>
      <c r="Y174" s="7"/>
      <c r="Z174" s="7"/>
      <c r="AA174" s="7"/>
      <c r="AB174" s="8"/>
      <c r="AC174" s="7"/>
      <c r="AD174" s="4"/>
      <c r="AE174" s="4"/>
      <c r="AF174" s="4"/>
      <c r="AG174" s="4"/>
      <c r="AH174" s="9"/>
      <c r="AI174" s="9"/>
      <c r="AJ174" s="9"/>
      <c r="AK174" s="9" t="s">
        <v>30</v>
      </c>
      <c r="AL174" s="10"/>
      <c r="AM174" s="10"/>
      <c r="AN174" s="10"/>
      <c r="AO174" s="10"/>
      <c r="AP174" s="10"/>
      <c r="AQ174" s="11">
        <v>13</v>
      </c>
      <c r="AR174" s="4"/>
      <c r="AS174" s="10"/>
      <c r="AT174" s="10"/>
      <c r="AU174" s="10"/>
      <c r="AV174" s="10"/>
      <c r="AW174" s="10"/>
      <c r="AX174" s="10"/>
      <c r="AY174" s="10"/>
      <c r="AZ174" s="10"/>
      <c r="BA174" s="10"/>
      <c r="BB174" s="10"/>
      <c r="BC174" s="10"/>
      <c r="BD174" s="10"/>
    </row>
    <row r="175" spans="1:56" ht="29" x14ac:dyDescent="0.35">
      <c r="A175" s="4" t="s">
        <v>611</v>
      </c>
      <c r="B175" s="4"/>
      <c r="C175" s="4" t="s">
        <v>22</v>
      </c>
      <c r="D175" s="4" t="s">
        <v>33</v>
      </c>
      <c r="E175" s="5" t="s">
        <v>34</v>
      </c>
      <c r="F175" s="4" t="s">
        <v>612</v>
      </c>
      <c r="G175" s="4" t="s">
        <v>26</v>
      </c>
      <c r="H175" s="4" t="s">
        <v>613</v>
      </c>
      <c r="I175" s="12"/>
      <c r="J175" s="12"/>
      <c r="K175" s="12"/>
      <c r="L175" s="12"/>
      <c r="M175" s="67"/>
      <c r="N175" s="12"/>
      <c r="O175" s="12"/>
      <c r="P175" s="12"/>
      <c r="Q175" s="12"/>
      <c r="R175" s="12"/>
      <c r="S175" s="12"/>
      <c r="T175" s="12"/>
      <c r="U175" s="12"/>
      <c r="V175" s="12"/>
      <c r="W175" s="7"/>
      <c r="X175" s="12"/>
      <c r="Y175" s="7"/>
      <c r="Z175" s="7"/>
      <c r="AA175" s="7"/>
      <c r="AB175" s="8">
        <v>77100</v>
      </c>
      <c r="AC175" s="8"/>
      <c r="AD175" s="4"/>
      <c r="AE175" s="4"/>
      <c r="AF175" s="4"/>
      <c r="AG175" s="4"/>
      <c r="AH175" s="9"/>
      <c r="AI175" s="9"/>
      <c r="AJ175" s="9"/>
      <c r="AK175" s="9" t="s">
        <v>30</v>
      </c>
      <c r="AL175" s="10"/>
      <c r="AM175" s="10"/>
      <c r="AN175" s="10"/>
      <c r="AO175" s="10"/>
      <c r="AP175" s="10"/>
      <c r="AQ175" s="11">
        <v>13</v>
      </c>
      <c r="AR175" s="4"/>
      <c r="AS175" s="10"/>
      <c r="AT175" s="10"/>
      <c r="AU175" s="10"/>
      <c r="AV175" s="10"/>
      <c r="AW175" s="10"/>
      <c r="AX175" s="10"/>
      <c r="AY175" s="10"/>
      <c r="AZ175" s="10"/>
      <c r="BA175" s="10"/>
      <c r="BB175" s="10"/>
      <c r="BC175" s="10"/>
      <c r="BD175" s="10"/>
    </row>
    <row r="176" spans="1:56" ht="29" x14ac:dyDescent="0.35">
      <c r="A176" s="4" t="s">
        <v>81</v>
      </c>
      <c r="B176" s="4"/>
      <c r="C176" s="4" t="s">
        <v>22</v>
      </c>
      <c r="D176" s="4" t="s">
        <v>33</v>
      </c>
      <c r="E176" s="5" t="s">
        <v>34</v>
      </c>
      <c r="F176" s="4" t="s">
        <v>612</v>
      </c>
      <c r="G176" s="4" t="s">
        <v>26</v>
      </c>
      <c r="H176" s="4" t="s">
        <v>1054</v>
      </c>
      <c r="I176" s="12">
        <v>5.6</v>
      </c>
      <c r="J176" s="12">
        <v>5.6</v>
      </c>
      <c r="K176" s="12"/>
      <c r="L176" s="12"/>
      <c r="M176" s="67"/>
      <c r="N176" s="12"/>
      <c r="O176" s="12"/>
      <c r="P176" s="12"/>
      <c r="Q176" s="12"/>
      <c r="R176" s="12"/>
      <c r="S176" s="12"/>
      <c r="T176" s="12"/>
      <c r="U176" s="12"/>
      <c r="V176" s="12"/>
      <c r="W176" s="7"/>
      <c r="X176" s="12"/>
      <c r="Y176" s="7"/>
      <c r="Z176" s="7"/>
      <c r="AA176" s="7"/>
      <c r="AB176" s="8">
        <f>1/(8*10^-6)</f>
        <v>125000</v>
      </c>
      <c r="AC176" s="8"/>
      <c r="AD176" s="4"/>
      <c r="AE176" s="4"/>
      <c r="AF176" s="4"/>
      <c r="AG176" s="4"/>
      <c r="AH176" s="9"/>
      <c r="AI176" s="9"/>
      <c r="AJ176" s="9"/>
      <c r="AK176" s="9" t="s">
        <v>30</v>
      </c>
      <c r="AL176" s="10"/>
      <c r="AM176" s="10"/>
      <c r="AN176" s="10"/>
      <c r="AO176" s="10"/>
      <c r="AP176" s="10"/>
      <c r="AQ176" s="11">
        <v>13</v>
      </c>
      <c r="AR176" s="4"/>
      <c r="AS176" s="10"/>
      <c r="AT176" s="10"/>
      <c r="AU176" s="10"/>
      <c r="AV176" s="10"/>
      <c r="AW176" s="10"/>
      <c r="AX176" s="10"/>
      <c r="AY176" s="10"/>
      <c r="AZ176" s="10"/>
      <c r="BA176" s="10"/>
      <c r="BB176" s="10"/>
      <c r="BC176" s="10"/>
      <c r="BD176" s="10"/>
    </row>
    <row r="177" spans="1:56" ht="29" x14ac:dyDescent="0.35">
      <c r="A177" s="4" t="s">
        <v>614</v>
      </c>
      <c r="B177" s="4"/>
      <c r="C177" s="4" t="s">
        <v>22</v>
      </c>
      <c r="D177" s="4" t="s">
        <v>33</v>
      </c>
      <c r="E177" s="5" t="s">
        <v>34</v>
      </c>
      <c r="F177" s="4" t="s">
        <v>612</v>
      </c>
      <c r="G177" s="4" t="s">
        <v>26</v>
      </c>
      <c r="H177" s="4" t="s">
        <v>613</v>
      </c>
      <c r="I177" s="12"/>
      <c r="J177" s="12"/>
      <c r="K177" s="12"/>
      <c r="L177" s="12"/>
      <c r="M177" s="67"/>
      <c r="N177" s="12"/>
      <c r="O177" s="12"/>
      <c r="P177" s="12"/>
      <c r="Q177" s="12"/>
      <c r="R177" s="12"/>
      <c r="S177" s="12"/>
      <c r="T177" s="12"/>
      <c r="U177" s="12"/>
      <c r="V177" s="12"/>
      <c r="W177" s="7"/>
      <c r="X177" s="12"/>
      <c r="Y177" s="7"/>
      <c r="Z177" s="7"/>
      <c r="AA177" s="7"/>
      <c r="AB177" s="8">
        <f>1/(4.67*10^-5)</f>
        <v>21413.276231263382</v>
      </c>
      <c r="AC177" s="8"/>
      <c r="AD177" s="4"/>
      <c r="AE177" s="4"/>
      <c r="AF177" s="4"/>
      <c r="AG177" s="4"/>
      <c r="AH177" s="9"/>
      <c r="AI177" s="9"/>
      <c r="AJ177" s="9"/>
      <c r="AK177" s="9" t="s">
        <v>30</v>
      </c>
      <c r="AL177" s="10"/>
      <c r="AM177" s="10"/>
      <c r="AN177" s="10"/>
      <c r="AO177" s="10"/>
      <c r="AP177" s="10"/>
      <c r="AQ177" s="11">
        <v>13</v>
      </c>
      <c r="AR177" s="4"/>
      <c r="AS177" s="10"/>
      <c r="AT177" s="10"/>
      <c r="AU177" s="10"/>
      <c r="AV177" s="10"/>
      <c r="AW177" s="10"/>
      <c r="AX177" s="10"/>
      <c r="AY177" s="10"/>
      <c r="AZ177" s="10"/>
      <c r="BA177" s="10"/>
      <c r="BB177" s="10"/>
      <c r="BC177" s="10"/>
      <c r="BD177" s="10"/>
    </row>
    <row r="178" spans="1:56" ht="29" x14ac:dyDescent="0.35">
      <c r="A178" s="4" t="s">
        <v>583</v>
      </c>
      <c r="B178" s="4"/>
      <c r="C178" s="4" t="s">
        <v>22</v>
      </c>
      <c r="D178" s="4" t="s">
        <v>33</v>
      </c>
      <c r="E178" s="5" t="s">
        <v>34</v>
      </c>
      <c r="F178" s="4" t="s">
        <v>612</v>
      </c>
      <c r="G178" s="4" t="s">
        <v>26</v>
      </c>
      <c r="H178" s="4" t="s">
        <v>613</v>
      </c>
      <c r="I178" s="12">
        <v>3.3</v>
      </c>
      <c r="J178" s="12">
        <v>3.3</v>
      </c>
      <c r="K178" s="12"/>
      <c r="L178" s="12"/>
      <c r="M178" s="67"/>
      <c r="N178" s="12"/>
      <c r="O178" s="12"/>
      <c r="P178" s="12"/>
      <c r="Q178" s="12"/>
      <c r="R178" s="12"/>
      <c r="S178" s="12"/>
      <c r="T178" s="12"/>
      <c r="U178" s="12"/>
      <c r="V178" s="12"/>
      <c r="W178" s="7"/>
      <c r="X178" s="12"/>
      <c r="Y178" s="7"/>
      <c r="Z178" s="7"/>
      <c r="AA178" s="7"/>
      <c r="AB178" s="8">
        <f>1/(5.99*10^-6)</f>
        <v>166944.9081803005</v>
      </c>
      <c r="AC178" s="8"/>
      <c r="AD178" s="4"/>
      <c r="AE178" s="4"/>
      <c r="AF178" s="4"/>
      <c r="AG178" s="4"/>
      <c r="AH178" s="9"/>
      <c r="AI178" s="9"/>
      <c r="AJ178" s="9"/>
      <c r="AK178" s="9" t="s">
        <v>30</v>
      </c>
      <c r="AL178" s="10"/>
      <c r="AM178" s="10"/>
      <c r="AN178" s="10"/>
      <c r="AO178" s="10"/>
      <c r="AP178" s="10"/>
      <c r="AQ178" s="11">
        <v>13</v>
      </c>
      <c r="AR178" s="4"/>
      <c r="AS178" s="10"/>
      <c r="AT178" s="10"/>
      <c r="AU178" s="10"/>
      <c r="AV178" s="10"/>
      <c r="AW178" s="10"/>
      <c r="AX178" s="10"/>
      <c r="AY178" s="10"/>
      <c r="AZ178" s="10"/>
      <c r="BA178" s="10"/>
      <c r="BB178" s="10"/>
      <c r="BC178" s="10"/>
      <c r="BD178" s="10"/>
    </row>
    <row r="179" spans="1:56" ht="29" x14ac:dyDescent="0.35">
      <c r="A179" s="4" t="s">
        <v>586</v>
      </c>
      <c r="B179" s="4"/>
      <c r="C179" s="4" t="s">
        <v>22</v>
      </c>
      <c r="D179" s="4" t="s">
        <v>33</v>
      </c>
      <c r="E179" s="5" t="s">
        <v>34</v>
      </c>
      <c r="F179" s="4" t="s">
        <v>612</v>
      </c>
      <c r="G179" s="4" t="s">
        <v>26</v>
      </c>
      <c r="H179" s="4" t="s">
        <v>615</v>
      </c>
      <c r="I179" s="12"/>
      <c r="J179" s="12"/>
      <c r="K179" s="12"/>
      <c r="L179" s="12"/>
      <c r="M179" s="67"/>
      <c r="N179" s="12"/>
      <c r="O179" s="12"/>
      <c r="P179" s="12"/>
      <c r="Q179" s="12"/>
      <c r="R179" s="12"/>
      <c r="S179" s="12"/>
      <c r="T179" s="12"/>
      <c r="U179" s="12"/>
      <c r="V179" s="12"/>
      <c r="W179" s="7"/>
      <c r="X179" s="12"/>
      <c r="Y179" s="7"/>
      <c r="Z179" s="7"/>
      <c r="AA179" s="7"/>
      <c r="AB179" s="8">
        <f>1/(1*10^-5)</f>
        <v>99999.999999999985</v>
      </c>
      <c r="AC179" s="8"/>
      <c r="AD179" s="4"/>
      <c r="AE179" s="4"/>
      <c r="AF179" s="4"/>
      <c r="AG179" s="4"/>
      <c r="AH179" s="9"/>
      <c r="AI179" s="9"/>
      <c r="AJ179" s="9"/>
      <c r="AK179" s="9" t="s">
        <v>30</v>
      </c>
      <c r="AL179" s="10"/>
      <c r="AM179" s="10"/>
      <c r="AN179" s="10"/>
      <c r="AO179" s="10"/>
      <c r="AP179" s="10"/>
      <c r="AQ179" s="11">
        <v>13</v>
      </c>
      <c r="AR179" s="4"/>
      <c r="AS179" s="10"/>
      <c r="AT179" s="10"/>
      <c r="AU179" s="10"/>
      <c r="AV179" s="10"/>
      <c r="AW179" s="10"/>
      <c r="AX179" s="10"/>
      <c r="AY179" s="10"/>
      <c r="AZ179" s="10"/>
      <c r="BA179" s="10"/>
      <c r="BB179" s="10"/>
      <c r="BC179" s="10"/>
      <c r="BD179" s="10"/>
    </row>
    <row r="180" spans="1:56" ht="29" x14ac:dyDescent="0.35">
      <c r="A180" s="4" t="s">
        <v>587</v>
      </c>
      <c r="B180" s="4"/>
      <c r="C180" s="4" t="s">
        <v>22</v>
      </c>
      <c r="D180" s="4" t="s">
        <v>33</v>
      </c>
      <c r="E180" s="5" t="s">
        <v>34</v>
      </c>
      <c r="F180" s="4" t="s">
        <v>612</v>
      </c>
      <c r="G180" s="4" t="s">
        <v>26</v>
      </c>
      <c r="H180" s="4" t="s">
        <v>615</v>
      </c>
      <c r="I180" s="12">
        <v>10.9</v>
      </c>
      <c r="J180" s="12">
        <v>10.9</v>
      </c>
      <c r="K180" s="12"/>
      <c r="L180" s="12"/>
      <c r="M180" s="67"/>
      <c r="N180" s="12"/>
      <c r="O180" s="12"/>
      <c r="P180" s="12"/>
      <c r="Q180" s="12"/>
      <c r="R180" s="12"/>
      <c r="S180" s="12"/>
      <c r="T180" s="12"/>
      <c r="U180" s="12"/>
      <c r="V180" s="12"/>
      <c r="W180" s="7"/>
      <c r="X180" s="12"/>
      <c r="Y180" s="7"/>
      <c r="Z180" s="7"/>
      <c r="AA180" s="7"/>
      <c r="AB180" s="8">
        <v>156200</v>
      </c>
      <c r="AC180" s="8"/>
      <c r="AD180" s="4"/>
      <c r="AE180" s="4"/>
      <c r="AF180" s="4"/>
      <c r="AG180" s="4"/>
      <c r="AH180" s="9"/>
      <c r="AI180" s="9"/>
      <c r="AJ180" s="9"/>
      <c r="AK180" s="9" t="s">
        <v>30</v>
      </c>
      <c r="AL180" s="10"/>
      <c r="AM180" s="10"/>
      <c r="AN180" s="10"/>
      <c r="AO180" s="10"/>
      <c r="AP180" s="10"/>
      <c r="AQ180" s="11">
        <v>13</v>
      </c>
      <c r="AR180" s="4"/>
      <c r="AS180" s="10"/>
      <c r="AT180" s="10"/>
      <c r="AU180" s="10"/>
      <c r="AV180" s="10"/>
      <c r="AW180" s="10"/>
      <c r="AX180" s="10"/>
      <c r="AY180" s="10"/>
      <c r="AZ180" s="10"/>
      <c r="BA180" s="10"/>
      <c r="BB180" s="10"/>
      <c r="BC180" s="10"/>
      <c r="BD180" s="10"/>
    </row>
    <row r="181" spans="1:56" ht="29" x14ac:dyDescent="0.35">
      <c r="A181" s="4" t="s">
        <v>1214</v>
      </c>
      <c r="B181" s="4"/>
      <c r="C181" s="4" t="s">
        <v>22</v>
      </c>
      <c r="D181" s="4" t="s">
        <v>33</v>
      </c>
      <c r="E181" s="5" t="s">
        <v>34</v>
      </c>
      <c r="F181" s="4"/>
      <c r="G181" s="4" t="s">
        <v>26</v>
      </c>
      <c r="H181" s="4" t="s">
        <v>615</v>
      </c>
      <c r="I181" s="12">
        <v>2.7</v>
      </c>
      <c r="J181" s="12">
        <v>2.7</v>
      </c>
      <c r="K181" s="12"/>
      <c r="L181" s="12"/>
      <c r="M181" s="67"/>
      <c r="N181" s="12"/>
      <c r="O181" s="12"/>
      <c r="P181" s="12"/>
      <c r="Q181" s="12"/>
      <c r="R181" s="12"/>
      <c r="S181" s="12"/>
      <c r="T181" s="12"/>
      <c r="U181" s="12"/>
      <c r="V181" s="12"/>
      <c r="W181" s="7"/>
      <c r="X181" s="12"/>
      <c r="Y181" s="7"/>
      <c r="Z181" s="7"/>
      <c r="AA181" s="7"/>
      <c r="AB181" s="8">
        <v>2272000</v>
      </c>
      <c r="AC181" s="8"/>
      <c r="AD181" s="4"/>
      <c r="AE181" s="4"/>
      <c r="AF181" s="4"/>
      <c r="AG181" s="4"/>
      <c r="AH181" s="9"/>
      <c r="AI181" s="9"/>
      <c r="AJ181" s="9"/>
      <c r="AK181" s="9"/>
      <c r="AL181" s="10"/>
      <c r="AM181" s="10"/>
      <c r="AN181" s="10"/>
      <c r="AO181" s="10"/>
      <c r="AP181" s="10"/>
      <c r="AQ181" s="11"/>
      <c r="AR181" s="4"/>
      <c r="AS181" s="10"/>
      <c r="AT181" s="10"/>
      <c r="AU181" s="10"/>
      <c r="AV181" s="10"/>
      <c r="AW181" s="10"/>
      <c r="AX181" s="10"/>
      <c r="AY181" s="10"/>
      <c r="AZ181" s="10"/>
      <c r="BA181" s="10"/>
      <c r="BB181" s="10"/>
      <c r="BC181" s="10"/>
      <c r="BD181" s="10"/>
    </row>
    <row r="182" spans="1:56" ht="29" x14ac:dyDescent="0.35">
      <c r="A182" s="4" t="s">
        <v>590</v>
      </c>
      <c r="B182" s="4"/>
      <c r="C182" s="4" t="s">
        <v>22</v>
      </c>
      <c r="D182" s="4" t="s">
        <v>33</v>
      </c>
      <c r="E182" s="5" t="s">
        <v>34</v>
      </c>
      <c r="F182" s="4" t="s">
        <v>612</v>
      </c>
      <c r="G182" s="4" t="s">
        <v>26</v>
      </c>
      <c r="H182" s="4" t="s">
        <v>616</v>
      </c>
      <c r="I182" s="12">
        <v>0.1</v>
      </c>
      <c r="J182" s="12">
        <v>0.1</v>
      </c>
      <c r="K182" s="12"/>
      <c r="L182" s="12"/>
      <c r="M182" s="67"/>
      <c r="N182" s="12"/>
      <c r="O182" s="12"/>
      <c r="P182" s="12"/>
      <c r="Q182" s="12"/>
      <c r="R182" s="12"/>
      <c r="S182" s="12"/>
      <c r="T182" s="12"/>
      <c r="U182" s="12"/>
      <c r="V182" s="12"/>
      <c r="W182" s="7"/>
      <c r="X182" s="12"/>
      <c r="Y182" s="7"/>
      <c r="Z182" s="7"/>
      <c r="AA182" s="7"/>
      <c r="AB182" s="8">
        <f>1/(1*10^-5)</f>
        <v>99999.999999999985</v>
      </c>
      <c r="AC182" s="8"/>
      <c r="AD182" s="4"/>
      <c r="AE182" s="4"/>
      <c r="AF182" s="4"/>
      <c r="AG182" s="4"/>
      <c r="AH182" s="9"/>
      <c r="AI182" s="9"/>
      <c r="AJ182" s="9"/>
      <c r="AK182" s="9" t="s">
        <v>30</v>
      </c>
      <c r="AL182" s="10"/>
      <c r="AM182" s="10"/>
      <c r="AN182" s="10"/>
      <c r="AO182" s="10"/>
      <c r="AP182" s="10"/>
      <c r="AQ182" s="11">
        <v>13</v>
      </c>
      <c r="AR182" s="4"/>
      <c r="AS182" s="10"/>
      <c r="AT182" s="10"/>
      <c r="AU182" s="10"/>
      <c r="AV182" s="10"/>
      <c r="AW182" s="10"/>
      <c r="AX182" s="10"/>
      <c r="AY182" s="10"/>
      <c r="AZ182" s="10"/>
      <c r="BA182" s="10"/>
      <c r="BB182" s="10"/>
      <c r="BC182" s="10"/>
      <c r="BD182" s="10"/>
    </row>
    <row r="183" spans="1:56" ht="29" x14ac:dyDescent="0.35">
      <c r="A183" s="4" t="s">
        <v>1213</v>
      </c>
      <c r="B183" s="4"/>
      <c r="C183" s="4" t="s">
        <v>22</v>
      </c>
      <c r="D183" s="4" t="s">
        <v>33</v>
      </c>
      <c r="E183" s="5" t="s">
        <v>34</v>
      </c>
      <c r="F183" s="4" t="s">
        <v>612</v>
      </c>
      <c r="G183" s="4" t="s">
        <v>26</v>
      </c>
      <c r="H183" s="4" t="s">
        <v>615</v>
      </c>
      <c r="I183" s="12">
        <v>3</v>
      </c>
      <c r="J183" s="12">
        <v>3</v>
      </c>
      <c r="K183" s="12"/>
      <c r="L183" s="12"/>
      <c r="M183" s="67"/>
      <c r="N183" s="12"/>
      <c r="O183" s="12"/>
      <c r="P183" s="12"/>
      <c r="Q183" s="12"/>
      <c r="R183" s="12"/>
      <c r="S183" s="12"/>
      <c r="T183" s="12"/>
      <c r="U183" s="12"/>
      <c r="V183" s="12"/>
      <c r="W183" s="7"/>
      <c r="X183" s="12"/>
      <c r="Y183" s="7"/>
      <c r="Z183" s="7"/>
      <c r="AA183" s="7"/>
      <c r="AB183" s="8">
        <v>117000</v>
      </c>
      <c r="AC183" s="8"/>
      <c r="AD183" s="4"/>
      <c r="AE183" s="4"/>
      <c r="AF183" s="4"/>
      <c r="AG183" s="4"/>
      <c r="AH183" s="9"/>
      <c r="AI183" s="9"/>
      <c r="AJ183" s="9"/>
      <c r="AK183" s="9" t="s">
        <v>30</v>
      </c>
      <c r="AL183" s="10"/>
      <c r="AM183" s="10"/>
      <c r="AN183" s="10"/>
      <c r="AO183" s="10"/>
      <c r="AP183" s="10"/>
      <c r="AQ183" s="11">
        <v>13</v>
      </c>
      <c r="AR183" s="4"/>
      <c r="AS183" s="10"/>
      <c r="AT183" s="10"/>
      <c r="AU183" s="10"/>
      <c r="AV183" s="10"/>
      <c r="AW183" s="10"/>
      <c r="AX183" s="10"/>
      <c r="AY183" s="10"/>
      <c r="AZ183" s="10"/>
      <c r="BA183" s="10"/>
      <c r="BB183" s="10"/>
      <c r="BC183" s="10"/>
      <c r="BD183" s="10"/>
    </row>
    <row r="184" spans="1:56" ht="29" x14ac:dyDescent="0.35">
      <c r="A184" s="4" t="s">
        <v>592</v>
      </c>
      <c r="B184" s="4"/>
      <c r="C184" s="4" t="s">
        <v>22</v>
      </c>
      <c r="D184" s="4" t="s">
        <v>33</v>
      </c>
      <c r="E184" s="5" t="s">
        <v>34</v>
      </c>
      <c r="F184" s="4" t="s">
        <v>612</v>
      </c>
      <c r="G184" s="4" t="s">
        <v>26</v>
      </c>
      <c r="H184" s="4" t="s">
        <v>613</v>
      </c>
      <c r="I184" s="12"/>
      <c r="J184" s="12"/>
      <c r="K184" s="12"/>
      <c r="L184" s="12"/>
      <c r="M184" s="67"/>
      <c r="N184" s="12"/>
      <c r="O184" s="12"/>
      <c r="P184" s="12"/>
      <c r="Q184" s="12"/>
      <c r="R184" s="12"/>
      <c r="S184" s="12"/>
      <c r="T184" s="12"/>
      <c r="U184" s="12"/>
      <c r="V184" s="12"/>
      <c r="W184" s="7"/>
      <c r="X184" s="12"/>
      <c r="Y184" s="7"/>
      <c r="Z184" s="7"/>
      <c r="AA184" s="7"/>
      <c r="AB184" s="8">
        <f>1/(1*10^-5)</f>
        <v>99999.999999999985</v>
      </c>
      <c r="AC184" s="8"/>
      <c r="AD184" s="4"/>
      <c r="AE184" s="4"/>
      <c r="AF184" s="4"/>
      <c r="AG184" s="4"/>
      <c r="AH184" s="9"/>
      <c r="AI184" s="9"/>
      <c r="AJ184" s="9"/>
      <c r="AK184" s="9" t="s">
        <v>30</v>
      </c>
      <c r="AL184" s="10"/>
      <c r="AM184" s="10"/>
      <c r="AN184" s="10"/>
      <c r="AO184" s="10"/>
      <c r="AP184" s="10"/>
      <c r="AQ184" s="11">
        <v>13</v>
      </c>
      <c r="AR184" s="4"/>
      <c r="AS184" s="10"/>
      <c r="AT184" s="10"/>
      <c r="AU184" s="10"/>
      <c r="AV184" s="10"/>
      <c r="AW184" s="10"/>
      <c r="AX184" s="10"/>
      <c r="AY184" s="10"/>
      <c r="AZ184" s="10"/>
      <c r="BA184" s="10"/>
      <c r="BB184" s="10"/>
      <c r="BC184" s="10"/>
      <c r="BD184" s="10"/>
    </row>
    <row r="185" spans="1:56" ht="29" x14ac:dyDescent="0.35">
      <c r="A185" s="4" t="s">
        <v>604</v>
      </c>
      <c r="B185" s="4"/>
      <c r="C185" s="4" t="s">
        <v>22</v>
      </c>
      <c r="D185" s="4" t="s">
        <v>33</v>
      </c>
      <c r="E185" s="5" t="s">
        <v>34</v>
      </c>
      <c r="F185" s="4" t="s">
        <v>612</v>
      </c>
      <c r="G185" s="4" t="s">
        <v>26</v>
      </c>
      <c r="H185" s="4" t="s">
        <v>1054</v>
      </c>
      <c r="I185" s="12"/>
      <c r="J185" s="12"/>
      <c r="K185" s="12"/>
      <c r="L185" s="12"/>
      <c r="M185" s="67"/>
      <c r="N185" s="12"/>
      <c r="O185" s="12"/>
      <c r="P185" s="12"/>
      <c r="Q185" s="12"/>
      <c r="R185" s="12"/>
      <c r="S185" s="12"/>
      <c r="T185" s="12"/>
      <c r="U185" s="12"/>
      <c r="V185" s="12"/>
      <c r="W185" s="7"/>
      <c r="X185" s="12"/>
      <c r="Y185" s="7"/>
      <c r="Z185" s="7"/>
      <c r="AA185" s="7"/>
      <c r="AB185" s="8">
        <f>1/(1*10^-5)</f>
        <v>99999.999999999985</v>
      </c>
      <c r="AC185" s="8"/>
      <c r="AD185" s="4"/>
      <c r="AE185" s="4"/>
      <c r="AF185" s="4"/>
      <c r="AG185" s="4"/>
      <c r="AH185" s="9"/>
      <c r="AI185" s="9"/>
      <c r="AJ185" s="9"/>
      <c r="AK185" s="9" t="s">
        <v>30</v>
      </c>
      <c r="AL185" s="10"/>
      <c r="AM185" s="10"/>
      <c r="AN185" s="10"/>
      <c r="AO185" s="10"/>
      <c r="AP185" s="10"/>
      <c r="AQ185" s="11">
        <v>13</v>
      </c>
      <c r="AR185" s="4"/>
      <c r="AS185" s="10"/>
      <c r="AT185" s="10"/>
      <c r="AU185" s="10"/>
      <c r="AV185" s="10"/>
      <c r="AW185" s="10"/>
      <c r="AX185" s="10"/>
      <c r="AY185" s="10"/>
      <c r="AZ185" s="10"/>
      <c r="BA185" s="10"/>
      <c r="BB185" s="10"/>
      <c r="BC185" s="10"/>
      <c r="BD185" s="10"/>
    </row>
    <row r="186" spans="1:56" ht="29" x14ac:dyDescent="0.35">
      <c r="A186" s="4" t="s">
        <v>591</v>
      </c>
      <c r="B186" s="4"/>
      <c r="C186" s="4" t="s">
        <v>22</v>
      </c>
      <c r="D186" s="4" t="s">
        <v>33</v>
      </c>
      <c r="E186" s="5" t="s">
        <v>34</v>
      </c>
      <c r="F186" s="4" t="s">
        <v>612</v>
      </c>
      <c r="G186" s="4" t="s">
        <v>26</v>
      </c>
      <c r="H186" s="4" t="s">
        <v>615</v>
      </c>
      <c r="I186" s="12">
        <v>39.9</v>
      </c>
      <c r="J186" s="12">
        <v>39.9</v>
      </c>
      <c r="K186" s="12"/>
      <c r="L186" s="12"/>
      <c r="M186" s="67"/>
      <c r="N186" s="12"/>
      <c r="O186" s="12"/>
      <c r="P186" s="12"/>
      <c r="Q186" s="12"/>
      <c r="R186" s="12"/>
      <c r="S186" s="12"/>
      <c r="T186" s="12"/>
      <c r="U186" s="12"/>
      <c r="V186" s="12"/>
      <c r="W186" s="7"/>
      <c r="X186" s="12"/>
      <c r="Y186" s="7"/>
      <c r="Z186" s="7"/>
      <c r="AA186" s="7"/>
      <c r="AB186" s="8">
        <f>1/(6*10^-6)</f>
        <v>166666.66666666666</v>
      </c>
      <c r="AC186" s="8"/>
      <c r="AD186" s="4"/>
      <c r="AE186" s="4"/>
      <c r="AF186" s="4"/>
      <c r="AG186" s="4"/>
      <c r="AH186" s="9"/>
      <c r="AI186" s="9"/>
      <c r="AJ186" s="9"/>
      <c r="AK186" s="9" t="s">
        <v>30</v>
      </c>
      <c r="AL186" s="10"/>
      <c r="AM186" s="10"/>
      <c r="AN186" s="10"/>
      <c r="AO186" s="10"/>
      <c r="AP186" s="10"/>
      <c r="AQ186" s="11">
        <v>13</v>
      </c>
      <c r="AR186" s="4"/>
      <c r="AS186" s="10"/>
      <c r="AT186" s="10"/>
      <c r="AU186" s="10"/>
      <c r="AV186" s="10"/>
      <c r="AW186" s="10"/>
      <c r="AX186" s="10"/>
      <c r="AY186" s="10"/>
      <c r="AZ186" s="10"/>
      <c r="BA186" s="10"/>
      <c r="BB186" s="10"/>
      <c r="BC186" s="10"/>
      <c r="BD186" s="10"/>
    </row>
    <row r="187" spans="1:56" ht="29" x14ac:dyDescent="0.35">
      <c r="A187" s="4" t="s">
        <v>617</v>
      </c>
      <c r="B187" s="4"/>
      <c r="C187" s="4" t="s">
        <v>22</v>
      </c>
      <c r="D187" s="4" t="s">
        <v>33</v>
      </c>
      <c r="E187" s="5" t="s">
        <v>34</v>
      </c>
      <c r="F187" s="4" t="s">
        <v>612</v>
      </c>
      <c r="G187" s="4" t="s">
        <v>26</v>
      </c>
      <c r="H187" s="4" t="s">
        <v>613</v>
      </c>
      <c r="I187" s="12"/>
      <c r="J187" s="12"/>
      <c r="K187" s="12"/>
      <c r="L187" s="12"/>
      <c r="M187" s="67"/>
      <c r="N187" s="12"/>
      <c r="O187" s="12"/>
      <c r="P187" s="12"/>
      <c r="Q187" s="12"/>
      <c r="R187" s="12"/>
      <c r="S187" s="12"/>
      <c r="T187" s="12"/>
      <c r="U187" s="12"/>
      <c r="V187" s="12"/>
      <c r="W187" s="7"/>
      <c r="X187" s="12"/>
      <c r="Y187" s="7"/>
      <c r="Z187" s="7"/>
      <c r="AA187" s="7"/>
      <c r="AB187" s="8">
        <f>1/(1*10^-5)</f>
        <v>99999.999999999985</v>
      </c>
      <c r="AC187" s="8"/>
      <c r="AD187" s="4"/>
      <c r="AE187" s="4"/>
      <c r="AF187" s="4"/>
      <c r="AG187" s="4"/>
      <c r="AH187" s="9"/>
      <c r="AI187" s="9"/>
      <c r="AJ187" s="9"/>
      <c r="AK187" s="9" t="s">
        <v>30</v>
      </c>
      <c r="AL187" s="10"/>
      <c r="AM187" s="10"/>
      <c r="AN187" s="10"/>
      <c r="AO187" s="10"/>
      <c r="AP187" s="10"/>
      <c r="AQ187" s="11">
        <v>13</v>
      </c>
      <c r="AR187" s="4"/>
      <c r="AS187" s="10"/>
      <c r="AT187" s="10"/>
      <c r="AU187" s="10"/>
      <c r="AV187" s="10"/>
      <c r="AW187" s="10"/>
      <c r="AX187" s="10"/>
      <c r="AY187" s="10"/>
      <c r="AZ187" s="10"/>
      <c r="BA187" s="10"/>
      <c r="BB187" s="10"/>
      <c r="BC187" s="10"/>
      <c r="BD187" s="10"/>
    </row>
    <row r="188" spans="1:56" ht="29" x14ac:dyDescent="0.35">
      <c r="A188" s="4" t="s">
        <v>618</v>
      </c>
      <c r="B188" s="4"/>
      <c r="C188" s="4" t="s">
        <v>22</v>
      </c>
      <c r="D188" s="4" t="s">
        <v>33</v>
      </c>
      <c r="E188" s="5" t="s">
        <v>34</v>
      </c>
      <c r="F188" s="4" t="s">
        <v>612</v>
      </c>
      <c r="G188" s="4" t="s">
        <v>26</v>
      </c>
      <c r="H188" s="4" t="s">
        <v>613</v>
      </c>
      <c r="I188" s="12"/>
      <c r="J188" s="12"/>
      <c r="K188" s="12"/>
      <c r="L188" s="12"/>
      <c r="M188" s="67"/>
      <c r="N188" s="12"/>
      <c r="O188" s="12"/>
      <c r="P188" s="12"/>
      <c r="Q188" s="12"/>
      <c r="R188" s="12"/>
      <c r="S188" s="12"/>
      <c r="T188" s="12"/>
      <c r="U188" s="12"/>
      <c r="V188" s="12"/>
      <c r="W188" s="7"/>
      <c r="X188" s="12"/>
      <c r="Y188" s="7"/>
      <c r="Z188" s="7"/>
      <c r="AA188" s="7"/>
      <c r="AB188" s="8">
        <f>1/(1*10^-5)</f>
        <v>99999.999999999985</v>
      </c>
      <c r="AC188" s="8"/>
      <c r="AD188" s="4"/>
      <c r="AE188" s="4"/>
      <c r="AF188" s="4"/>
      <c r="AG188" s="4"/>
      <c r="AH188" s="9"/>
      <c r="AI188" s="9"/>
      <c r="AJ188" s="9"/>
      <c r="AK188" s="9" t="s">
        <v>30</v>
      </c>
      <c r="AL188" s="10"/>
      <c r="AM188" s="10"/>
      <c r="AN188" s="10"/>
      <c r="AO188" s="10"/>
      <c r="AP188" s="10"/>
      <c r="AQ188" s="11">
        <v>13</v>
      </c>
      <c r="AR188" s="4"/>
      <c r="AS188" s="10"/>
      <c r="AT188" s="10"/>
      <c r="AU188" s="10"/>
      <c r="AV188" s="10"/>
      <c r="AW188" s="10"/>
      <c r="AX188" s="10"/>
      <c r="AY188" s="10"/>
      <c r="AZ188" s="10"/>
      <c r="BA188" s="10"/>
      <c r="BB188" s="10"/>
      <c r="BC188" s="10"/>
      <c r="BD188" s="10"/>
    </row>
    <row r="189" spans="1:56" ht="29" x14ac:dyDescent="0.35">
      <c r="A189" s="16" t="s">
        <v>1209</v>
      </c>
      <c r="B189" s="16"/>
      <c r="C189" s="4" t="s">
        <v>22</v>
      </c>
      <c r="D189" s="4" t="s">
        <v>33</v>
      </c>
      <c r="E189" s="5" t="s">
        <v>34</v>
      </c>
      <c r="F189" s="4"/>
      <c r="G189" s="4" t="s">
        <v>26</v>
      </c>
      <c r="H189" s="4" t="s">
        <v>1208</v>
      </c>
      <c r="I189" s="12"/>
      <c r="J189" s="12">
        <v>70.399999999999991</v>
      </c>
      <c r="K189" s="12"/>
      <c r="L189" s="12"/>
      <c r="M189" s="67"/>
      <c r="N189" s="12"/>
      <c r="O189" s="12"/>
      <c r="P189" s="12"/>
      <c r="Q189" s="12"/>
      <c r="R189" s="12"/>
      <c r="S189" s="12"/>
      <c r="T189" s="12"/>
      <c r="U189" s="12">
        <v>56.319999999999993</v>
      </c>
      <c r="V189" s="12">
        <v>56.319999999999993</v>
      </c>
      <c r="W189" s="7"/>
      <c r="X189" s="12"/>
      <c r="Y189" s="7"/>
      <c r="Z189" s="7"/>
      <c r="AA189" s="7"/>
      <c r="AB189" s="8"/>
      <c r="AC189" s="8"/>
      <c r="AD189" s="4"/>
      <c r="AE189" s="4"/>
      <c r="AF189" s="4"/>
      <c r="AG189" s="4"/>
      <c r="AH189" s="9"/>
      <c r="AI189" s="9"/>
      <c r="AJ189" s="9"/>
      <c r="AK189" s="9"/>
      <c r="AL189" s="10"/>
      <c r="AM189" s="10"/>
      <c r="AN189" s="10"/>
      <c r="AO189" s="10"/>
      <c r="AP189" s="10"/>
      <c r="AQ189" s="11"/>
      <c r="AR189" s="4"/>
      <c r="AS189" s="10"/>
      <c r="AT189" s="10"/>
      <c r="AU189" s="10"/>
      <c r="AV189" s="10"/>
      <c r="AW189" s="10"/>
      <c r="AX189" s="10"/>
      <c r="AY189" s="10"/>
      <c r="AZ189" s="10"/>
      <c r="BA189" s="10"/>
      <c r="BB189" s="10"/>
      <c r="BC189" s="10"/>
      <c r="BD189" s="10"/>
    </row>
    <row r="190" spans="1:56" ht="29" x14ac:dyDescent="0.35">
      <c r="A190" s="4" t="s">
        <v>593</v>
      </c>
      <c r="B190" s="4"/>
      <c r="C190" s="4" t="s">
        <v>22</v>
      </c>
      <c r="D190" s="4" t="s">
        <v>62</v>
      </c>
      <c r="E190" s="5" t="s">
        <v>34</v>
      </c>
      <c r="F190" s="4" t="s">
        <v>619</v>
      </c>
      <c r="G190" s="4" t="s">
        <v>26</v>
      </c>
      <c r="H190" s="4" t="s">
        <v>1040</v>
      </c>
      <c r="I190" s="12"/>
      <c r="J190" s="12"/>
      <c r="K190" s="12"/>
      <c r="L190" s="12"/>
      <c r="M190" s="67"/>
      <c r="N190" s="12"/>
      <c r="O190" s="12"/>
      <c r="P190" s="12"/>
      <c r="Q190" s="12"/>
      <c r="R190" s="12"/>
      <c r="S190" s="12"/>
      <c r="T190" s="12"/>
      <c r="U190" s="12"/>
      <c r="V190" s="12"/>
      <c r="W190" s="7"/>
      <c r="X190" s="12"/>
      <c r="Y190" s="7"/>
      <c r="Z190" s="7"/>
      <c r="AA190" s="7"/>
      <c r="AB190" s="8">
        <f>1/(5*10^-7)</f>
        <v>2000000</v>
      </c>
      <c r="AC190" s="7"/>
      <c r="AD190" s="4"/>
      <c r="AE190" s="4"/>
      <c r="AF190" s="4"/>
      <c r="AG190" s="4"/>
      <c r="AH190" s="9"/>
      <c r="AI190" s="9"/>
      <c r="AJ190" s="9"/>
      <c r="AK190" s="9" t="s">
        <v>30</v>
      </c>
      <c r="AL190" s="10"/>
      <c r="AM190" s="10"/>
      <c r="AN190" s="10"/>
      <c r="AO190" s="10"/>
      <c r="AP190" s="10"/>
      <c r="AQ190" s="11">
        <v>13</v>
      </c>
      <c r="AR190" s="4"/>
      <c r="AS190" s="10"/>
      <c r="AT190" s="10"/>
      <c r="AU190" s="10"/>
      <c r="AV190" s="10"/>
      <c r="AW190" s="10"/>
      <c r="AX190" s="10"/>
      <c r="AY190" s="10"/>
      <c r="AZ190" s="10"/>
      <c r="BA190" s="10"/>
      <c r="BB190" s="10"/>
      <c r="BC190" s="10"/>
      <c r="BD190" s="10"/>
    </row>
    <row r="191" spans="1:56" ht="29" x14ac:dyDescent="0.35">
      <c r="A191" s="4" t="s">
        <v>596</v>
      </c>
      <c r="B191" s="4"/>
      <c r="C191" s="4" t="s">
        <v>22</v>
      </c>
      <c r="D191" s="4" t="s">
        <v>62</v>
      </c>
      <c r="E191" s="5" t="s">
        <v>34</v>
      </c>
      <c r="F191" s="4" t="s">
        <v>619</v>
      </c>
      <c r="G191" s="4" t="s">
        <v>26</v>
      </c>
      <c r="H191" s="4" t="s">
        <v>1041</v>
      </c>
      <c r="I191" s="12"/>
      <c r="J191" s="12"/>
      <c r="K191" s="12"/>
      <c r="L191" s="12"/>
      <c r="M191" s="67"/>
      <c r="N191" s="12"/>
      <c r="O191" s="12"/>
      <c r="P191" s="12"/>
      <c r="Q191" s="12"/>
      <c r="R191" s="12"/>
      <c r="S191" s="12"/>
      <c r="T191" s="12"/>
      <c r="U191" s="12"/>
      <c r="V191" s="12"/>
      <c r="W191" s="7"/>
      <c r="X191" s="12"/>
      <c r="Y191" s="7"/>
      <c r="Z191" s="7"/>
      <c r="AA191" s="7"/>
      <c r="AB191" s="8">
        <f>1/(1*10^-5)</f>
        <v>99999.999999999985</v>
      </c>
      <c r="AC191" s="7"/>
      <c r="AD191" s="4"/>
      <c r="AE191" s="4"/>
      <c r="AF191" s="4"/>
      <c r="AG191" s="4"/>
      <c r="AH191" s="9"/>
      <c r="AI191" s="9"/>
      <c r="AJ191" s="9"/>
      <c r="AK191" s="9" t="s">
        <v>30</v>
      </c>
      <c r="AL191" s="10"/>
      <c r="AM191" s="10"/>
      <c r="AN191" s="10"/>
      <c r="AO191" s="10"/>
      <c r="AP191" s="10"/>
      <c r="AQ191" s="11">
        <v>13</v>
      </c>
      <c r="AR191" s="4"/>
      <c r="AS191" s="10"/>
      <c r="AT191" s="10"/>
      <c r="AU191" s="10"/>
      <c r="AV191" s="10"/>
      <c r="AW191" s="10"/>
      <c r="AX191" s="10"/>
      <c r="AY191" s="10"/>
      <c r="AZ191" s="10"/>
      <c r="BA191" s="10"/>
      <c r="BB191" s="10"/>
      <c r="BC191" s="10"/>
      <c r="BD191" s="10"/>
    </row>
    <row r="192" spans="1:56" ht="29" x14ac:dyDescent="0.35">
      <c r="A192" s="4" t="s">
        <v>620</v>
      </c>
      <c r="B192" s="4"/>
      <c r="C192" s="4" t="s">
        <v>22</v>
      </c>
      <c r="D192" s="4" t="s">
        <v>62</v>
      </c>
      <c r="E192" s="5" t="s">
        <v>34</v>
      </c>
      <c r="F192" s="4" t="s">
        <v>619</v>
      </c>
      <c r="G192" s="4" t="s">
        <v>26</v>
      </c>
      <c r="H192" s="4" t="s">
        <v>1040</v>
      </c>
      <c r="I192" s="12"/>
      <c r="J192" s="12"/>
      <c r="K192" s="12"/>
      <c r="L192" s="12"/>
      <c r="M192" s="67"/>
      <c r="N192" s="12"/>
      <c r="O192" s="12"/>
      <c r="P192" s="12"/>
      <c r="Q192" s="12"/>
      <c r="R192" s="12"/>
      <c r="S192" s="12"/>
      <c r="T192" s="12"/>
      <c r="U192" s="12"/>
      <c r="V192" s="12"/>
      <c r="W192" s="7"/>
      <c r="X192" s="12"/>
      <c r="Y192" s="7"/>
      <c r="Z192" s="7"/>
      <c r="AA192" s="7"/>
      <c r="AB192" s="8">
        <f>1/(1.7*10^-5)</f>
        <v>58823.529411764706</v>
      </c>
      <c r="AC192" s="7"/>
      <c r="AD192" s="4"/>
      <c r="AE192" s="4"/>
      <c r="AF192" s="4"/>
      <c r="AG192" s="4"/>
      <c r="AH192" s="9"/>
      <c r="AI192" s="9"/>
      <c r="AJ192" s="9"/>
      <c r="AK192" s="9" t="s">
        <v>30</v>
      </c>
      <c r="AL192" s="10"/>
      <c r="AM192" s="10"/>
      <c r="AN192" s="10"/>
      <c r="AO192" s="10"/>
      <c r="AP192" s="10"/>
      <c r="AQ192" s="11">
        <v>13</v>
      </c>
      <c r="AR192" s="4"/>
      <c r="AS192" s="10"/>
      <c r="AT192" s="10"/>
      <c r="AU192" s="10"/>
      <c r="AV192" s="10"/>
      <c r="AW192" s="10"/>
      <c r="AX192" s="10"/>
      <c r="AY192" s="10"/>
      <c r="AZ192" s="10"/>
      <c r="BA192" s="10"/>
      <c r="BB192" s="10"/>
      <c r="BC192" s="10"/>
      <c r="BD192" s="10"/>
    </row>
    <row r="193" spans="1:56" ht="29" x14ac:dyDescent="0.35">
      <c r="A193" s="4" t="s">
        <v>614</v>
      </c>
      <c r="B193" s="4"/>
      <c r="C193" s="4" t="s">
        <v>22</v>
      </c>
      <c r="D193" s="4" t="s">
        <v>62</v>
      </c>
      <c r="E193" s="5" t="s">
        <v>34</v>
      </c>
      <c r="F193" s="4" t="s">
        <v>619</v>
      </c>
      <c r="G193" s="4" t="s">
        <v>26</v>
      </c>
      <c r="H193" s="4" t="s">
        <v>1042</v>
      </c>
      <c r="I193" s="12"/>
      <c r="J193" s="12"/>
      <c r="K193" s="12"/>
      <c r="L193" s="12"/>
      <c r="M193" s="67"/>
      <c r="N193" s="12"/>
      <c r="O193" s="12"/>
      <c r="P193" s="12"/>
      <c r="Q193" s="12"/>
      <c r="R193" s="12"/>
      <c r="S193" s="12"/>
      <c r="T193" s="12"/>
      <c r="U193" s="12"/>
      <c r="V193" s="12"/>
      <c r="W193" s="7"/>
      <c r="X193" s="12"/>
      <c r="Y193" s="7"/>
      <c r="Z193" s="7"/>
      <c r="AA193" s="7"/>
      <c r="AB193" s="8">
        <f>1/(4.67*10^-5)</f>
        <v>21413.276231263382</v>
      </c>
      <c r="AC193" s="7"/>
      <c r="AD193" s="4"/>
      <c r="AE193" s="4"/>
      <c r="AF193" s="4"/>
      <c r="AG193" s="4"/>
      <c r="AH193" s="9"/>
      <c r="AI193" s="9"/>
      <c r="AJ193" s="9"/>
      <c r="AK193" s="9" t="s">
        <v>30</v>
      </c>
      <c r="AL193" s="10"/>
      <c r="AM193" s="10"/>
      <c r="AN193" s="10"/>
      <c r="AO193" s="10"/>
      <c r="AP193" s="10"/>
      <c r="AQ193" s="11">
        <v>13</v>
      </c>
      <c r="AR193" s="4"/>
      <c r="AS193" s="10"/>
      <c r="AT193" s="10"/>
      <c r="AU193" s="10"/>
      <c r="AV193" s="10"/>
      <c r="AW193" s="10"/>
      <c r="AX193" s="10"/>
      <c r="AY193" s="10"/>
      <c r="AZ193" s="10"/>
      <c r="BA193" s="10"/>
      <c r="BB193" s="10"/>
      <c r="BC193" s="10"/>
      <c r="BD193" s="10"/>
    </row>
    <row r="194" spans="1:56" ht="29" x14ac:dyDescent="0.35">
      <c r="A194" s="4" t="s">
        <v>581</v>
      </c>
      <c r="B194" s="4"/>
      <c r="C194" s="4" t="s">
        <v>22</v>
      </c>
      <c r="D194" s="4" t="s">
        <v>62</v>
      </c>
      <c r="E194" s="5" t="s">
        <v>34</v>
      </c>
      <c r="F194" s="4" t="s">
        <v>619</v>
      </c>
      <c r="G194" s="4" t="s">
        <v>26</v>
      </c>
      <c r="H194" s="4" t="s">
        <v>1042</v>
      </c>
      <c r="I194" s="12"/>
      <c r="J194" s="12"/>
      <c r="K194" s="12"/>
      <c r="L194" s="12"/>
      <c r="M194" s="67"/>
      <c r="N194" s="12"/>
      <c r="O194" s="12"/>
      <c r="P194" s="12"/>
      <c r="Q194" s="12"/>
      <c r="R194" s="12"/>
      <c r="S194" s="12"/>
      <c r="T194" s="12"/>
      <c r="U194" s="12"/>
      <c r="V194" s="12"/>
      <c r="W194" s="7"/>
      <c r="X194" s="12"/>
      <c r="Y194" s="7"/>
      <c r="Z194" s="7"/>
      <c r="AA194" s="7"/>
      <c r="AB194" s="8">
        <f>1/(1.3*10^-5)</f>
        <v>76923.076923076922</v>
      </c>
      <c r="AC194" s="7"/>
      <c r="AD194" s="4"/>
      <c r="AE194" s="4"/>
      <c r="AF194" s="4"/>
      <c r="AG194" s="4"/>
      <c r="AH194" s="9"/>
      <c r="AI194" s="9"/>
      <c r="AJ194" s="9"/>
      <c r="AK194" s="9" t="s">
        <v>30</v>
      </c>
      <c r="AL194" s="10"/>
      <c r="AM194" s="10"/>
      <c r="AN194" s="10"/>
      <c r="AO194" s="10"/>
      <c r="AP194" s="10"/>
      <c r="AQ194" s="11">
        <v>13</v>
      </c>
      <c r="AR194" s="4"/>
      <c r="AS194" s="10" t="s">
        <v>905</v>
      </c>
      <c r="AT194" s="10"/>
      <c r="AU194" s="10"/>
      <c r="AV194" s="10"/>
      <c r="AW194" s="10"/>
      <c r="AX194" s="10"/>
      <c r="AY194" s="10"/>
      <c r="AZ194" s="10"/>
      <c r="BA194" s="10"/>
      <c r="BB194" s="10"/>
      <c r="BC194" s="10"/>
      <c r="BD194" s="10"/>
    </row>
    <row r="195" spans="1:56" ht="29" x14ac:dyDescent="0.35">
      <c r="A195" s="4" t="s">
        <v>621</v>
      </c>
      <c r="B195" s="4"/>
      <c r="C195" s="4" t="s">
        <v>22</v>
      </c>
      <c r="D195" s="4" t="s">
        <v>62</v>
      </c>
      <c r="E195" s="5" t="s">
        <v>34</v>
      </c>
      <c r="F195" s="4" t="s">
        <v>619</v>
      </c>
      <c r="G195" s="4" t="s">
        <v>26</v>
      </c>
      <c r="H195" s="4" t="s">
        <v>1042</v>
      </c>
      <c r="I195" s="12"/>
      <c r="J195" s="12"/>
      <c r="K195" s="12"/>
      <c r="L195" s="12"/>
      <c r="M195" s="67"/>
      <c r="N195" s="12"/>
      <c r="O195" s="12"/>
      <c r="P195" s="12"/>
      <c r="Q195" s="12"/>
      <c r="R195" s="12"/>
      <c r="S195" s="12"/>
      <c r="T195" s="12"/>
      <c r="U195" s="12"/>
      <c r="V195" s="12"/>
      <c r="W195" s="7"/>
      <c r="X195" s="12"/>
      <c r="Y195" s="7"/>
      <c r="Z195" s="7"/>
      <c r="AA195" s="7"/>
      <c r="AB195" s="8">
        <f>1/(3*10^-6)</f>
        <v>333333.33333333331</v>
      </c>
      <c r="AC195" s="7"/>
      <c r="AD195" s="4"/>
      <c r="AE195" s="4"/>
      <c r="AF195" s="4"/>
      <c r="AG195" s="4"/>
      <c r="AH195" s="9"/>
      <c r="AI195" s="9"/>
      <c r="AJ195" s="9"/>
      <c r="AK195" s="9" t="s">
        <v>30</v>
      </c>
      <c r="AL195" s="10"/>
      <c r="AM195" s="10"/>
      <c r="AN195" s="10"/>
      <c r="AO195" s="10"/>
      <c r="AP195" s="10"/>
      <c r="AQ195" s="11">
        <v>13</v>
      </c>
      <c r="AR195" s="4"/>
      <c r="AS195" s="10"/>
      <c r="AT195" s="10"/>
      <c r="AU195" s="10"/>
      <c r="AV195" s="10"/>
      <c r="AW195" s="10"/>
      <c r="AX195" s="10"/>
      <c r="AY195" s="10"/>
      <c r="AZ195" s="10"/>
      <c r="BA195" s="10"/>
      <c r="BB195" s="10"/>
      <c r="BC195" s="10"/>
      <c r="BD195" s="10"/>
    </row>
    <row r="196" spans="1:56" ht="29" x14ac:dyDescent="0.35">
      <c r="A196" s="4" t="s">
        <v>600</v>
      </c>
      <c r="B196" s="4"/>
      <c r="C196" s="4" t="s">
        <v>22</v>
      </c>
      <c r="D196" s="4" t="s">
        <v>62</v>
      </c>
      <c r="E196" s="5" t="s">
        <v>34</v>
      </c>
      <c r="F196" s="4" t="s">
        <v>619</v>
      </c>
      <c r="G196" s="4" t="s">
        <v>26</v>
      </c>
      <c r="H196" s="4" t="s">
        <v>1042</v>
      </c>
      <c r="I196" s="12"/>
      <c r="J196" s="12"/>
      <c r="K196" s="12"/>
      <c r="L196" s="12"/>
      <c r="M196" s="67"/>
      <c r="N196" s="12"/>
      <c r="O196" s="12"/>
      <c r="P196" s="12"/>
      <c r="Q196" s="12"/>
      <c r="R196" s="12"/>
      <c r="S196" s="12"/>
      <c r="T196" s="12"/>
      <c r="U196" s="12"/>
      <c r="V196" s="12"/>
      <c r="W196" s="7"/>
      <c r="X196" s="12"/>
      <c r="Y196" s="7"/>
      <c r="Z196" s="7"/>
      <c r="AA196" s="7"/>
      <c r="AB196" s="8">
        <f>1/(1*10^-5)</f>
        <v>99999.999999999985</v>
      </c>
      <c r="AC196" s="7"/>
      <c r="AD196" s="4"/>
      <c r="AE196" s="4"/>
      <c r="AF196" s="4"/>
      <c r="AG196" s="4"/>
      <c r="AH196" s="9"/>
      <c r="AI196" s="9"/>
      <c r="AJ196" s="9"/>
      <c r="AK196" s="9" t="s">
        <v>30</v>
      </c>
      <c r="AL196" s="10"/>
      <c r="AM196" s="10"/>
      <c r="AN196" s="10"/>
      <c r="AO196" s="10"/>
      <c r="AP196" s="10"/>
      <c r="AQ196" s="11">
        <v>13</v>
      </c>
      <c r="AR196" s="4"/>
      <c r="AS196" s="10"/>
      <c r="AT196" s="10"/>
      <c r="AU196" s="10"/>
      <c r="AV196" s="10"/>
      <c r="AW196" s="10"/>
      <c r="AX196" s="10"/>
      <c r="AY196" s="10"/>
      <c r="AZ196" s="10"/>
      <c r="BA196" s="10"/>
      <c r="BB196" s="10"/>
      <c r="BC196" s="10"/>
      <c r="BD196" s="10"/>
    </row>
    <row r="197" spans="1:56" ht="29" x14ac:dyDescent="0.35">
      <c r="A197" s="4" t="s">
        <v>583</v>
      </c>
      <c r="B197" s="4"/>
      <c r="C197" s="4" t="s">
        <v>22</v>
      </c>
      <c r="D197" s="4" t="s">
        <v>62</v>
      </c>
      <c r="E197" s="5" t="s">
        <v>34</v>
      </c>
      <c r="F197" s="4" t="s">
        <v>619</v>
      </c>
      <c r="G197" s="4" t="s">
        <v>26</v>
      </c>
      <c r="H197" s="4" t="s">
        <v>1042</v>
      </c>
      <c r="I197" s="12"/>
      <c r="J197" s="12"/>
      <c r="K197" s="12"/>
      <c r="L197" s="12"/>
      <c r="M197" s="67"/>
      <c r="N197" s="12"/>
      <c r="O197" s="12"/>
      <c r="P197" s="12"/>
      <c r="Q197" s="12"/>
      <c r="R197" s="12"/>
      <c r="S197" s="12"/>
      <c r="T197" s="12"/>
      <c r="U197" s="12"/>
      <c r="V197" s="12"/>
      <c r="W197" s="7"/>
      <c r="X197" s="12"/>
      <c r="Y197" s="7"/>
      <c r="Z197" s="7"/>
      <c r="AA197" s="7"/>
      <c r="AB197" s="8">
        <f>1/(5.99*10^-6)</f>
        <v>166944.9081803005</v>
      </c>
      <c r="AC197" s="7"/>
      <c r="AD197" s="4"/>
      <c r="AE197" s="4"/>
      <c r="AF197" s="4"/>
      <c r="AG197" s="4"/>
      <c r="AH197" s="9"/>
      <c r="AI197" s="9"/>
      <c r="AJ197" s="9"/>
      <c r="AK197" s="9" t="s">
        <v>30</v>
      </c>
      <c r="AL197" s="10"/>
      <c r="AM197" s="10"/>
      <c r="AN197" s="10"/>
      <c r="AO197" s="10"/>
      <c r="AP197" s="10"/>
      <c r="AQ197" s="11">
        <v>13</v>
      </c>
      <c r="AR197" s="4"/>
      <c r="AS197" s="10"/>
      <c r="AT197" s="10"/>
      <c r="AU197" s="10"/>
      <c r="AV197" s="10"/>
      <c r="AW197" s="10"/>
      <c r="AX197" s="10"/>
      <c r="AY197" s="10"/>
      <c r="AZ197" s="10"/>
      <c r="BA197" s="10"/>
      <c r="BB197" s="10"/>
      <c r="BC197" s="10"/>
      <c r="BD197" s="10"/>
    </row>
    <row r="198" spans="1:56" ht="29" x14ac:dyDescent="0.35">
      <c r="A198" s="4" t="s">
        <v>603</v>
      </c>
      <c r="B198" s="4"/>
      <c r="C198" s="4" t="s">
        <v>22</v>
      </c>
      <c r="D198" s="4" t="s">
        <v>62</v>
      </c>
      <c r="E198" s="5" t="s">
        <v>34</v>
      </c>
      <c r="F198" s="4" t="s">
        <v>619</v>
      </c>
      <c r="G198" s="4" t="s">
        <v>26</v>
      </c>
      <c r="H198" s="4" t="s">
        <v>1043</v>
      </c>
      <c r="I198" s="12"/>
      <c r="J198" s="12"/>
      <c r="K198" s="12"/>
      <c r="L198" s="12"/>
      <c r="M198" s="67"/>
      <c r="N198" s="12"/>
      <c r="O198" s="12"/>
      <c r="P198" s="12"/>
      <c r="Q198" s="12"/>
      <c r="R198" s="12"/>
      <c r="S198" s="12"/>
      <c r="T198" s="12"/>
      <c r="U198" s="12"/>
      <c r="V198" s="12"/>
      <c r="W198" s="7"/>
      <c r="X198" s="12"/>
      <c r="Y198" s="7"/>
      <c r="Z198" s="7"/>
      <c r="AA198" s="7"/>
      <c r="AB198" s="8">
        <f>1/(1*10^-5)</f>
        <v>99999.999999999985</v>
      </c>
      <c r="AC198" s="7"/>
      <c r="AD198" s="4"/>
      <c r="AE198" s="4"/>
      <c r="AF198" s="4"/>
      <c r="AG198" s="4"/>
      <c r="AH198" s="9"/>
      <c r="AI198" s="9"/>
      <c r="AJ198" s="9"/>
      <c r="AK198" s="9" t="s">
        <v>30</v>
      </c>
      <c r="AL198" s="10"/>
      <c r="AM198" s="10"/>
      <c r="AN198" s="10"/>
      <c r="AO198" s="10"/>
      <c r="AP198" s="10"/>
      <c r="AQ198" s="11">
        <v>13</v>
      </c>
      <c r="AR198" s="4"/>
      <c r="AS198" s="10"/>
      <c r="AT198" s="10"/>
      <c r="AU198" s="10"/>
      <c r="AV198" s="10"/>
      <c r="AW198" s="10"/>
      <c r="AX198" s="10"/>
      <c r="AY198" s="10"/>
      <c r="AZ198" s="10"/>
      <c r="BA198" s="10"/>
      <c r="BB198" s="10"/>
      <c r="BC198" s="10"/>
      <c r="BD198" s="10"/>
    </row>
    <row r="199" spans="1:56" ht="29" x14ac:dyDescent="0.35">
      <c r="A199" s="4" t="s">
        <v>586</v>
      </c>
      <c r="B199" s="4"/>
      <c r="C199" s="4" t="s">
        <v>22</v>
      </c>
      <c r="D199" s="4" t="s">
        <v>62</v>
      </c>
      <c r="E199" s="5" t="s">
        <v>34</v>
      </c>
      <c r="F199" s="4" t="s">
        <v>619</v>
      </c>
      <c r="G199" s="4" t="s">
        <v>26</v>
      </c>
      <c r="H199" s="4" t="s">
        <v>1044</v>
      </c>
      <c r="I199" s="12"/>
      <c r="J199" s="12"/>
      <c r="K199" s="12"/>
      <c r="L199" s="12"/>
      <c r="M199" s="67"/>
      <c r="N199" s="12"/>
      <c r="O199" s="12"/>
      <c r="P199" s="12"/>
      <c r="Q199" s="12"/>
      <c r="R199" s="12"/>
      <c r="S199" s="12"/>
      <c r="T199" s="12"/>
      <c r="U199" s="12"/>
      <c r="V199" s="12"/>
      <c r="W199" s="7"/>
      <c r="X199" s="12"/>
      <c r="Y199" s="7"/>
      <c r="Z199" s="7"/>
      <c r="AA199" s="7"/>
      <c r="AB199" s="8">
        <f>1/(1*10^-5)</f>
        <v>99999.999999999985</v>
      </c>
      <c r="AC199" s="7"/>
      <c r="AD199" s="4"/>
      <c r="AE199" s="4"/>
      <c r="AF199" s="4"/>
      <c r="AG199" s="4"/>
      <c r="AH199" s="9"/>
      <c r="AI199" s="9"/>
      <c r="AJ199" s="9"/>
      <c r="AK199" s="9" t="s">
        <v>30</v>
      </c>
      <c r="AL199" s="10"/>
      <c r="AM199" s="10"/>
      <c r="AN199" s="10"/>
      <c r="AO199" s="10"/>
      <c r="AP199" s="10"/>
      <c r="AQ199" s="11">
        <v>13</v>
      </c>
      <c r="AR199" s="4"/>
      <c r="AS199" s="10"/>
      <c r="AT199" s="10"/>
      <c r="AU199" s="10"/>
      <c r="AV199" s="10"/>
      <c r="AW199" s="10"/>
      <c r="AX199" s="10"/>
      <c r="AY199" s="10"/>
      <c r="AZ199" s="10"/>
      <c r="BA199" s="10"/>
      <c r="BB199" s="10"/>
      <c r="BC199" s="10"/>
      <c r="BD199" s="10"/>
    </row>
    <row r="200" spans="1:56" ht="29" x14ac:dyDescent="0.35">
      <c r="A200" s="4" t="s">
        <v>587</v>
      </c>
      <c r="B200" s="4"/>
      <c r="C200" s="4" t="s">
        <v>22</v>
      </c>
      <c r="D200" s="4" t="s">
        <v>62</v>
      </c>
      <c r="E200" s="5" t="s">
        <v>34</v>
      </c>
      <c r="F200" s="4" t="s">
        <v>619</v>
      </c>
      <c r="G200" s="4" t="s">
        <v>26</v>
      </c>
      <c r="H200" s="4" t="s">
        <v>1042</v>
      </c>
      <c r="I200" s="12"/>
      <c r="J200" s="12"/>
      <c r="K200" s="12"/>
      <c r="L200" s="12"/>
      <c r="M200" s="67"/>
      <c r="N200" s="12"/>
      <c r="O200" s="12"/>
      <c r="P200" s="12"/>
      <c r="Q200" s="12"/>
      <c r="R200" s="12"/>
      <c r="S200" s="12"/>
      <c r="T200" s="12"/>
      <c r="U200" s="12"/>
      <c r="V200" s="12"/>
      <c r="W200" s="7"/>
      <c r="X200" s="12"/>
      <c r="Y200" s="7"/>
      <c r="Z200" s="7"/>
      <c r="AA200" s="7"/>
      <c r="AB200" s="8">
        <f>1/(1.5*10^-5)</f>
        <v>66666.666666666657</v>
      </c>
      <c r="AC200" s="7"/>
      <c r="AD200" s="4"/>
      <c r="AE200" s="4"/>
      <c r="AF200" s="4"/>
      <c r="AG200" s="4"/>
      <c r="AH200" s="9"/>
      <c r="AI200" s="9"/>
      <c r="AJ200" s="9"/>
      <c r="AK200" s="9" t="s">
        <v>30</v>
      </c>
      <c r="AL200" s="10"/>
      <c r="AM200" s="10"/>
      <c r="AN200" s="10"/>
      <c r="AO200" s="10"/>
      <c r="AP200" s="10"/>
      <c r="AQ200" s="11">
        <v>13</v>
      </c>
      <c r="AR200" s="4"/>
      <c r="AS200" s="10"/>
      <c r="AT200" s="10"/>
      <c r="AU200" s="10"/>
      <c r="AV200" s="10"/>
      <c r="AW200" s="10"/>
      <c r="AX200" s="10"/>
      <c r="AY200" s="10"/>
      <c r="AZ200" s="10"/>
      <c r="BA200" s="10"/>
      <c r="BB200" s="10"/>
      <c r="BC200" s="10"/>
      <c r="BD200" s="10"/>
    </row>
    <row r="201" spans="1:56" ht="29" x14ac:dyDescent="0.35">
      <c r="A201" s="4" t="s">
        <v>588</v>
      </c>
      <c r="B201" s="4"/>
      <c r="C201" s="4" t="s">
        <v>22</v>
      </c>
      <c r="D201" s="4" t="s">
        <v>62</v>
      </c>
      <c r="E201" s="5" t="s">
        <v>34</v>
      </c>
      <c r="F201" s="4" t="s">
        <v>619</v>
      </c>
      <c r="G201" s="4" t="s">
        <v>26</v>
      </c>
      <c r="H201" s="4" t="s">
        <v>1045</v>
      </c>
      <c r="I201" s="12"/>
      <c r="J201" s="12"/>
      <c r="K201" s="12"/>
      <c r="L201" s="12"/>
      <c r="M201" s="67"/>
      <c r="N201" s="12"/>
      <c r="O201" s="12"/>
      <c r="P201" s="12"/>
      <c r="Q201" s="12"/>
      <c r="R201" s="12"/>
      <c r="S201" s="12"/>
      <c r="T201" s="12"/>
      <c r="U201" s="12"/>
      <c r="V201" s="12"/>
      <c r="W201" s="7"/>
      <c r="X201" s="12"/>
      <c r="Y201" s="7"/>
      <c r="Z201" s="7"/>
      <c r="AA201" s="7"/>
      <c r="AB201" s="8">
        <f>1/(1*10^-5)</f>
        <v>99999.999999999985</v>
      </c>
      <c r="AC201" s="7"/>
      <c r="AD201" s="4"/>
      <c r="AE201" s="4"/>
      <c r="AF201" s="4"/>
      <c r="AG201" s="4"/>
      <c r="AH201" s="9"/>
      <c r="AI201" s="9"/>
      <c r="AJ201" s="9"/>
      <c r="AK201" s="9" t="s">
        <v>30</v>
      </c>
      <c r="AL201" s="10"/>
      <c r="AM201" s="10"/>
      <c r="AN201" s="10"/>
      <c r="AO201" s="10"/>
      <c r="AP201" s="10"/>
      <c r="AQ201" s="11">
        <v>13</v>
      </c>
      <c r="AR201" s="4"/>
      <c r="AS201" s="10"/>
      <c r="AT201" s="10"/>
      <c r="AU201" s="10"/>
      <c r="AV201" s="10"/>
      <c r="AW201" s="10"/>
      <c r="AX201" s="10"/>
      <c r="AY201" s="10"/>
      <c r="AZ201" s="10"/>
      <c r="BA201" s="10"/>
      <c r="BB201" s="10"/>
      <c r="BC201" s="10"/>
      <c r="BD201" s="10"/>
    </row>
    <row r="202" spans="1:56" ht="29" x14ac:dyDescent="0.35">
      <c r="A202" s="4" t="s">
        <v>590</v>
      </c>
      <c r="B202" s="4"/>
      <c r="C202" s="4" t="s">
        <v>22</v>
      </c>
      <c r="D202" s="4" t="s">
        <v>62</v>
      </c>
      <c r="E202" s="5" t="s">
        <v>34</v>
      </c>
      <c r="F202" s="4" t="s">
        <v>619</v>
      </c>
      <c r="G202" s="4" t="s">
        <v>26</v>
      </c>
      <c r="H202" s="4" t="s">
        <v>1041</v>
      </c>
      <c r="I202" s="12"/>
      <c r="J202" s="12"/>
      <c r="K202" s="12"/>
      <c r="L202" s="12"/>
      <c r="M202" s="67"/>
      <c r="N202" s="12"/>
      <c r="O202" s="12"/>
      <c r="P202" s="12"/>
      <c r="Q202" s="12"/>
      <c r="R202" s="12"/>
      <c r="S202" s="12"/>
      <c r="T202" s="12"/>
      <c r="U202" s="12"/>
      <c r="V202" s="12"/>
      <c r="W202" s="7"/>
      <c r="X202" s="12"/>
      <c r="Y202" s="7"/>
      <c r="Z202" s="7"/>
      <c r="AA202" s="7"/>
      <c r="AB202" s="8">
        <f>1/(1*10^-5)</f>
        <v>99999.999999999985</v>
      </c>
      <c r="AC202" s="7"/>
      <c r="AD202" s="4"/>
      <c r="AE202" s="4"/>
      <c r="AF202" s="4"/>
      <c r="AG202" s="4"/>
      <c r="AH202" s="9"/>
      <c r="AI202" s="9"/>
      <c r="AJ202" s="9"/>
      <c r="AK202" s="9" t="s">
        <v>30</v>
      </c>
      <c r="AL202" s="10"/>
      <c r="AM202" s="10"/>
      <c r="AN202" s="10"/>
      <c r="AO202" s="10"/>
      <c r="AP202" s="10"/>
      <c r="AQ202" s="11">
        <v>13</v>
      </c>
      <c r="AR202" s="4"/>
      <c r="AS202" s="10"/>
      <c r="AT202" s="10"/>
      <c r="AU202" s="10"/>
      <c r="AV202" s="10"/>
      <c r="AW202" s="10"/>
      <c r="AX202" s="10"/>
      <c r="AY202" s="10"/>
      <c r="AZ202" s="10"/>
      <c r="BA202" s="10"/>
      <c r="BB202" s="10"/>
      <c r="BC202" s="10"/>
      <c r="BD202" s="10"/>
    </row>
    <row r="203" spans="1:56" ht="29" x14ac:dyDescent="0.35">
      <c r="A203" s="4" t="s">
        <v>592</v>
      </c>
      <c r="B203" s="4"/>
      <c r="C203" s="4" t="s">
        <v>22</v>
      </c>
      <c r="D203" s="4" t="s">
        <v>62</v>
      </c>
      <c r="E203" s="5" t="s">
        <v>34</v>
      </c>
      <c r="F203" s="4" t="s">
        <v>619</v>
      </c>
      <c r="G203" s="4" t="s">
        <v>26</v>
      </c>
      <c r="H203" s="4" t="s">
        <v>1040</v>
      </c>
      <c r="I203" s="12"/>
      <c r="J203" s="12"/>
      <c r="K203" s="12"/>
      <c r="L203" s="12"/>
      <c r="M203" s="67"/>
      <c r="N203" s="12"/>
      <c r="O203" s="12"/>
      <c r="P203" s="12"/>
      <c r="Q203" s="12"/>
      <c r="R203" s="12"/>
      <c r="S203" s="12"/>
      <c r="T203" s="12"/>
      <c r="U203" s="12"/>
      <c r="V203" s="12"/>
      <c r="W203" s="7"/>
      <c r="X203" s="12"/>
      <c r="Y203" s="7"/>
      <c r="Z203" s="7"/>
      <c r="AA203" s="7"/>
      <c r="AB203" s="8">
        <f>1/(1*10^-5)</f>
        <v>99999.999999999985</v>
      </c>
      <c r="AC203" s="7"/>
      <c r="AD203" s="4"/>
      <c r="AE203" s="4"/>
      <c r="AF203" s="4"/>
      <c r="AG203" s="4"/>
      <c r="AH203" s="9"/>
      <c r="AI203" s="9"/>
      <c r="AJ203" s="9"/>
      <c r="AK203" s="9" t="s">
        <v>30</v>
      </c>
      <c r="AL203" s="10"/>
      <c r="AM203" s="10"/>
      <c r="AN203" s="10"/>
      <c r="AO203" s="10"/>
      <c r="AP203" s="10"/>
      <c r="AQ203" s="11">
        <v>13</v>
      </c>
      <c r="AR203" s="4"/>
      <c r="AS203" s="10"/>
      <c r="AT203" s="10"/>
      <c r="AU203" s="10"/>
      <c r="AV203" s="10"/>
      <c r="AW203" s="10"/>
      <c r="AX203" s="10"/>
      <c r="AY203" s="10"/>
      <c r="AZ203" s="10"/>
      <c r="BA203" s="10"/>
      <c r="BB203" s="10"/>
      <c r="BC203" s="10"/>
      <c r="BD203" s="10"/>
    </row>
    <row r="204" spans="1:56" ht="29" x14ac:dyDescent="0.35">
      <c r="A204" s="4" t="s">
        <v>591</v>
      </c>
      <c r="B204" s="4"/>
      <c r="C204" s="4" t="s">
        <v>22</v>
      </c>
      <c r="D204" s="4" t="s">
        <v>62</v>
      </c>
      <c r="E204" s="5" t="s">
        <v>34</v>
      </c>
      <c r="F204" s="4" t="s">
        <v>619</v>
      </c>
      <c r="G204" s="4" t="s">
        <v>26</v>
      </c>
      <c r="H204" s="4" t="s">
        <v>1046</v>
      </c>
      <c r="I204" s="12"/>
      <c r="J204" s="12"/>
      <c r="K204" s="12"/>
      <c r="L204" s="12"/>
      <c r="M204" s="67"/>
      <c r="N204" s="12"/>
      <c r="O204" s="12"/>
      <c r="P204" s="12"/>
      <c r="Q204" s="12"/>
      <c r="R204" s="12"/>
      <c r="S204" s="12"/>
      <c r="T204" s="12"/>
      <c r="U204" s="12"/>
      <c r="V204" s="12"/>
      <c r="W204" s="7"/>
      <c r="X204" s="12"/>
      <c r="Y204" s="7"/>
      <c r="Z204" s="7"/>
      <c r="AA204" s="7"/>
      <c r="AB204" s="8">
        <f>1/(6*10^-6)</f>
        <v>166666.66666666666</v>
      </c>
      <c r="AC204" s="7"/>
      <c r="AD204" s="4"/>
      <c r="AE204" s="4"/>
      <c r="AF204" s="4"/>
      <c r="AG204" s="4"/>
      <c r="AH204" s="9"/>
      <c r="AI204" s="9"/>
      <c r="AJ204" s="9"/>
      <c r="AK204" s="9" t="s">
        <v>30</v>
      </c>
      <c r="AL204" s="10"/>
      <c r="AM204" s="10"/>
      <c r="AN204" s="10"/>
      <c r="AO204" s="10"/>
      <c r="AP204" s="10"/>
      <c r="AQ204" s="11">
        <v>13</v>
      </c>
      <c r="AR204" s="4"/>
      <c r="AS204" s="10"/>
      <c r="AT204" s="10"/>
      <c r="AU204" s="10"/>
      <c r="AV204" s="10"/>
      <c r="AW204" s="10"/>
      <c r="AX204" s="10"/>
      <c r="AY204" s="10"/>
      <c r="AZ204" s="10"/>
      <c r="BA204" s="10"/>
      <c r="BB204" s="10"/>
      <c r="BC204" s="10"/>
      <c r="BD204" s="10"/>
    </row>
    <row r="205" spans="1:56" ht="29" x14ac:dyDescent="0.35">
      <c r="A205" s="4" t="s">
        <v>617</v>
      </c>
      <c r="B205" s="4"/>
      <c r="C205" s="4" t="s">
        <v>22</v>
      </c>
      <c r="D205" s="4" t="s">
        <v>62</v>
      </c>
      <c r="E205" s="5" t="s">
        <v>34</v>
      </c>
      <c r="F205" s="4" t="s">
        <v>619</v>
      </c>
      <c r="G205" s="4" t="s">
        <v>26</v>
      </c>
      <c r="H205" s="4" t="s">
        <v>1042</v>
      </c>
      <c r="I205" s="12"/>
      <c r="J205" s="12"/>
      <c r="K205" s="12"/>
      <c r="L205" s="12"/>
      <c r="M205" s="67"/>
      <c r="N205" s="12"/>
      <c r="O205" s="12"/>
      <c r="P205" s="12"/>
      <c r="Q205" s="12"/>
      <c r="R205" s="12"/>
      <c r="S205" s="12"/>
      <c r="T205" s="12"/>
      <c r="U205" s="12"/>
      <c r="V205" s="12"/>
      <c r="W205" s="7"/>
      <c r="X205" s="12"/>
      <c r="Y205" s="7"/>
      <c r="Z205" s="7"/>
      <c r="AA205" s="7"/>
      <c r="AB205" s="8">
        <f>1/(1*10^-5)</f>
        <v>99999.999999999985</v>
      </c>
      <c r="AC205" s="7"/>
      <c r="AD205" s="4"/>
      <c r="AE205" s="4"/>
      <c r="AF205" s="4"/>
      <c r="AG205" s="4"/>
      <c r="AH205" s="9"/>
      <c r="AI205" s="9"/>
      <c r="AJ205" s="9"/>
      <c r="AK205" s="9" t="s">
        <v>30</v>
      </c>
      <c r="AL205" s="10"/>
      <c r="AM205" s="10"/>
      <c r="AN205" s="10"/>
      <c r="AO205" s="10"/>
      <c r="AP205" s="10"/>
      <c r="AQ205" s="11">
        <v>13</v>
      </c>
      <c r="AR205" s="4"/>
      <c r="AS205" s="10"/>
      <c r="AT205" s="10"/>
      <c r="AU205" s="10"/>
      <c r="AV205" s="10"/>
      <c r="AW205" s="10"/>
      <c r="AX205" s="10"/>
      <c r="AY205" s="10"/>
      <c r="AZ205" s="10"/>
      <c r="BA205" s="10"/>
      <c r="BB205" s="10"/>
      <c r="BC205" s="10"/>
      <c r="BD205" s="10"/>
    </row>
    <row r="206" spans="1:56" ht="29" x14ac:dyDescent="0.35">
      <c r="A206" s="4" t="s">
        <v>618</v>
      </c>
      <c r="B206" s="4"/>
      <c r="C206" s="4" t="s">
        <v>22</v>
      </c>
      <c r="D206" s="4" t="s">
        <v>62</v>
      </c>
      <c r="E206" s="5" t="s">
        <v>34</v>
      </c>
      <c r="F206" s="4" t="s">
        <v>619</v>
      </c>
      <c r="G206" s="4" t="s">
        <v>26</v>
      </c>
      <c r="H206" s="4" t="s">
        <v>1046</v>
      </c>
      <c r="I206" s="12"/>
      <c r="J206" s="12"/>
      <c r="K206" s="12"/>
      <c r="L206" s="12"/>
      <c r="M206" s="67"/>
      <c r="N206" s="12"/>
      <c r="O206" s="12"/>
      <c r="P206" s="12"/>
      <c r="Q206" s="12"/>
      <c r="R206" s="12"/>
      <c r="S206" s="12"/>
      <c r="T206" s="12"/>
      <c r="U206" s="12"/>
      <c r="V206" s="12"/>
      <c r="W206" s="7"/>
      <c r="X206" s="12"/>
      <c r="Y206" s="7"/>
      <c r="Z206" s="7"/>
      <c r="AA206" s="7"/>
      <c r="AB206" s="8">
        <f>1/(1*10^-5)</f>
        <v>99999.999999999985</v>
      </c>
      <c r="AC206" s="7"/>
      <c r="AD206" s="4"/>
      <c r="AE206" s="4"/>
      <c r="AF206" s="4"/>
      <c r="AG206" s="4"/>
      <c r="AH206" s="9"/>
      <c r="AI206" s="9"/>
      <c r="AJ206" s="9"/>
      <c r="AK206" s="9" t="s">
        <v>30</v>
      </c>
      <c r="AL206" s="10"/>
      <c r="AM206" s="10"/>
      <c r="AN206" s="10"/>
      <c r="AO206" s="10"/>
      <c r="AP206" s="10"/>
      <c r="AQ206" s="11">
        <v>13</v>
      </c>
      <c r="AR206" s="4"/>
      <c r="AS206" s="10"/>
      <c r="AT206" s="10"/>
      <c r="AU206" s="10"/>
      <c r="AV206" s="10"/>
      <c r="AW206" s="10"/>
      <c r="AX206" s="10"/>
      <c r="AY206" s="10"/>
      <c r="AZ206" s="10"/>
      <c r="BA206" s="10"/>
      <c r="BB206" s="10"/>
      <c r="BC206" s="10"/>
      <c r="BD206" s="10"/>
    </row>
    <row r="207" spans="1:56" ht="29" x14ac:dyDescent="0.35">
      <c r="A207" s="4" t="s">
        <v>593</v>
      </c>
      <c r="B207" s="4"/>
      <c r="C207" s="4" t="s">
        <v>22</v>
      </c>
      <c r="D207" s="4" t="s">
        <v>116</v>
      </c>
      <c r="E207" s="5" t="s">
        <v>34</v>
      </c>
      <c r="F207" s="4" t="s">
        <v>622</v>
      </c>
      <c r="G207" s="4" t="s">
        <v>26</v>
      </c>
      <c r="H207" s="4" t="s">
        <v>1055</v>
      </c>
      <c r="I207" s="12"/>
      <c r="J207" s="12"/>
      <c r="K207" s="12"/>
      <c r="L207" s="12"/>
      <c r="M207" s="67"/>
      <c r="N207" s="12"/>
      <c r="O207" s="12"/>
      <c r="P207" s="12"/>
      <c r="Q207" s="12"/>
      <c r="R207" s="12"/>
      <c r="S207" s="12"/>
      <c r="T207" s="12"/>
      <c r="U207" s="12"/>
      <c r="V207" s="12"/>
      <c r="W207" s="7"/>
      <c r="X207" s="12"/>
      <c r="Y207" s="7"/>
      <c r="Z207" s="7"/>
      <c r="AA207" s="7"/>
      <c r="AB207" s="8">
        <f>1/(5*10^-7)</f>
        <v>2000000</v>
      </c>
      <c r="AC207" s="8"/>
      <c r="AD207" s="4"/>
      <c r="AE207" s="4"/>
      <c r="AF207" s="4"/>
      <c r="AG207" s="4"/>
      <c r="AH207" s="9"/>
      <c r="AI207" s="9"/>
      <c r="AJ207" s="9"/>
      <c r="AK207" s="9" t="s">
        <v>30</v>
      </c>
      <c r="AL207" s="10"/>
      <c r="AM207" s="10"/>
      <c r="AN207" s="10"/>
      <c r="AO207" s="10"/>
      <c r="AP207" s="10"/>
      <c r="AQ207" s="11">
        <v>13</v>
      </c>
      <c r="AR207" s="4"/>
      <c r="AS207" s="10"/>
      <c r="AT207" s="10"/>
      <c r="AU207" s="10"/>
      <c r="AV207" s="10"/>
      <c r="AW207" s="10"/>
      <c r="AX207" s="10"/>
      <c r="AY207" s="10"/>
      <c r="AZ207" s="10"/>
      <c r="BA207" s="10"/>
      <c r="BB207" s="10"/>
      <c r="BC207" s="10"/>
      <c r="BD207" s="10"/>
    </row>
    <row r="208" spans="1:56" ht="29" x14ac:dyDescent="0.35">
      <c r="A208" s="4" t="s">
        <v>623</v>
      </c>
      <c r="B208" s="4"/>
      <c r="C208" s="4" t="s">
        <v>22</v>
      </c>
      <c r="D208" s="4" t="s">
        <v>116</v>
      </c>
      <c r="E208" s="5" t="s">
        <v>34</v>
      </c>
      <c r="F208" s="4" t="s">
        <v>622</v>
      </c>
      <c r="G208" s="4" t="s">
        <v>26</v>
      </c>
      <c r="H208" s="4" t="s">
        <v>1048</v>
      </c>
      <c r="I208" s="12"/>
      <c r="J208" s="12"/>
      <c r="K208" s="12"/>
      <c r="L208" s="12"/>
      <c r="M208" s="67"/>
      <c r="N208" s="12"/>
      <c r="O208" s="12"/>
      <c r="P208" s="12"/>
      <c r="Q208" s="12"/>
      <c r="R208" s="12"/>
      <c r="S208" s="12"/>
      <c r="T208" s="12"/>
      <c r="U208" s="12"/>
      <c r="V208" s="12"/>
      <c r="W208" s="7"/>
      <c r="X208" s="12"/>
      <c r="Y208" s="7"/>
      <c r="Z208" s="7"/>
      <c r="AA208" s="7"/>
      <c r="AB208" s="8">
        <f>1/(2*10^-5)</f>
        <v>49999.999999999993</v>
      </c>
      <c r="AC208" s="8"/>
      <c r="AD208" s="4"/>
      <c r="AE208" s="4"/>
      <c r="AF208" s="4"/>
      <c r="AG208" s="4"/>
      <c r="AH208" s="9"/>
      <c r="AI208" s="9"/>
      <c r="AJ208" s="9"/>
      <c r="AK208" s="9" t="s">
        <v>30</v>
      </c>
      <c r="AL208" s="10"/>
      <c r="AM208" s="10"/>
      <c r="AN208" s="10"/>
      <c r="AO208" s="10"/>
      <c r="AP208" s="10"/>
      <c r="AQ208" s="11">
        <v>13</v>
      </c>
      <c r="AR208" s="4"/>
      <c r="AS208" s="10"/>
      <c r="AT208" s="10"/>
      <c r="AU208" s="10"/>
      <c r="AV208" s="10"/>
      <c r="AW208" s="10"/>
      <c r="AX208" s="10"/>
      <c r="AY208" s="10"/>
      <c r="AZ208" s="10"/>
      <c r="BA208" s="10"/>
      <c r="BB208" s="10"/>
      <c r="BC208" s="10"/>
      <c r="BD208" s="10"/>
    </row>
    <row r="209" spans="1:56" ht="29" x14ac:dyDescent="0.35">
      <c r="A209" s="4" t="s">
        <v>596</v>
      </c>
      <c r="B209" s="4"/>
      <c r="C209" s="4" t="s">
        <v>22</v>
      </c>
      <c r="D209" s="4" t="s">
        <v>116</v>
      </c>
      <c r="E209" s="5" t="s">
        <v>34</v>
      </c>
      <c r="F209" s="4" t="s">
        <v>622</v>
      </c>
      <c r="G209" s="4" t="s">
        <v>26</v>
      </c>
      <c r="H209" s="4" t="s">
        <v>1055</v>
      </c>
      <c r="I209" s="12">
        <v>0.2</v>
      </c>
      <c r="J209" s="12">
        <v>0.2</v>
      </c>
      <c r="K209" s="12"/>
      <c r="L209" s="12"/>
      <c r="M209" s="67"/>
      <c r="N209" s="12"/>
      <c r="O209" s="12"/>
      <c r="P209" s="12"/>
      <c r="Q209" s="12"/>
      <c r="R209" s="12"/>
      <c r="S209" s="12"/>
      <c r="T209" s="12"/>
      <c r="U209" s="12"/>
      <c r="V209" s="12"/>
      <c r="W209" s="7"/>
      <c r="X209" s="12"/>
      <c r="Y209" s="7"/>
      <c r="Z209" s="7"/>
      <c r="AA209" s="7"/>
      <c r="AB209" s="8">
        <f>1/(1*10^-5)</f>
        <v>99999.999999999985</v>
      </c>
      <c r="AC209" s="8"/>
      <c r="AD209" s="4"/>
      <c r="AE209" s="4"/>
      <c r="AF209" s="4"/>
      <c r="AG209" s="4"/>
      <c r="AH209" s="9"/>
      <c r="AI209" s="9"/>
      <c r="AJ209" s="9"/>
      <c r="AK209" s="9" t="s">
        <v>30</v>
      </c>
      <c r="AL209" s="10"/>
      <c r="AM209" s="10"/>
      <c r="AN209" s="10"/>
      <c r="AO209" s="10"/>
      <c r="AP209" s="10"/>
      <c r="AQ209" s="11">
        <v>13</v>
      </c>
      <c r="AR209" s="4"/>
      <c r="AS209" s="10"/>
      <c r="AT209" s="10"/>
      <c r="AU209" s="10"/>
      <c r="AV209" s="10"/>
      <c r="AW209" s="10"/>
      <c r="AX209" s="10"/>
      <c r="AY209" s="10"/>
      <c r="AZ209" s="10"/>
      <c r="BA209" s="10"/>
      <c r="BB209" s="10"/>
      <c r="BC209" s="10"/>
      <c r="BD209" s="10"/>
    </row>
    <row r="210" spans="1:56" ht="29" x14ac:dyDescent="0.35">
      <c r="A210" s="4" t="s">
        <v>624</v>
      </c>
      <c r="B210" s="4"/>
      <c r="C210" s="4" t="s">
        <v>22</v>
      </c>
      <c r="D210" s="4" t="s">
        <v>116</v>
      </c>
      <c r="E210" s="5" t="s">
        <v>34</v>
      </c>
      <c r="F210" s="4" t="s">
        <v>622</v>
      </c>
      <c r="G210" s="4" t="s">
        <v>26</v>
      </c>
      <c r="H210" s="4" t="s">
        <v>1055</v>
      </c>
      <c r="I210" s="12">
        <v>27</v>
      </c>
      <c r="J210" s="12">
        <v>27</v>
      </c>
      <c r="K210" s="12"/>
      <c r="L210" s="12"/>
      <c r="M210" s="67"/>
      <c r="N210" s="12"/>
      <c r="O210" s="12"/>
      <c r="P210" s="12"/>
      <c r="Q210" s="12"/>
      <c r="R210" s="12"/>
      <c r="S210" s="12"/>
      <c r="T210" s="12"/>
      <c r="U210" s="12"/>
      <c r="V210" s="12"/>
      <c r="W210" s="7"/>
      <c r="X210" s="12"/>
      <c r="Y210" s="7"/>
      <c r="Z210" s="7"/>
      <c r="AA210" s="7"/>
      <c r="AB210" s="8">
        <f>1/(1.5*10^-5)</f>
        <v>66666.666666666657</v>
      </c>
      <c r="AC210" s="8"/>
      <c r="AD210" s="4"/>
      <c r="AE210" s="4"/>
      <c r="AF210" s="4"/>
      <c r="AG210" s="4"/>
      <c r="AH210" s="9"/>
      <c r="AI210" s="9"/>
      <c r="AJ210" s="9"/>
      <c r="AK210" s="9" t="s">
        <v>30</v>
      </c>
      <c r="AL210" s="10"/>
      <c r="AM210" s="10"/>
      <c r="AN210" s="10"/>
      <c r="AO210" s="10"/>
      <c r="AP210" s="10"/>
      <c r="AQ210" s="11">
        <v>13</v>
      </c>
      <c r="AR210" s="4"/>
      <c r="AS210" s="10"/>
      <c r="AT210" s="10"/>
      <c r="AU210" s="10"/>
      <c r="AV210" s="10"/>
      <c r="AW210" s="10"/>
      <c r="AX210" s="10"/>
      <c r="AY210" s="10"/>
      <c r="AZ210" s="10"/>
      <c r="BA210" s="10"/>
      <c r="BB210" s="10"/>
      <c r="BC210" s="10"/>
      <c r="BD210" s="10"/>
    </row>
    <row r="211" spans="1:56" ht="29" x14ac:dyDescent="0.35">
      <c r="A211" s="4" t="s">
        <v>625</v>
      </c>
      <c r="B211" s="4"/>
      <c r="C211" s="4" t="s">
        <v>22</v>
      </c>
      <c r="D211" s="4" t="s">
        <v>116</v>
      </c>
      <c r="E211" s="5" t="s">
        <v>34</v>
      </c>
      <c r="F211" s="4" t="s">
        <v>622</v>
      </c>
      <c r="G211" s="4" t="s">
        <v>26</v>
      </c>
      <c r="H211" s="4" t="s">
        <v>1055</v>
      </c>
      <c r="I211" s="12">
        <v>11.99</v>
      </c>
      <c r="J211" s="12">
        <v>11.99</v>
      </c>
      <c r="K211" s="12"/>
      <c r="L211" s="12"/>
      <c r="M211" s="67"/>
      <c r="N211" s="12"/>
      <c r="O211" s="12"/>
      <c r="P211" s="12"/>
      <c r="Q211" s="12"/>
      <c r="R211" s="12"/>
      <c r="S211" s="12"/>
      <c r="T211" s="12"/>
      <c r="U211" s="12"/>
      <c r="V211" s="12"/>
      <c r="W211" s="7"/>
      <c r="X211" s="12"/>
      <c r="Y211" s="7"/>
      <c r="Z211" s="7"/>
      <c r="AA211" s="7"/>
      <c r="AB211" s="8">
        <f>1/(1.7*10^-5)</f>
        <v>58823.529411764706</v>
      </c>
      <c r="AC211" s="8"/>
      <c r="AD211" s="4"/>
      <c r="AE211" s="4"/>
      <c r="AF211" s="4"/>
      <c r="AG211" s="4"/>
      <c r="AH211" s="9"/>
      <c r="AI211" s="9"/>
      <c r="AJ211" s="9"/>
      <c r="AK211" s="9" t="s">
        <v>30</v>
      </c>
      <c r="AL211" s="10"/>
      <c r="AM211" s="10"/>
      <c r="AN211" s="10"/>
      <c r="AO211" s="10"/>
      <c r="AP211" s="10"/>
      <c r="AQ211" s="11">
        <v>13</v>
      </c>
      <c r="AR211" s="4"/>
      <c r="AS211" s="10"/>
      <c r="AT211" s="10"/>
      <c r="AU211" s="10"/>
      <c r="AV211" s="10"/>
      <c r="AW211" s="10"/>
      <c r="AX211" s="10"/>
      <c r="AY211" s="10"/>
      <c r="AZ211" s="10"/>
      <c r="BA211" s="10"/>
      <c r="BB211" s="10"/>
      <c r="BC211" s="10"/>
      <c r="BD211" s="10"/>
    </row>
    <row r="212" spans="1:56" ht="29" x14ac:dyDescent="0.35">
      <c r="A212" s="4" t="s">
        <v>621</v>
      </c>
      <c r="B212" s="4"/>
      <c r="C212" s="4" t="s">
        <v>22</v>
      </c>
      <c r="D212" s="4" t="s">
        <v>116</v>
      </c>
      <c r="E212" s="5" t="s">
        <v>34</v>
      </c>
      <c r="F212" s="4" t="s">
        <v>622</v>
      </c>
      <c r="G212" s="4" t="s">
        <v>26</v>
      </c>
      <c r="H212" s="4" t="s">
        <v>1055</v>
      </c>
      <c r="I212" s="12"/>
      <c r="J212" s="12"/>
      <c r="K212" s="12"/>
      <c r="L212" s="12"/>
      <c r="M212" s="67"/>
      <c r="N212" s="12"/>
      <c r="O212" s="12"/>
      <c r="P212" s="12"/>
      <c r="Q212" s="12"/>
      <c r="R212" s="12"/>
      <c r="S212" s="12"/>
      <c r="T212" s="12"/>
      <c r="U212" s="12"/>
      <c r="V212" s="12"/>
      <c r="W212" s="7"/>
      <c r="X212" s="12"/>
      <c r="Y212" s="7"/>
      <c r="Z212" s="7"/>
      <c r="AA212" s="7"/>
      <c r="AB212" s="8">
        <f>1/(3*10^-6)</f>
        <v>333333.33333333331</v>
      </c>
      <c r="AC212" s="8"/>
      <c r="AD212" s="4"/>
      <c r="AE212" s="4"/>
      <c r="AF212" s="4"/>
      <c r="AG212" s="4"/>
      <c r="AH212" s="9"/>
      <c r="AI212" s="9"/>
      <c r="AJ212" s="9"/>
      <c r="AK212" s="9" t="s">
        <v>30</v>
      </c>
      <c r="AL212" s="10"/>
      <c r="AM212" s="10"/>
      <c r="AN212" s="10"/>
      <c r="AO212" s="10"/>
      <c r="AP212" s="10"/>
      <c r="AQ212" s="11">
        <v>13</v>
      </c>
      <c r="AR212" s="4"/>
      <c r="AS212" s="10"/>
      <c r="AT212" s="10"/>
      <c r="AU212" s="10"/>
      <c r="AV212" s="10"/>
      <c r="AW212" s="10"/>
      <c r="AX212" s="10"/>
      <c r="AY212" s="10"/>
      <c r="AZ212" s="10"/>
      <c r="BA212" s="10"/>
      <c r="BB212" s="10"/>
      <c r="BC212" s="10"/>
      <c r="BD212" s="10"/>
    </row>
    <row r="213" spans="1:56" ht="29" x14ac:dyDescent="0.35">
      <c r="A213" s="4" t="s">
        <v>626</v>
      </c>
      <c r="B213" s="4"/>
      <c r="C213" s="4" t="s">
        <v>22</v>
      </c>
      <c r="D213" s="4" t="s">
        <v>116</v>
      </c>
      <c r="E213" s="5" t="s">
        <v>34</v>
      </c>
      <c r="F213" s="4" t="s">
        <v>622</v>
      </c>
      <c r="G213" s="4" t="s">
        <v>26</v>
      </c>
      <c r="H213" s="4" t="s">
        <v>1048</v>
      </c>
      <c r="I213" s="12"/>
      <c r="J213" s="12"/>
      <c r="K213" s="12"/>
      <c r="L213" s="12"/>
      <c r="M213" s="67"/>
      <c r="N213" s="12"/>
      <c r="O213" s="12"/>
      <c r="P213" s="12"/>
      <c r="Q213" s="12"/>
      <c r="R213" s="12"/>
      <c r="S213" s="12"/>
      <c r="T213" s="12"/>
      <c r="U213" s="12"/>
      <c r="V213" s="12"/>
      <c r="W213" s="7"/>
      <c r="X213" s="12"/>
      <c r="Y213" s="7"/>
      <c r="Z213" s="7"/>
      <c r="AA213" s="7"/>
      <c r="AB213" s="8">
        <f t="shared" ref="AB213:AB219" si="1">1/(1*10^-5)</f>
        <v>99999.999999999985</v>
      </c>
      <c r="AC213" s="8"/>
      <c r="AD213" s="4"/>
      <c r="AE213" s="4"/>
      <c r="AF213" s="4"/>
      <c r="AG213" s="4"/>
      <c r="AH213" s="9"/>
      <c r="AI213" s="9"/>
      <c r="AJ213" s="9"/>
      <c r="AK213" s="9" t="s">
        <v>30</v>
      </c>
      <c r="AL213" s="10"/>
      <c r="AM213" s="10"/>
      <c r="AN213" s="10"/>
      <c r="AO213" s="10"/>
      <c r="AP213" s="10"/>
      <c r="AQ213" s="11">
        <v>13</v>
      </c>
      <c r="AR213" s="4"/>
      <c r="AS213" s="10"/>
      <c r="AT213" s="10"/>
      <c r="AU213" s="10"/>
      <c r="AV213" s="10"/>
      <c r="AW213" s="10"/>
      <c r="AX213" s="10"/>
      <c r="AY213" s="10"/>
      <c r="AZ213" s="10"/>
      <c r="BA213" s="10"/>
      <c r="BB213" s="10"/>
      <c r="BC213" s="10"/>
      <c r="BD213" s="10"/>
    </row>
    <row r="214" spans="1:56" ht="29" x14ac:dyDescent="0.35">
      <c r="A214" s="4" t="s">
        <v>600</v>
      </c>
      <c r="B214" s="4"/>
      <c r="C214" s="4" t="s">
        <v>22</v>
      </c>
      <c r="D214" s="4" t="s">
        <v>116</v>
      </c>
      <c r="E214" s="5" t="s">
        <v>34</v>
      </c>
      <c r="F214" s="4" t="s">
        <v>622</v>
      </c>
      <c r="G214" s="4" t="s">
        <v>26</v>
      </c>
      <c r="H214" s="4" t="s">
        <v>1049</v>
      </c>
      <c r="I214" s="12">
        <v>0.2</v>
      </c>
      <c r="J214" s="12">
        <v>0.2</v>
      </c>
      <c r="K214" s="12"/>
      <c r="L214" s="12"/>
      <c r="M214" s="67"/>
      <c r="N214" s="12"/>
      <c r="O214" s="12"/>
      <c r="P214" s="12"/>
      <c r="Q214" s="12"/>
      <c r="R214" s="12"/>
      <c r="S214" s="12"/>
      <c r="T214" s="12"/>
      <c r="U214" s="12"/>
      <c r="V214" s="12"/>
      <c r="W214" s="7"/>
      <c r="X214" s="12"/>
      <c r="Y214" s="7"/>
      <c r="Z214" s="7"/>
      <c r="AA214" s="7"/>
      <c r="AB214" s="8">
        <f t="shared" si="1"/>
        <v>99999.999999999985</v>
      </c>
      <c r="AC214" s="8"/>
      <c r="AD214" s="4"/>
      <c r="AE214" s="4"/>
      <c r="AF214" s="4"/>
      <c r="AG214" s="4"/>
      <c r="AH214" s="9"/>
      <c r="AI214" s="9"/>
      <c r="AJ214" s="9"/>
      <c r="AK214" s="9" t="s">
        <v>30</v>
      </c>
      <c r="AL214" s="10"/>
      <c r="AM214" s="10"/>
      <c r="AN214" s="10"/>
      <c r="AO214" s="10"/>
      <c r="AP214" s="10"/>
      <c r="AQ214" s="11">
        <v>13</v>
      </c>
      <c r="AR214" s="4"/>
      <c r="AS214" s="10"/>
      <c r="AT214" s="10"/>
      <c r="AU214" s="10"/>
      <c r="AV214" s="10"/>
      <c r="AW214" s="10"/>
      <c r="AX214" s="10"/>
      <c r="AY214" s="10"/>
      <c r="AZ214" s="10"/>
      <c r="BA214" s="10"/>
      <c r="BB214" s="10"/>
      <c r="BC214" s="10"/>
      <c r="BD214" s="10"/>
    </row>
    <row r="215" spans="1:56" ht="29" x14ac:dyDescent="0.35">
      <c r="A215" s="4" t="s">
        <v>627</v>
      </c>
      <c r="B215" s="4"/>
      <c r="C215" s="4" t="s">
        <v>22</v>
      </c>
      <c r="D215" s="4" t="s">
        <v>116</v>
      </c>
      <c r="E215" s="5" t="s">
        <v>34</v>
      </c>
      <c r="F215" s="4" t="s">
        <v>622</v>
      </c>
      <c r="G215" s="4" t="s">
        <v>26</v>
      </c>
      <c r="H215" s="4" t="s">
        <v>1050</v>
      </c>
      <c r="I215" s="12">
        <v>49.71</v>
      </c>
      <c r="J215" s="12">
        <v>49.71</v>
      </c>
      <c r="K215" s="12"/>
      <c r="L215" s="12"/>
      <c r="M215" s="67"/>
      <c r="N215" s="12"/>
      <c r="O215" s="12"/>
      <c r="P215" s="12"/>
      <c r="Q215" s="12"/>
      <c r="R215" s="12"/>
      <c r="S215" s="12"/>
      <c r="T215" s="12"/>
      <c r="U215" s="12"/>
      <c r="V215" s="12"/>
      <c r="W215" s="7"/>
      <c r="X215" s="12"/>
      <c r="Y215" s="7"/>
      <c r="Z215" s="7"/>
      <c r="AA215" s="7"/>
      <c r="AB215" s="8">
        <f t="shared" si="1"/>
        <v>99999.999999999985</v>
      </c>
      <c r="AC215" s="8"/>
      <c r="AD215" s="4"/>
      <c r="AE215" s="4"/>
      <c r="AF215" s="4"/>
      <c r="AG215" s="4"/>
      <c r="AH215" s="9"/>
      <c r="AI215" s="9"/>
      <c r="AJ215" s="9"/>
      <c r="AK215" s="9" t="s">
        <v>30</v>
      </c>
      <c r="AL215" s="10"/>
      <c r="AM215" s="10"/>
      <c r="AN215" s="10"/>
      <c r="AO215" s="10"/>
      <c r="AP215" s="10"/>
      <c r="AQ215" s="11">
        <v>13</v>
      </c>
      <c r="AR215" s="4"/>
      <c r="AS215" s="10"/>
      <c r="AT215" s="10"/>
      <c r="AU215" s="10"/>
      <c r="AV215" s="10"/>
      <c r="AW215" s="10"/>
      <c r="AX215" s="10"/>
      <c r="AY215" s="10"/>
      <c r="AZ215" s="10"/>
      <c r="BA215" s="10"/>
      <c r="BB215" s="10"/>
      <c r="BC215" s="10"/>
      <c r="BD215" s="10"/>
    </row>
    <row r="216" spans="1:56" ht="29" x14ac:dyDescent="0.35">
      <c r="A216" s="4" t="s">
        <v>628</v>
      </c>
      <c r="B216" s="4"/>
      <c r="C216" s="4" t="s">
        <v>22</v>
      </c>
      <c r="D216" s="4" t="s">
        <v>116</v>
      </c>
      <c r="E216" s="5" t="s">
        <v>34</v>
      </c>
      <c r="F216" s="4" t="s">
        <v>622</v>
      </c>
      <c r="G216" s="4" t="s">
        <v>26</v>
      </c>
      <c r="H216" s="4" t="s">
        <v>1055</v>
      </c>
      <c r="I216" s="12"/>
      <c r="J216" s="12"/>
      <c r="K216" s="12"/>
      <c r="L216" s="12"/>
      <c r="M216" s="67"/>
      <c r="N216" s="12"/>
      <c r="O216" s="12"/>
      <c r="P216" s="12"/>
      <c r="Q216" s="12"/>
      <c r="R216" s="12"/>
      <c r="S216" s="12"/>
      <c r="T216" s="12"/>
      <c r="U216" s="12"/>
      <c r="V216" s="12"/>
      <c r="W216" s="7"/>
      <c r="X216" s="12"/>
      <c r="Y216" s="7"/>
      <c r="Z216" s="7"/>
      <c r="AA216" s="7"/>
      <c r="AB216" s="8">
        <f t="shared" si="1"/>
        <v>99999.999999999985</v>
      </c>
      <c r="AC216" s="8"/>
      <c r="AD216" s="4"/>
      <c r="AE216" s="4"/>
      <c r="AF216" s="4"/>
      <c r="AG216" s="4"/>
      <c r="AH216" s="9"/>
      <c r="AI216" s="9"/>
      <c r="AJ216" s="9"/>
      <c r="AK216" s="9" t="s">
        <v>30</v>
      </c>
      <c r="AL216" s="10"/>
      <c r="AM216" s="10"/>
      <c r="AN216" s="10"/>
      <c r="AO216" s="10"/>
      <c r="AP216" s="10"/>
      <c r="AQ216" s="11">
        <v>13</v>
      </c>
      <c r="AR216" s="4"/>
      <c r="AS216" s="10"/>
      <c r="AT216" s="10"/>
      <c r="AU216" s="10"/>
      <c r="AV216" s="10"/>
      <c r="AW216" s="10"/>
      <c r="AX216" s="10"/>
      <c r="AY216" s="10"/>
      <c r="AZ216" s="10"/>
      <c r="BA216" s="10"/>
      <c r="BB216" s="10"/>
      <c r="BC216" s="10"/>
      <c r="BD216" s="10"/>
    </row>
    <row r="217" spans="1:56" ht="29" x14ac:dyDescent="0.35">
      <c r="A217" s="4" t="s">
        <v>629</v>
      </c>
      <c r="B217" s="4"/>
      <c r="C217" s="4" t="s">
        <v>22</v>
      </c>
      <c r="D217" s="4" t="s">
        <v>116</v>
      </c>
      <c r="E217" s="5" t="s">
        <v>34</v>
      </c>
      <c r="F217" s="4" t="s">
        <v>622</v>
      </c>
      <c r="G217" s="4" t="s">
        <v>26</v>
      </c>
      <c r="H217" s="4" t="s">
        <v>1048</v>
      </c>
      <c r="I217" s="12">
        <v>0.2</v>
      </c>
      <c r="J217" s="12">
        <v>0.2</v>
      </c>
      <c r="K217" s="12"/>
      <c r="L217" s="12"/>
      <c r="M217" s="67"/>
      <c r="N217" s="12"/>
      <c r="O217" s="12"/>
      <c r="P217" s="12"/>
      <c r="Q217" s="12"/>
      <c r="R217" s="12"/>
      <c r="S217" s="12"/>
      <c r="T217" s="12"/>
      <c r="U217" s="12"/>
      <c r="V217" s="12"/>
      <c r="W217" s="7"/>
      <c r="X217" s="12"/>
      <c r="Y217" s="7"/>
      <c r="Z217" s="7"/>
      <c r="AA217" s="7"/>
      <c r="AB217" s="8">
        <f t="shared" si="1"/>
        <v>99999.999999999985</v>
      </c>
      <c r="AC217" s="8"/>
      <c r="AD217" s="4"/>
      <c r="AE217" s="4"/>
      <c r="AF217" s="4"/>
      <c r="AG217" s="4"/>
      <c r="AH217" s="9"/>
      <c r="AI217" s="9"/>
      <c r="AJ217" s="9"/>
      <c r="AK217" s="9" t="s">
        <v>30</v>
      </c>
      <c r="AL217" s="10"/>
      <c r="AM217" s="10"/>
      <c r="AN217" s="10"/>
      <c r="AO217" s="10"/>
      <c r="AP217" s="10"/>
      <c r="AQ217" s="11">
        <v>13</v>
      </c>
      <c r="AR217" s="4"/>
      <c r="AS217" s="10"/>
      <c r="AT217" s="10"/>
      <c r="AU217" s="10"/>
      <c r="AV217" s="10"/>
      <c r="AW217" s="10"/>
      <c r="AX217" s="10"/>
      <c r="AY217" s="10"/>
      <c r="AZ217" s="10"/>
      <c r="BA217" s="10"/>
      <c r="BB217" s="10"/>
      <c r="BC217" s="10"/>
      <c r="BD217" s="10"/>
    </row>
    <row r="218" spans="1:56" ht="29" x14ac:dyDescent="0.35">
      <c r="A218" s="4" t="s">
        <v>603</v>
      </c>
      <c r="B218" s="4"/>
      <c r="C218" s="4" t="s">
        <v>22</v>
      </c>
      <c r="D218" s="4" t="s">
        <v>116</v>
      </c>
      <c r="E218" s="5" t="s">
        <v>34</v>
      </c>
      <c r="F218" s="4" t="s">
        <v>622</v>
      </c>
      <c r="G218" s="4" t="s">
        <v>26</v>
      </c>
      <c r="H218" s="4" t="s">
        <v>1055</v>
      </c>
      <c r="I218" s="12"/>
      <c r="J218" s="12"/>
      <c r="K218" s="12"/>
      <c r="L218" s="12"/>
      <c r="M218" s="67"/>
      <c r="N218" s="12"/>
      <c r="O218" s="12"/>
      <c r="P218" s="12"/>
      <c r="Q218" s="12"/>
      <c r="R218" s="12"/>
      <c r="S218" s="12"/>
      <c r="T218" s="12"/>
      <c r="U218" s="12"/>
      <c r="V218" s="12"/>
      <c r="W218" s="7"/>
      <c r="X218" s="12"/>
      <c r="Y218" s="7"/>
      <c r="Z218" s="7"/>
      <c r="AA218" s="7"/>
      <c r="AB218" s="8">
        <f t="shared" si="1"/>
        <v>99999.999999999985</v>
      </c>
      <c r="AC218" s="8"/>
      <c r="AD218" s="4"/>
      <c r="AE218" s="4"/>
      <c r="AF218" s="4"/>
      <c r="AG218" s="4"/>
      <c r="AH218" s="9"/>
      <c r="AI218" s="9"/>
      <c r="AJ218" s="9"/>
      <c r="AK218" s="9" t="s">
        <v>30</v>
      </c>
      <c r="AL218" s="10"/>
      <c r="AM218" s="10"/>
      <c r="AN218" s="10"/>
      <c r="AO218" s="10"/>
      <c r="AP218" s="10"/>
      <c r="AQ218" s="11">
        <v>13</v>
      </c>
      <c r="AR218" s="4"/>
      <c r="AS218" s="10"/>
      <c r="AT218" s="10"/>
      <c r="AU218" s="10"/>
      <c r="AV218" s="10"/>
      <c r="AW218" s="10"/>
      <c r="AX218" s="10"/>
      <c r="AY218" s="10"/>
      <c r="AZ218" s="10"/>
      <c r="BA218" s="10"/>
      <c r="BB218" s="10"/>
      <c r="BC218" s="10"/>
      <c r="BD218" s="10"/>
    </row>
    <row r="219" spans="1:56" ht="29" x14ac:dyDescent="0.35">
      <c r="A219" s="4" t="s">
        <v>586</v>
      </c>
      <c r="B219" s="4"/>
      <c r="C219" s="4" t="s">
        <v>22</v>
      </c>
      <c r="D219" s="4" t="s">
        <v>116</v>
      </c>
      <c r="E219" s="5" t="s">
        <v>34</v>
      </c>
      <c r="F219" s="4" t="s">
        <v>622</v>
      </c>
      <c r="G219" s="4" t="s">
        <v>26</v>
      </c>
      <c r="H219" s="4" t="s">
        <v>1051</v>
      </c>
      <c r="I219" s="12">
        <v>0.2</v>
      </c>
      <c r="J219" s="12">
        <v>0.2</v>
      </c>
      <c r="K219" s="12"/>
      <c r="L219" s="12"/>
      <c r="M219" s="67"/>
      <c r="N219" s="12"/>
      <c r="O219" s="12"/>
      <c r="P219" s="12"/>
      <c r="Q219" s="12"/>
      <c r="R219" s="12"/>
      <c r="S219" s="12"/>
      <c r="T219" s="12"/>
      <c r="U219" s="12"/>
      <c r="V219" s="12"/>
      <c r="W219" s="7"/>
      <c r="X219" s="12"/>
      <c r="Y219" s="7"/>
      <c r="Z219" s="7"/>
      <c r="AA219" s="7"/>
      <c r="AB219" s="8">
        <f t="shared" si="1"/>
        <v>99999.999999999985</v>
      </c>
      <c r="AC219" s="8"/>
      <c r="AD219" s="4"/>
      <c r="AE219" s="4"/>
      <c r="AF219" s="4"/>
      <c r="AG219" s="4"/>
      <c r="AH219" s="9"/>
      <c r="AI219" s="9"/>
      <c r="AJ219" s="9"/>
      <c r="AK219" s="9" t="s">
        <v>30</v>
      </c>
      <c r="AL219" s="10"/>
      <c r="AM219" s="10"/>
      <c r="AN219" s="10"/>
      <c r="AO219" s="10"/>
      <c r="AP219" s="10"/>
      <c r="AQ219" s="11">
        <v>13</v>
      </c>
      <c r="AR219" s="4"/>
      <c r="AS219" s="10"/>
      <c r="AT219" s="10"/>
      <c r="AU219" s="10"/>
      <c r="AV219" s="10"/>
      <c r="AW219" s="10"/>
      <c r="AX219" s="10"/>
      <c r="AY219" s="10"/>
      <c r="AZ219" s="10"/>
      <c r="BA219" s="10"/>
      <c r="BB219" s="10"/>
      <c r="BC219" s="10"/>
      <c r="BD219" s="10"/>
    </row>
    <row r="220" spans="1:56" ht="29" x14ac:dyDescent="0.35">
      <c r="A220" s="4" t="s">
        <v>587</v>
      </c>
      <c r="B220" s="4"/>
      <c r="C220" s="4" t="s">
        <v>22</v>
      </c>
      <c r="D220" s="4" t="s">
        <v>116</v>
      </c>
      <c r="E220" s="5" t="s">
        <v>34</v>
      </c>
      <c r="F220" s="4" t="s">
        <v>622</v>
      </c>
      <c r="G220" s="4" t="s">
        <v>26</v>
      </c>
      <c r="H220" s="4" t="s">
        <v>1055</v>
      </c>
      <c r="I220" s="12"/>
      <c r="J220" s="12"/>
      <c r="K220" s="12"/>
      <c r="L220" s="12"/>
      <c r="M220" s="67"/>
      <c r="N220" s="12"/>
      <c r="O220" s="12"/>
      <c r="P220" s="12"/>
      <c r="Q220" s="12"/>
      <c r="R220" s="12"/>
      <c r="S220" s="12"/>
      <c r="T220" s="12"/>
      <c r="U220" s="12"/>
      <c r="V220" s="12"/>
      <c r="W220" s="7"/>
      <c r="X220" s="12"/>
      <c r="Y220" s="7"/>
      <c r="Z220" s="7"/>
      <c r="AA220" s="7"/>
      <c r="AB220" s="8">
        <f>1/(1.5*10^-5)</f>
        <v>66666.666666666657</v>
      </c>
      <c r="AC220" s="8"/>
      <c r="AD220" s="4"/>
      <c r="AE220" s="4"/>
      <c r="AF220" s="4"/>
      <c r="AG220" s="4"/>
      <c r="AH220" s="9"/>
      <c r="AI220" s="9"/>
      <c r="AJ220" s="9"/>
      <c r="AK220" s="9" t="s">
        <v>30</v>
      </c>
      <c r="AL220" s="10"/>
      <c r="AM220" s="10"/>
      <c r="AN220" s="10"/>
      <c r="AO220" s="10"/>
      <c r="AP220" s="10"/>
      <c r="AQ220" s="11">
        <v>13</v>
      </c>
      <c r="AR220" s="4"/>
      <c r="AS220" s="10"/>
      <c r="AT220" s="10"/>
      <c r="AU220" s="10"/>
      <c r="AV220" s="10"/>
      <c r="AW220" s="10"/>
      <c r="AX220" s="10"/>
      <c r="AY220" s="10"/>
      <c r="AZ220" s="10"/>
      <c r="BA220" s="10"/>
      <c r="BB220" s="10"/>
      <c r="BC220" s="10"/>
      <c r="BD220" s="10"/>
    </row>
    <row r="221" spans="1:56" ht="29" x14ac:dyDescent="0.35">
      <c r="A221" s="4" t="s">
        <v>590</v>
      </c>
      <c r="B221" s="4"/>
      <c r="C221" s="4" t="s">
        <v>22</v>
      </c>
      <c r="D221" s="4" t="s">
        <v>116</v>
      </c>
      <c r="E221" s="5" t="s">
        <v>34</v>
      </c>
      <c r="F221" s="4" t="s">
        <v>622</v>
      </c>
      <c r="G221" s="4" t="s">
        <v>26</v>
      </c>
      <c r="H221" s="4" t="s">
        <v>1052</v>
      </c>
      <c r="I221" s="12">
        <v>0.2</v>
      </c>
      <c r="J221" s="12">
        <v>0.2</v>
      </c>
      <c r="K221" s="12"/>
      <c r="L221" s="12"/>
      <c r="M221" s="67"/>
      <c r="N221" s="12"/>
      <c r="O221" s="12"/>
      <c r="P221" s="12"/>
      <c r="Q221" s="12"/>
      <c r="R221" s="12"/>
      <c r="S221" s="12"/>
      <c r="T221" s="12"/>
      <c r="U221" s="12"/>
      <c r="V221" s="12"/>
      <c r="W221" s="7"/>
      <c r="X221" s="12"/>
      <c r="Y221" s="7"/>
      <c r="Z221" s="7"/>
      <c r="AA221" s="7"/>
      <c r="AB221" s="8">
        <f>1/(1*10^-5)</f>
        <v>99999.999999999985</v>
      </c>
      <c r="AC221" s="8"/>
      <c r="AD221" s="4"/>
      <c r="AE221" s="4"/>
      <c r="AF221" s="4"/>
      <c r="AG221" s="4"/>
      <c r="AH221" s="9"/>
      <c r="AI221" s="9"/>
      <c r="AJ221" s="9"/>
      <c r="AK221" s="9" t="s">
        <v>30</v>
      </c>
      <c r="AL221" s="10"/>
      <c r="AM221" s="10"/>
      <c r="AN221" s="10"/>
      <c r="AO221" s="10"/>
      <c r="AP221" s="10"/>
      <c r="AQ221" s="11">
        <v>13</v>
      </c>
      <c r="AR221" s="4"/>
      <c r="AS221" s="10"/>
      <c r="AT221" s="10"/>
      <c r="AU221" s="10"/>
      <c r="AV221" s="10"/>
      <c r="AW221" s="10"/>
      <c r="AX221" s="10"/>
      <c r="AY221" s="10"/>
      <c r="AZ221" s="10"/>
      <c r="BA221" s="10"/>
      <c r="BB221" s="10"/>
      <c r="BC221" s="10"/>
      <c r="BD221" s="10"/>
    </row>
    <row r="222" spans="1:56" ht="29" x14ac:dyDescent="0.35">
      <c r="A222" s="4" t="s">
        <v>591</v>
      </c>
      <c r="B222" s="4"/>
      <c r="C222" s="4" t="s">
        <v>22</v>
      </c>
      <c r="D222" s="4" t="s">
        <v>116</v>
      </c>
      <c r="E222" s="5" t="s">
        <v>34</v>
      </c>
      <c r="F222" s="4" t="s">
        <v>622</v>
      </c>
      <c r="G222" s="4" t="s">
        <v>26</v>
      </c>
      <c r="H222" s="4" t="s">
        <v>1048</v>
      </c>
      <c r="I222" s="12">
        <v>1.01</v>
      </c>
      <c r="J222" s="12">
        <v>1.01</v>
      </c>
      <c r="K222" s="12"/>
      <c r="L222" s="12"/>
      <c r="M222" s="67"/>
      <c r="N222" s="12"/>
      <c r="O222" s="12"/>
      <c r="P222" s="12"/>
      <c r="Q222" s="12"/>
      <c r="R222" s="12"/>
      <c r="S222" s="12"/>
      <c r="T222" s="12"/>
      <c r="U222" s="12"/>
      <c r="V222" s="12"/>
      <c r="W222" s="7"/>
      <c r="X222" s="12"/>
      <c r="Y222" s="7"/>
      <c r="Z222" s="7"/>
      <c r="AA222" s="7"/>
      <c r="AB222" s="8">
        <f>1/(6*10^-6)</f>
        <v>166666.66666666666</v>
      </c>
      <c r="AC222" s="8"/>
      <c r="AD222" s="4"/>
      <c r="AE222" s="4"/>
      <c r="AF222" s="4"/>
      <c r="AG222" s="4"/>
      <c r="AH222" s="9"/>
      <c r="AI222" s="9"/>
      <c r="AJ222" s="9"/>
      <c r="AK222" s="9" t="s">
        <v>30</v>
      </c>
      <c r="AL222" s="10"/>
      <c r="AM222" s="10"/>
      <c r="AN222" s="10"/>
      <c r="AO222" s="10"/>
      <c r="AP222" s="10"/>
      <c r="AQ222" s="11">
        <v>13</v>
      </c>
      <c r="AR222" s="4"/>
      <c r="AS222" s="10"/>
      <c r="AT222" s="10"/>
      <c r="AU222" s="10"/>
      <c r="AV222" s="10"/>
      <c r="AW222" s="10"/>
      <c r="AX222" s="10"/>
      <c r="AY222" s="10"/>
      <c r="AZ222" s="10"/>
      <c r="BA222" s="10"/>
      <c r="BB222" s="10"/>
      <c r="BC222" s="10"/>
      <c r="BD222" s="10"/>
    </row>
    <row r="223" spans="1:56" ht="29" x14ac:dyDescent="0.35">
      <c r="A223" s="4" t="s">
        <v>630</v>
      </c>
      <c r="B223" s="4"/>
      <c r="C223" s="4" t="s">
        <v>22</v>
      </c>
      <c r="D223" s="4" t="s">
        <v>116</v>
      </c>
      <c r="E223" s="5" t="s">
        <v>34</v>
      </c>
      <c r="F223" s="4" t="s">
        <v>622</v>
      </c>
      <c r="G223" s="4" t="s">
        <v>26</v>
      </c>
      <c r="H223" s="4" t="s">
        <v>1049</v>
      </c>
      <c r="I223" s="12">
        <v>1.01</v>
      </c>
      <c r="J223" s="12">
        <v>1.01</v>
      </c>
      <c r="K223" s="12"/>
      <c r="L223" s="12"/>
      <c r="M223" s="67"/>
      <c r="N223" s="12"/>
      <c r="O223" s="12"/>
      <c r="P223" s="12"/>
      <c r="Q223" s="12"/>
      <c r="R223" s="12"/>
      <c r="S223" s="12"/>
      <c r="T223" s="12"/>
      <c r="U223" s="12"/>
      <c r="V223" s="12"/>
      <c r="W223" s="7"/>
      <c r="X223" s="12"/>
      <c r="Y223" s="7"/>
      <c r="Z223" s="7"/>
      <c r="AA223" s="7"/>
      <c r="AB223" s="8">
        <f>1/(1*10^-5)</f>
        <v>99999.999999999985</v>
      </c>
      <c r="AC223" s="8"/>
      <c r="AD223" s="4"/>
      <c r="AE223" s="4"/>
      <c r="AF223" s="4"/>
      <c r="AG223" s="4"/>
      <c r="AH223" s="9"/>
      <c r="AI223" s="9"/>
      <c r="AJ223" s="9"/>
      <c r="AK223" s="9" t="s">
        <v>30</v>
      </c>
      <c r="AL223" s="10"/>
      <c r="AM223" s="10"/>
      <c r="AN223" s="10"/>
      <c r="AO223" s="10"/>
      <c r="AP223" s="10"/>
      <c r="AQ223" s="11">
        <v>13</v>
      </c>
      <c r="AR223" s="4"/>
      <c r="AS223" s="10"/>
      <c r="AT223" s="10"/>
      <c r="AU223" s="10"/>
      <c r="AV223" s="10"/>
      <c r="AW223" s="10"/>
      <c r="AX223" s="10"/>
      <c r="AY223" s="10"/>
      <c r="AZ223" s="10"/>
      <c r="BA223" s="10"/>
      <c r="BB223" s="10"/>
      <c r="BC223" s="10"/>
      <c r="BD223" s="10"/>
    </row>
    <row r="224" spans="1:56" ht="29" x14ac:dyDescent="0.35">
      <c r="A224" s="4" t="s">
        <v>631</v>
      </c>
      <c r="B224" s="4"/>
      <c r="C224" s="4" t="s">
        <v>22</v>
      </c>
      <c r="D224" s="4" t="s">
        <v>116</v>
      </c>
      <c r="E224" s="5" t="s">
        <v>34</v>
      </c>
      <c r="F224" s="4" t="s">
        <v>622</v>
      </c>
      <c r="G224" s="4" t="s">
        <v>26</v>
      </c>
      <c r="H224" s="4" t="s">
        <v>1050</v>
      </c>
      <c r="I224" s="12">
        <v>1.01</v>
      </c>
      <c r="J224" s="12">
        <v>1.01</v>
      </c>
      <c r="K224" s="12"/>
      <c r="L224" s="12"/>
      <c r="M224" s="67"/>
      <c r="N224" s="12"/>
      <c r="O224" s="12"/>
      <c r="P224" s="12"/>
      <c r="Q224" s="12"/>
      <c r="R224" s="12"/>
      <c r="S224" s="12"/>
      <c r="T224" s="12"/>
      <c r="U224" s="12"/>
      <c r="V224" s="12"/>
      <c r="W224" s="7"/>
      <c r="X224" s="12"/>
      <c r="Y224" s="7"/>
      <c r="Z224" s="7"/>
      <c r="AA224" s="7"/>
      <c r="AB224" s="8">
        <f>1/(5.99*10^-6)</f>
        <v>166944.9081803005</v>
      </c>
      <c r="AC224" s="8"/>
      <c r="AD224" s="4"/>
      <c r="AE224" s="4"/>
      <c r="AF224" s="4"/>
      <c r="AG224" s="4"/>
      <c r="AH224" s="9"/>
      <c r="AI224" s="9"/>
      <c r="AJ224" s="9"/>
      <c r="AK224" s="9" t="s">
        <v>30</v>
      </c>
      <c r="AL224" s="10"/>
      <c r="AM224" s="10"/>
      <c r="AN224" s="10"/>
      <c r="AO224" s="10"/>
      <c r="AP224" s="10"/>
      <c r="AQ224" s="11">
        <v>13</v>
      </c>
      <c r="AR224" s="4"/>
      <c r="AS224" s="10"/>
      <c r="AT224" s="10"/>
      <c r="AU224" s="10"/>
      <c r="AV224" s="10"/>
      <c r="AW224" s="10"/>
      <c r="AX224" s="10"/>
      <c r="AY224" s="10"/>
      <c r="AZ224" s="10"/>
      <c r="BA224" s="10"/>
      <c r="BB224" s="10"/>
      <c r="BC224" s="10"/>
      <c r="BD224" s="10"/>
    </row>
    <row r="225" spans="1:56" ht="29" x14ac:dyDescent="0.35">
      <c r="A225" s="16" t="s">
        <v>1206</v>
      </c>
      <c r="B225" s="16"/>
      <c r="C225" s="4" t="s">
        <v>22</v>
      </c>
      <c r="D225" s="4" t="s">
        <v>116</v>
      </c>
      <c r="E225" s="5" t="s">
        <v>34</v>
      </c>
      <c r="F225" s="4"/>
      <c r="G225" s="4" t="s">
        <v>26</v>
      </c>
      <c r="H225" s="4" t="s">
        <v>1207</v>
      </c>
      <c r="I225" s="12"/>
      <c r="J225" s="12">
        <v>92.73</v>
      </c>
      <c r="K225" s="12"/>
      <c r="L225" s="12"/>
      <c r="M225" s="67"/>
      <c r="N225" s="12"/>
      <c r="O225" s="12"/>
      <c r="P225" s="12"/>
      <c r="Q225" s="12"/>
      <c r="R225" s="12"/>
      <c r="S225" s="12"/>
      <c r="T225" s="12"/>
      <c r="U225" s="12">
        <v>62.129100000000008</v>
      </c>
      <c r="V225" s="12">
        <v>62.129100000000008</v>
      </c>
      <c r="W225" s="7"/>
      <c r="X225" s="12"/>
      <c r="Y225" s="7"/>
      <c r="Z225" s="7"/>
      <c r="AA225" s="7"/>
      <c r="AB225" s="8"/>
      <c r="AC225" s="8"/>
      <c r="AD225" s="4"/>
      <c r="AE225" s="4"/>
      <c r="AF225" s="4"/>
      <c r="AG225" s="4"/>
      <c r="AH225" s="9"/>
      <c r="AI225" s="9"/>
      <c r="AJ225" s="9"/>
      <c r="AK225" s="9"/>
      <c r="AL225" s="10"/>
      <c r="AM225" s="10"/>
      <c r="AN225" s="10"/>
      <c r="AO225" s="10"/>
      <c r="AP225" s="10"/>
      <c r="AQ225" s="11"/>
      <c r="AR225" s="4"/>
      <c r="AS225" s="10"/>
      <c r="AT225" s="10"/>
      <c r="AU225" s="10"/>
      <c r="AV225" s="10"/>
      <c r="AW225" s="10"/>
      <c r="AX225" s="10"/>
      <c r="AY225" s="10"/>
      <c r="AZ225" s="10"/>
      <c r="BA225" s="10"/>
      <c r="BB225" s="10"/>
      <c r="BC225" s="10"/>
      <c r="BD225" s="10"/>
    </row>
    <row r="226" spans="1:56" ht="29" x14ac:dyDescent="0.35">
      <c r="A226" s="4" t="s">
        <v>620</v>
      </c>
      <c r="B226" s="4"/>
      <c r="C226" s="4" t="s">
        <v>46</v>
      </c>
      <c r="D226" s="4" t="s">
        <v>47</v>
      </c>
      <c r="E226" s="5" t="s">
        <v>34</v>
      </c>
      <c r="F226" s="4" t="s">
        <v>632</v>
      </c>
      <c r="G226" s="4" t="s">
        <v>26</v>
      </c>
      <c r="H226" s="4" t="s">
        <v>1053</v>
      </c>
      <c r="I226" s="12"/>
      <c r="J226" s="12"/>
      <c r="K226" s="12"/>
      <c r="L226" s="12"/>
      <c r="M226" s="67"/>
      <c r="N226" s="12"/>
      <c r="O226" s="12"/>
      <c r="P226" s="12"/>
      <c r="Q226" s="12"/>
      <c r="R226" s="12"/>
      <c r="S226" s="12"/>
      <c r="T226" s="12"/>
      <c r="U226" s="12"/>
      <c r="V226" s="12"/>
      <c r="W226" s="7"/>
      <c r="X226" s="12"/>
      <c r="Y226" s="7"/>
      <c r="Z226" s="7"/>
      <c r="AA226" s="7"/>
      <c r="AB226" s="8">
        <f>1/(1.7*10^-5)</f>
        <v>58823.529411764706</v>
      </c>
      <c r="AC226" s="8"/>
      <c r="AD226" s="4"/>
      <c r="AE226" s="4"/>
      <c r="AF226" s="4"/>
      <c r="AG226" s="4"/>
      <c r="AH226" s="9"/>
      <c r="AI226" s="9"/>
      <c r="AJ226" s="9"/>
      <c r="AK226" s="9" t="s">
        <v>30</v>
      </c>
      <c r="AL226" s="10"/>
      <c r="AM226" s="10"/>
      <c r="AN226" s="10"/>
      <c r="AO226" s="10"/>
      <c r="AP226" s="10"/>
      <c r="AQ226" s="11">
        <v>13</v>
      </c>
      <c r="AR226" s="4"/>
      <c r="AS226" s="10"/>
      <c r="AT226" s="10"/>
      <c r="AU226" s="10"/>
      <c r="AV226" s="10"/>
      <c r="AW226" s="10"/>
      <c r="AX226" s="10"/>
      <c r="AY226" s="10"/>
      <c r="AZ226" s="10"/>
      <c r="BA226" s="10"/>
      <c r="BB226" s="10"/>
      <c r="BC226" s="10"/>
      <c r="BD226" s="10"/>
    </row>
    <row r="227" spans="1:56" ht="29" x14ac:dyDescent="0.35">
      <c r="A227" s="4" t="s">
        <v>614</v>
      </c>
      <c r="B227" s="4"/>
      <c r="C227" s="4" t="s">
        <v>46</v>
      </c>
      <c r="D227" s="4" t="s">
        <v>47</v>
      </c>
      <c r="E227" s="5" t="s">
        <v>34</v>
      </c>
      <c r="F227" s="4" t="s">
        <v>632</v>
      </c>
      <c r="G227" s="4" t="s">
        <v>26</v>
      </c>
      <c r="H227" s="4" t="s">
        <v>1053</v>
      </c>
      <c r="I227" s="12"/>
      <c r="J227" s="12"/>
      <c r="K227" s="12"/>
      <c r="L227" s="12"/>
      <c r="M227" s="67"/>
      <c r="N227" s="12"/>
      <c r="O227" s="12"/>
      <c r="P227" s="12"/>
      <c r="Q227" s="12"/>
      <c r="R227" s="12"/>
      <c r="S227" s="12"/>
      <c r="T227" s="12"/>
      <c r="U227" s="12"/>
      <c r="V227" s="12"/>
      <c r="W227" s="7"/>
      <c r="X227" s="12"/>
      <c r="Y227" s="7"/>
      <c r="Z227" s="7"/>
      <c r="AA227" s="7"/>
      <c r="AB227" s="8">
        <f>1/(4.67*10^-5)</f>
        <v>21413.276231263382</v>
      </c>
      <c r="AC227" s="8"/>
      <c r="AD227" s="4"/>
      <c r="AE227" s="4"/>
      <c r="AF227" s="4"/>
      <c r="AG227" s="4"/>
      <c r="AH227" s="9"/>
      <c r="AI227" s="9"/>
      <c r="AJ227" s="9"/>
      <c r="AK227" s="9" t="s">
        <v>30</v>
      </c>
      <c r="AL227" s="10"/>
      <c r="AM227" s="10"/>
      <c r="AN227" s="10"/>
      <c r="AO227" s="10"/>
      <c r="AP227" s="10"/>
      <c r="AQ227" s="11">
        <v>13</v>
      </c>
      <c r="AR227" s="4"/>
      <c r="AS227" s="10"/>
      <c r="AT227" s="10"/>
      <c r="AU227" s="10"/>
      <c r="AV227" s="10"/>
      <c r="AW227" s="10"/>
      <c r="AX227" s="10"/>
      <c r="AY227" s="10"/>
      <c r="AZ227" s="10"/>
      <c r="BA227" s="10"/>
      <c r="BB227" s="10"/>
      <c r="BC227" s="10"/>
      <c r="BD227" s="10"/>
    </row>
    <row r="228" spans="1:56" ht="29" x14ac:dyDescent="0.35">
      <c r="A228" s="4" t="s">
        <v>634</v>
      </c>
      <c r="B228" s="4"/>
      <c r="C228" s="4" t="s">
        <v>46</v>
      </c>
      <c r="D228" s="4" t="s">
        <v>47</v>
      </c>
      <c r="E228" s="5" t="s">
        <v>34</v>
      </c>
      <c r="F228" s="4" t="s">
        <v>632</v>
      </c>
      <c r="G228" s="4" t="s">
        <v>26</v>
      </c>
      <c r="H228" s="4" t="s">
        <v>1053</v>
      </c>
      <c r="I228" s="12"/>
      <c r="J228" s="12"/>
      <c r="K228" s="12"/>
      <c r="L228" s="12"/>
      <c r="M228" s="67"/>
      <c r="N228" s="12"/>
      <c r="O228" s="12"/>
      <c r="P228" s="12"/>
      <c r="Q228" s="12"/>
      <c r="R228" s="12"/>
      <c r="S228" s="12"/>
      <c r="T228" s="12"/>
      <c r="U228" s="12"/>
      <c r="V228" s="12"/>
      <c r="W228" s="7"/>
      <c r="X228" s="12"/>
      <c r="Y228" s="7"/>
      <c r="Z228" s="7"/>
      <c r="AA228" s="7"/>
      <c r="AB228" s="8">
        <f>1/(7.02*10^-6)</f>
        <v>142450.14245014248</v>
      </c>
      <c r="AC228" s="8"/>
      <c r="AD228" s="4"/>
      <c r="AE228" s="4"/>
      <c r="AF228" s="4"/>
      <c r="AG228" s="4"/>
      <c r="AH228" s="9"/>
      <c r="AI228" s="9"/>
      <c r="AJ228" s="9"/>
      <c r="AK228" s="9" t="s">
        <v>30</v>
      </c>
      <c r="AL228" s="10"/>
      <c r="AM228" s="10"/>
      <c r="AN228" s="10"/>
      <c r="AO228" s="10"/>
      <c r="AP228" s="10"/>
      <c r="AQ228" s="11">
        <v>13</v>
      </c>
      <c r="AR228" s="4"/>
      <c r="AS228" s="10"/>
      <c r="AT228" s="10"/>
      <c r="AU228" s="10"/>
      <c r="AV228" s="10"/>
      <c r="AW228" s="10"/>
      <c r="AX228" s="10"/>
      <c r="AY228" s="10"/>
      <c r="AZ228" s="10"/>
      <c r="BA228" s="10"/>
      <c r="BB228" s="10"/>
      <c r="BC228" s="10"/>
      <c r="BD228" s="10"/>
    </row>
    <row r="229" spans="1:56" ht="29" x14ac:dyDescent="0.35">
      <c r="A229" s="4" t="s">
        <v>629</v>
      </c>
      <c r="B229" s="4"/>
      <c r="C229" s="4" t="s">
        <v>46</v>
      </c>
      <c r="D229" s="4" t="s">
        <v>47</v>
      </c>
      <c r="E229" s="5" t="s">
        <v>34</v>
      </c>
      <c r="F229" s="4" t="s">
        <v>632</v>
      </c>
      <c r="G229" s="4" t="s">
        <v>26</v>
      </c>
      <c r="H229" s="4" t="s">
        <v>1053</v>
      </c>
      <c r="I229" s="12"/>
      <c r="J229" s="12"/>
      <c r="K229" s="12"/>
      <c r="L229" s="12"/>
      <c r="M229" s="67"/>
      <c r="N229" s="12"/>
      <c r="O229" s="12"/>
      <c r="P229" s="12"/>
      <c r="Q229" s="12"/>
      <c r="R229" s="12"/>
      <c r="S229" s="12"/>
      <c r="T229" s="12"/>
      <c r="U229" s="12"/>
      <c r="V229" s="12"/>
      <c r="W229" s="7"/>
      <c r="X229" s="12"/>
      <c r="Y229" s="7"/>
      <c r="Z229" s="7"/>
      <c r="AA229" s="7"/>
      <c r="AB229" s="8">
        <f>1/(1*10^-5)</f>
        <v>99999.999999999985</v>
      </c>
      <c r="AC229" s="8"/>
      <c r="AD229" s="4"/>
      <c r="AE229" s="4"/>
      <c r="AF229" s="4"/>
      <c r="AG229" s="4"/>
      <c r="AH229" s="9"/>
      <c r="AI229" s="9"/>
      <c r="AJ229" s="9"/>
      <c r="AK229" s="9" t="s">
        <v>30</v>
      </c>
      <c r="AL229" s="10"/>
      <c r="AM229" s="10"/>
      <c r="AN229" s="10"/>
      <c r="AO229" s="10"/>
      <c r="AP229" s="10"/>
      <c r="AQ229" s="11">
        <v>13</v>
      </c>
      <c r="AR229" s="4"/>
      <c r="AS229" s="10"/>
      <c r="AT229" s="10"/>
      <c r="AU229" s="10"/>
      <c r="AV229" s="10"/>
      <c r="AW229" s="10"/>
      <c r="AX229" s="10"/>
      <c r="AY229" s="10"/>
      <c r="AZ229" s="10"/>
      <c r="BA229" s="10"/>
      <c r="BB229" s="10"/>
      <c r="BC229" s="10"/>
      <c r="BD229" s="10"/>
    </row>
    <row r="230" spans="1:56" ht="29" x14ac:dyDescent="0.35">
      <c r="A230" s="4" t="s">
        <v>603</v>
      </c>
      <c r="B230" s="4"/>
      <c r="C230" s="4" t="s">
        <v>46</v>
      </c>
      <c r="D230" s="4" t="s">
        <v>47</v>
      </c>
      <c r="E230" s="5" t="s">
        <v>34</v>
      </c>
      <c r="F230" s="4" t="s">
        <v>632</v>
      </c>
      <c r="G230" s="4" t="s">
        <v>26</v>
      </c>
      <c r="H230" s="4" t="s">
        <v>1053</v>
      </c>
      <c r="I230" s="12"/>
      <c r="J230" s="12"/>
      <c r="K230" s="12"/>
      <c r="L230" s="12"/>
      <c r="M230" s="67"/>
      <c r="N230" s="12"/>
      <c r="O230" s="12"/>
      <c r="P230" s="12"/>
      <c r="Q230" s="12"/>
      <c r="R230" s="12"/>
      <c r="S230" s="12"/>
      <c r="T230" s="12"/>
      <c r="U230" s="12"/>
      <c r="V230" s="12"/>
      <c r="W230" s="7"/>
      <c r="X230" s="12"/>
      <c r="Y230" s="7"/>
      <c r="Z230" s="7"/>
      <c r="AA230" s="7"/>
      <c r="AB230" s="8">
        <f>1/(1*10^-5)</f>
        <v>99999.999999999985</v>
      </c>
      <c r="AC230" s="8"/>
      <c r="AD230" s="4"/>
      <c r="AE230" s="4"/>
      <c r="AF230" s="4"/>
      <c r="AG230" s="4"/>
      <c r="AH230" s="9"/>
      <c r="AI230" s="9"/>
      <c r="AJ230" s="9"/>
      <c r="AK230" s="9" t="s">
        <v>30</v>
      </c>
      <c r="AL230" s="10"/>
      <c r="AM230" s="10"/>
      <c r="AN230" s="10"/>
      <c r="AO230" s="10"/>
      <c r="AP230" s="10"/>
      <c r="AQ230" s="11">
        <v>13</v>
      </c>
      <c r="AR230" s="4"/>
      <c r="AS230" s="10"/>
      <c r="AT230" s="10"/>
      <c r="AU230" s="10"/>
      <c r="AV230" s="10"/>
      <c r="AW230" s="10"/>
      <c r="AX230" s="10"/>
      <c r="AY230" s="10"/>
      <c r="AZ230" s="10"/>
      <c r="BA230" s="10"/>
      <c r="BB230" s="10"/>
      <c r="BC230" s="10"/>
      <c r="BD230" s="10"/>
    </row>
    <row r="231" spans="1:56" ht="29" x14ac:dyDescent="0.35">
      <c r="A231" s="4" t="s">
        <v>586</v>
      </c>
      <c r="B231" s="4"/>
      <c r="C231" s="4" t="s">
        <v>46</v>
      </c>
      <c r="D231" s="4" t="s">
        <v>47</v>
      </c>
      <c r="E231" s="5" t="s">
        <v>34</v>
      </c>
      <c r="F231" s="4" t="s">
        <v>632</v>
      </c>
      <c r="G231" s="4" t="s">
        <v>26</v>
      </c>
      <c r="H231" s="4" t="s">
        <v>1056</v>
      </c>
      <c r="I231" s="12"/>
      <c r="J231" s="12"/>
      <c r="K231" s="12"/>
      <c r="L231" s="12"/>
      <c r="M231" s="67"/>
      <c r="N231" s="12"/>
      <c r="O231" s="12"/>
      <c r="P231" s="12"/>
      <c r="Q231" s="12"/>
      <c r="R231" s="12"/>
      <c r="S231" s="12"/>
      <c r="T231" s="12"/>
      <c r="U231" s="12"/>
      <c r="V231" s="12"/>
      <c r="W231" s="7"/>
      <c r="X231" s="12"/>
      <c r="Y231" s="7"/>
      <c r="Z231" s="7"/>
      <c r="AA231" s="7"/>
      <c r="AB231" s="8">
        <f>1/(1*10^-5)</f>
        <v>99999.999999999985</v>
      </c>
      <c r="AC231" s="8"/>
      <c r="AD231" s="4"/>
      <c r="AE231" s="4"/>
      <c r="AF231" s="4"/>
      <c r="AG231" s="4"/>
      <c r="AH231" s="9"/>
      <c r="AI231" s="9"/>
      <c r="AJ231" s="9"/>
      <c r="AK231" s="9" t="s">
        <v>30</v>
      </c>
      <c r="AL231" s="10"/>
      <c r="AM231" s="10"/>
      <c r="AN231" s="10"/>
      <c r="AO231" s="10"/>
      <c r="AP231" s="10"/>
      <c r="AQ231" s="11">
        <v>13</v>
      </c>
      <c r="AR231" s="4"/>
      <c r="AS231" s="10"/>
      <c r="AT231" s="10"/>
      <c r="AU231" s="10"/>
      <c r="AV231" s="10"/>
      <c r="AW231" s="10"/>
      <c r="AX231" s="10"/>
      <c r="AY231" s="10"/>
      <c r="AZ231" s="10"/>
      <c r="BA231" s="10"/>
      <c r="BB231" s="10"/>
      <c r="BC231" s="10"/>
      <c r="BD231" s="10"/>
    </row>
    <row r="232" spans="1:56" ht="29" x14ac:dyDescent="0.35">
      <c r="A232" s="4" t="s">
        <v>587</v>
      </c>
      <c r="B232" s="4"/>
      <c r="C232" s="4" t="s">
        <v>46</v>
      </c>
      <c r="D232" s="4" t="s">
        <v>47</v>
      </c>
      <c r="E232" s="5" t="s">
        <v>34</v>
      </c>
      <c r="F232" s="4" t="s">
        <v>632</v>
      </c>
      <c r="G232" s="4" t="s">
        <v>26</v>
      </c>
      <c r="H232" s="4" t="s">
        <v>635</v>
      </c>
      <c r="I232" s="12"/>
      <c r="J232" s="12"/>
      <c r="K232" s="12"/>
      <c r="L232" s="12"/>
      <c r="M232" s="67"/>
      <c r="N232" s="12"/>
      <c r="O232" s="12"/>
      <c r="P232" s="12"/>
      <c r="Q232" s="12"/>
      <c r="R232" s="12"/>
      <c r="S232" s="12"/>
      <c r="T232" s="12"/>
      <c r="U232" s="12"/>
      <c r="V232" s="12"/>
      <c r="W232" s="7"/>
      <c r="X232" s="12"/>
      <c r="Y232" s="7"/>
      <c r="Z232" s="7"/>
      <c r="AA232" s="7"/>
      <c r="AB232" s="8">
        <f>1/(1.5*10^-5)</f>
        <v>66666.666666666657</v>
      </c>
      <c r="AC232" s="8"/>
      <c r="AD232" s="4"/>
      <c r="AE232" s="4"/>
      <c r="AF232" s="4"/>
      <c r="AG232" s="4"/>
      <c r="AH232" s="9"/>
      <c r="AI232" s="9"/>
      <c r="AJ232" s="9"/>
      <c r="AK232" s="9" t="s">
        <v>30</v>
      </c>
      <c r="AL232" s="10"/>
      <c r="AM232" s="10"/>
      <c r="AN232" s="10"/>
      <c r="AO232" s="10"/>
      <c r="AP232" s="10"/>
      <c r="AQ232" s="11">
        <v>13</v>
      </c>
      <c r="AR232" s="4"/>
      <c r="AS232" s="10"/>
      <c r="AT232" s="10"/>
      <c r="AU232" s="10"/>
      <c r="AV232" s="10"/>
      <c r="AW232" s="10"/>
      <c r="AX232" s="10"/>
      <c r="AY232" s="10"/>
      <c r="AZ232" s="10"/>
      <c r="BA232" s="10"/>
      <c r="BB232" s="10"/>
      <c r="BC232" s="10"/>
      <c r="BD232" s="10"/>
    </row>
    <row r="233" spans="1:56" ht="29" x14ac:dyDescent="0.35">
      <c r="A233" s="4" t="s">
        <v>636</v>
      </c>
      <c r="B233" s="4"/>
      <c r="C233" s="4" t="s">
        <v>46</v>
      </c>
      <c r="D233" s="4" t="s">
        <v>47</v>
      </c>
      <c r="E233" s="5" t="s">
        <v>34</v>
      </c>
      <c r="F233" s="4" t="s">
        <v>632</v>
      </c>
      <c r="G233" s="4" t="s">
        <v>26</v>
      </c>
      <c r="H233" s="4" t="s">
        <v>1053</v>
      </c>
      <c r="I233" s="12"/>
      <c r="J233" s="12"/>
      <c r="K233" s="12"/>
      <c r="L233" s="12"/>
      <c r="M233" s="67"/>
      <c r="N233" s="12"/>
      <c r="O233" s="12"/>
      <c r="P233" s="12"/>
      <c r="Q233" s="12"/>
      <c r="R233" s="12"/>
      <c r="S233" s="12"/>
      <c r="T233" s="12"/>
      <c r="U233" s="12"/>
      <c r="V233" s="12"/>
      <c r="W233" s="7"/>
      <c r="X233" s="12"/>
      <c r="Y233" s="7"/>
      <c r="Z233" s="7"/>
      <c r="AA233" s="7"/>
      <c r="AB233" s="8">
        <f>1/(1*10^-8)</f>
        <v>100000000</v>
      </c>
      <c r="AC233" s="8"/>
      <c r="AD233" s="4"/>
      <c r="AE233" s="4"/>
      <c r="AF233" s="4"/>
      <c r="AG233" s="4"/>
      <c r="AH233" s="9"/>
      <c r="AI233" s="9"/>
      <c r="AJ233" s="9"/>
      <c r="AK233" s="9" t="s">
        <v>30</v>
      </c>
      <c r="AL233" s="10"/>
      <c r="AM233" s="10"/>
      <c r="AN233" s="10"/>
      <c r="AO233" s="10"/>
      <c r="AP233" s="10"/>
      <c r="AQ233" s="11">
        <v>13</v>
      </c>
      <c r="AR233" s="4"/>
      <c r="AS233" s="10"/>
      <c r="AT233" s="10"/>
      <c r="AU233" s="10"/>
      <c r="AV233" s="10"/>
      <c r="AW233" s="10"/>
      <c r="AX233" s="10"/>
      <c r="AY233" s="10"/>
      <c r="AZ233" s="10"/>
      <c r="BA233" s="10"/>
      <c r="BB233" s="10"/>
      <c r="BC233" s="10"/>
      <c r="BD233" s="10"/>
    </row>
    <row r="234" spans="1:56" ht="29" x14ac:dyDescent="0.35">
      <c r="A234" s="4" t="s">
        <v>590</v>
      </c>
      <c r="B234" s="4"/>
      <c r="C234" s="4" t="s">
        <v>46</v>
      </c>
      <c r="D234" s="4" t="s">
        <v>47</v>
      </c>
      <c r="E234" s="5" t="s">
        <v>34</v>
      </c>
      <c r="F234" s="4" t="s">
        <v>632</v>
      </c>
      <c r="G234" s="4" t="s">
        <v>26</v>
      </c>
      <c r="H234" s="4" t="s">
        <v>637</v>
      </c>
      <c r="I234" s="12"/>
      <c r="J234" s="12"/>
      <c r="K234" s="12"/>
      <c r="L234" s="12"/>
      <c r="M234" s="67"/>
      <c r="N234" s="12"/>
      <c r="O234" s="12"/>
      <c r="P234" s="12"/>
      <c r="Q234" s="12"/>
      <c r="R234" s="12"/>
      <c r="S234" s="12"/>
      <c r="T234" s="12"/>
      <c r="U234" s="12"/>
      <c r="V234" s="12"/>
      <c r="W234" s="7"/>
      <c r="X234" s="12"/>
      <c r="Y234" s="7"/>
      <c r="Z234" s="7"/>
      <c r="AA234" s="7"/>
      <c r="AB234" s="8">
        <f>1/(1*10^-5)</f>
        <v>99999.999999999985</v>
      </c>
      <c r="AC234" s="8"/>
      <c r="AD234" s="4"/>
      <c r="AE234" s="4"/>
      <c r="AF234" s="4"/>
      <c r="AG234" s="4"/>
      <c r="AH234" s="9"/>
      <c r="AI234" s="9"/>
      <c r="AJ234" s="9"/>
      <c r="AK234" s="9" t="s">
        <v>30</v>
      </c>
      <c r="AL234" s="10"/>
      <c r="AM234" s="10"/>
      <c r="AN234" s="10"/>
      <c r="AO234" s="10"/>
      <c r="AP234" s="10"/>
      <c r="AQ234" s="11">
        <v>13</v>
      </c>
      <c r="AR234" s="4"/>
      <c r="AS234" s="10"/>
      <c r="AT234" s="10"/>
      <c r="AU234" s="10"/>
      <c r="AV234" s="10"/>
      <c r="AW234" s="10"/>
      <c r="AX234" s="10"/>
      <c r="AY234" s="10"/>
      <c r="AZ234" s="10"/>
      <c r="BA234" s="10"/>
      <c r="BB234" s="10"/>
      <c r="BC234" s="10"/>
      <c r="BD234" s="10"/>
    </row>
    <row r="235" spans="1:56" ht="29" x14ac:dyDescent="0.35">
      <c r="A235" s="4" t="s">
        <v>592</v>
      </c>
      <c r="B235" s="4"/>
      <c r="C235" s="4" t="s">
        <v>46</v>
      </c>
      <c r="D235" s="4" t="s">
        <v>47</v>
      </c>
      <c r="E235" s="5" t="s">
        <v>34</v>
      </c>
      <c r="F235" s="4" t="s">
        <v>632</v>
      </c>
      <c r="G235" s="4" t="s">
        <v>26</v>
      </c>
      <c r="H235" s="4" t="s">
        <v>1053</v>
      </c>
      <c r="I235" s="12"/>
      <c r="J235" s="12"/>
      <c r="K235" s="12"/>
      <c r="L235" s="12"/>
      <c r="M235" s="67"/>
      <c r="N235" s="12"/>
      <c r="O235" s="12"/>
      <c r="P235" s="12"/>
      <c r="Q235" s="12"/>
      <c r="R235" s="12"/>
      <c r="S235" s="12"/>
      <c r="T235" s="12"/>
      <c r="U235" s="12"/>
      <c r="V235" s="12"/>
      <c r="W235" s="7"/>
      <c r="X235" s="12"/>
      <c r="Y235" s="7"/>
      <c r="Z235" s="7"/>
      <c r="AA235" s="7"/>
      <c r="AB235" s="8">
        <f>1/(1*10^-5)</f>
        <v>99999.999999999985</v>
      </c>
      <c r="AC235" s="8"/>
      <c r="AD235" s="4"/>
      <c r="AE235" s="4"/>
      <c r="AF235" s="4"/>
      <c r="AG235" s="4"/>
      <c r="AH235" s="9"/>
      <c r="AI235" s="9"/>
      <c r="AJ235" s="9"/>
      <c r="AK235" s="9" t="s">
        <v>30</v>
      </c>
      <c r="AL235" s="10"/>
      <c r="AM235" s="10"/>
      <c r="AN235" s="10"/>
      <c r="AO235" s="10"/>
      <c r="AP235" s="10"/>
      <c r="AQ235" s="11">
        <v>13</v>
      </c>
      <c r="AR235" s="4"/>
      <c r="AS235" s="10"/>
      <c r="AT235" s="10"/>
      <c r="AU235" s="10"/>
      <c r="AV235" s="10"/>
      <c r="AW235" s="10"/>
      <c r="AX235" s="10"/>
      <c r="AY235" s="10"/>
      <c r="AZ235" s="10"/>
      <c r="BA235" s="10"/>
      <c r="BB235" s="10"/>
      <c r="BC235" s="10"/>
      <c r="BD235" s="10"/>
    </row>
    <row r="236" spans="1:56" ht="29" x14ac:dyDescent="0.35">
      <c r="A236" s="4" t="s">
        <v>591</v>
      </c>
      <c r="B236" s="4"/>
      <c r="C236" s="4" t="s">
        <v>46</v>
      </c>
      <c r="D236" s="4" t="s">
        <v>47</v>
      </c>
      <c r="E236" s="5" t="s">
        <v>34</v>
      </c>
      <c r="F236" s="4" t="s">
        <v>632</v>
      </c>
      <c r="G236" s="4" t="s">
        <v>26</v>
      </c>
      <c r="H236" s="4" t="s">
        <v>635</v>
      </c>
      <c r="I236" s="12"/>
      <c r="J236" s="12"/>
      <c r="K236" s="12"/>
      <c r="L236" s="12"/>
      <c r="M236" s="67"/>
      <c r="N236" s="12"/>
      <c r="O236" s="12"/>
      <c r="P236" s="12"/>
      <c r="Q236" s="12"/>
      <c r="R236" s="12"/>
      <c r="S236" s="12"/>
      <c r="T236" s="12"/>
      <c r="U236" s="12"/>
      <c r="V236" s="12"/>
      <c r="W236" s="7"/>
      <c r="X236" s="12"/>
      <c r="Y236" s="7"/>
      <c r="Z236" s="7"/>
      <c r="AA236" s="7"/>
      <c r="AB236" s="8">
        <f>1/(6*10^-6)</f>
        <v>166666.66666666666</v>
      </c>
      <c r="AC236" s="8"/>
      <c r="AD236" s="4"/>
      <c r="AE236" s="4"/>
      <c r="AF236" s="4"/>
      <c r="AG236" s="4"/>
      <c r="AH236" s="9"/>
      <c r="AI236" s="9"/>
      <c r="AJ236" s="9"/>
      <c r="AK236" s="9" t="s">
        <v>30</v>
      </c>
      <c r="AL236" s="10"/>
      <c r="AM236" s="10"/>
      <c r="AN236" s="10"/>
      <c r="AO236" s="10"/>
      <c r="AP236" s="10"/>
      <c r="AQ236" s="11">
        <v>13</v>
      </c>
      <c r="AR236" s="4"/>
      <c r="AS236" s="10"/>
      <c r="AT236" s="10"/>
      <c r="AU236" s="10"/>
      <c r="AV236" s="10"/>
      <c r="AW236" s="10"/>
      <c r="AX236" s="10"/>
      <c r="AY236" s="10"/>
      <c r="AZ236" s="10"/>
      <c r="BA236" s="10"/>
      <c r="BB236" s="10"/>
      <c r="BC236" s="10"/>
      <c r="BD236" s="10"/>
    </row>
    <row r="237" spans="1:56" ht="29" x14ac:dyDescent="0.35">
      <c r="A237" s="4" t="s">
        <v>617</v>
      </c>
      <c r="B237" s="4"/>
      <c r="C237" s="4" t="s">
        <v>46</v>
      </c>
      <c r="D237" s="4" t="s">
        <v>47</v>
      </c>
      <c r="E237" s="5" t="s">
        <v>34</v>
      </c>
      <c r="F237" s="4" t="s">
        <v>632</v>
      </c>
      <c r="G237" s="4" t="s">
        <v>26</v>
      </c>
      <c r="H237" s="4" t="s">
        <v>637</v>
      </c>
      <c r="I237" s="12"/>
      <c r="J237" s="12"/>
      <c r="K237" s="12"/>
      <c r="L237" s="12"/>
      <c r="M237" s="67"/>
      <c r="N237" s="12"/>
      <c r="O237" s="12"/>
      <c r="P237" s="12"/>
      <c r="Q237" s="12"/>
      <c r="R237" s="12"/>
      <c r="S237" s="12"/>
      <c r="T237" s="12"/>
      <c r="U237" s="12"/>
      <c r="V237" s="12"/>
      <c r="W237" s="7"/>
      <c r="X237" s="12"/>
      <c r="Y237" s="7"/>
      <c r="Z237" s="7"/>
      <c r="AA237" s="7"/>
      <c r="AB237" s="8">
        <f>1/(1*10^-5)</f>
        <v>99999.999999999985</v>
      </c>
      <c r="AC237" s="8"/>
      <c r="AD237" s="4"/>
      <c r="AE237" s="4"/>
      <c r="AF237" s="4"/>
      <c r="AG237" s="4"/>
      <c r="AH237" s="9"/>
      <c r="AI237" s="9"/>
      <c r="AJ237" s="9"/>
      <c r="AK237" s="9" t="s">
        <v>30</v>
      </c>
      <c r="AL237" s="10"/>
      <c r="AM237" s="10"/>
      <c r="AN237" s="10"/>
      <c r="AO237" s="10"/>
      <c r="AP237" s="10"/>
      <c r="AQ237" s="11">
        <v>13</v>
      </c>
      <c r="AR237" s="4"/>
      <c r="AS237" s="10"/>
      <c r="AT237" s="10"/>
      <c r="AU237" s="10"/>
      <c r="AV237" s="10"/>
      <c r="AW237" s="10"/>
      <c r="AX237" s="10"/>
      <c r="AY237" s="10"/>
      <c r="AZ237" s="10"/>
      <c r="BA237" s="10"/>
      <c r="BB237" s="10"/>
      <c r="BC237" s="10"/>
      <c r="BD237" s="10"/>
    </row>
    <row r="238" spans="1:56" ht="29" x14ac:dyDescent="0.35">
      <c r="A238" s="4" t="s">
        <v>618</v>
      </c>
      <c r="B238" s="4"/>
      <c r="C238" s="4" t="s">
        <v>46</v>
      </c>
      <c r="D238" s="4" t="s">
        <v>47</v>
      </c>
      <c r="E238" s="5" t="s">
        <v>34</v>
      </c>
      <c r="F238" s="4" t="s">
        <v>632</v>
      </c>
      <c r="G238" s="4" t="s">
        <v>26</v>
      </c>
      <c r="H238" s="4" t="s">
        <v>638</v>
      </c>
      <c r="I238" s="12"/>
      <c r="J238" s="12"/>
      <c r="K238" s="12"/>
      <c r="L238" s="12"/>
      <c r="M238" s="67"/>
      <c r="N238" s="12"/>
      <c r="O238" s="12"/>
      <c r="P238" s="12"/>
      <c r="Q238" s="12"/>
      <c r="R238" s="12"/>
      <c r="S238" s="12"/>
      <c r="T238" s="12"/>
      <c r="U238" s="12"/>
      <c r="V238" s="12"/>
      <c r="W238" s="7"/>
      <c r="X238" s="12"/>
      <c r="Y238" s="7"/>
      <c r="Z238" s="7"/>
      <c r="AA238" s="7"/>
      <c r="AB238" s="8">
        <f>1/(1*10^-5)</f>
        <v>99999.999999999985</v>
      </c>
      <c r="AC238" s="8"/>
      <c r="AD238" s="4"/>
      <c r="AE238" s="4"/>
      <c r="AF238" s="4"/>
      <c r="AG238" s="4"/>
      <c r="AH238" s="9"/>
      <c r="AI238" s="9"/>
      <c r="AJ238" s="9"/>
      <c r="AK238" s="9" t="s">
        <v>30</v>
      </c>
      <c r="AL238" s="10"/>
      <c r="AM238" s="10"/>
      <c r="AN238" s="10"/>
      <c r="AO238" s="10"/>
      <c r="AP238" s="10"/>
      <c r="AQ238" s="11">
        <v>13</v>
      </c>
      <c r="AR238" s="4"/>
      <c r="AS238" s="10"/>
      <c r="AT238" s="10"/>
      <c r="AU238" s="10"/>
      <c r="AV238" s="10"/>
      <c r="AW238" s="10"/>
      <c r="AX238" s="10"/>
      <c r="AY238" s="10"/>
      <c r="AZ238" s="10"/>
      <c r="BA238" s="10"/>
      <c r="BB238" s="10"/>
      <c r="BC238" s="10"/>
      <c r="BD238" s="10"/>
    </row>
    <row r="239" spans="1:56" ht="29" x14ac:dyDescent="0.35">
      <c r="A239" s="4" t="s">
        <v>631</v>
      </c>
      <c r="B239" s="4"/>
      <c r="C239" s="4" t="s">
        <v>46</v>
      </c>
      <c r="D239" s="4" t="s">
        <v>47</v>
      </c>
      <c r="E239" s="5" t="s">
        <v>34</v>
      </c>
      <c r="F239" s="4" t="s">
        <v>632</v>
      </c>
      <c r="G239" s="4" t="s">
        <v>26</v>
      </c>
      <c r="H239" s="4" t="s">
        <v>639</v>
      </c>
      <c r="I239" s="12"/>
      <c r="J239" s="12"/>
      <c r="K239" s="12"/>
      <c r="L239" s="12"/>
      <c r="M239" s="67"/>
      <c r="N239" s="12"/>
      <c r="O239" s="12"/>
      <c r="P239" s="12"/>
      <c r="Q239" s="12"/>
      <c r="R239" s="12"/>
      <c r="S239" s="12"/>
      <c r="T239" s="12"/>
      <c r="U239" s="12"/>
      <c r="V239" s="12"/>
      <c r="W239" s="7"/>
      <c r="X239" s="12"/>
      <c r="Y239" s="7"/>
      <c r="Z239" s="7"/>
      <c r="AA239" s="7"/>
      <c r="AB239" s="8">
        <f>1/(5.99*10^-6)</f>
        <v>166944.9081803005</v>
      </c>
      <c r="AC239" s="8"/>
      <c r="AD239" s="4"/>
      <c r="AE239" s="4"/>
      <c r="AF239" s="4"/>
      <c r="AG239" s="4"/>
      <c r="AH239" s="9"/>
      <c r="AI239" s="9"/>
      <c r="AJ239" s="9"/>
      <c r="AK239" s="9" t="s">
        <v>30</v>
      </c>
      <c r="AL239" s="10"/>
      <c r="AM239" s="10"/>
      <c r="AN239" s="10"/>
      <c r="AO239" s="10"/>
      <c r="AP239" s="10"/>
      <c r="AQ239" s="11">
        <v>13</v>
      </c>
      <c r="AR239" s="4"/>
      <c r="AS239" s="10"/>
      <c r="AT239" s="10"/>
      <c r="AU239" s="10"/>
      <c r="AV239" s="10"/>
      <c r="AW239" s="10"/>
      <c r="AX239" s="10"/>
      <c r="AY239" s="10"/>
      <c r="AZ239" s="10"/>
      <c r="BA239" s="10"/>
      <c r="BB239" s="10"/>
      <c r="BC239" s="10"/>
      <c r="BD239" s="10"/>
    </row>
    <row r="240" spans="1:56" ht="43.5" x14ac:dyDescent="0.35">
      <c r="A240" s="4" t="s">
        <v>81</v>
      </c>
      <c r="B240" s="4"/>
      <c r="C240" s="4" t="s">
        <v>46</v>
      </c>
      <c r="D240" s="4" t="s">
        <v>47</v>
      </c>
      <c r="E240" s="5" t="s">
        <v>34</v>
      </c>
      <c r="F240" s="4" t="s">
        <v>640</v>
      </c>
      <c r="G240" s="4" t="s">
        <v>26</v>
      </c>
      <c r="H240" s="4" t="s">
        <v>1057</v>
      </c>
      <c r="I240" s="12"/>
      <c r="J240" s="12"/>
      <c r="K240" s="12"/>
      <c r="L240" s="12"/>
      <c r="M240" s="67"/>
      <c r="N240" s="12"/>
      <c r="O240" s="12"/>
      <c r="P240" s="12"/>
      <c r="Q240" s="12"/>
      <c r="R240" s="12"/>
      <c r="S240" s="12"/>
      <c r="T240" s="12"/>
      <c r="U240" s="12"/>
      <c r="V240" s="12"/>
      <c r="W240" s="7"/>
      <c r="X240" s="12"/>
      <c r="Y240" s="7" t="str">
        <f t="shared" ref="Y240:Y254" si="2">$Y$88</f>
        <v>4-5
4
6</v>
      </c>
      <c r="Z240" s="7"/>
      <c r="AA240" s="7"/>
      <c r="AB240" s="8">
        <f>1/(8*10^-6)</f>
        <v>125000</v>
      </c>
      <c r="AC240" s="7"/>
      <c r="AD240" s="4"/>
      <c r="AE240" s="4"/>
      <c r="AF240" s="4"/>
      <c r="AG240" s="4"/>
      <c r="AH240" s="9"/>
      <c r="AI240" s="9"/>
      <c r="AJ240" s="9"/>
      <c r="AK240" s="9" t="s">
        <v>30</v>
      </c>
      <c r="AL240" s="10"/>
      <c r="AM240" s="10"/>
      <c r="AN240" s="10"/>
      <c r="AO240" s="10"/>
      <c r="AP240" s="10"/>
      <c r="AQ240" s="11">
        <v>13</v>
      </c>
      <c r="AR240" s="4"/>
      <c r="AS240" s="10"/>
      <c r="AT240" s="10"/>
      <c r="AU240" s="10"/>
      <c r="AV240" s="10"/>
      <c r="AW240" s="10"/>
      <c r="AX240" s="10"/>
      <c r="AY240" s="10"/>
      <c r="AZ240" s="10"/>
      <c r="BA240" s="10"/>
      <c r="BB240" s="10"/>
      <c r="BC240" s="10"/>
      <c r="BD240" s="10"/>
    </row>
    <row r="241" spans="1:56" ht="43.5" x14ac:dyDescent="0.35">
      <c r="A241" s="4" t="s">
        <v>641</v>
      </c>
      <c r="B241" s="4"/>
      <c r="C241" s="4" t="s">
        <v>46</v>
      </c>
      <c r="D241" s="4" t="s">
        <v>47</v>
      </c>
      <c r="E241" s="5" t="s">
        <v>34</v>
      </c>
      <c r="F241" s="4" t="s">
        <v>640</v>
      </c>
      <c r="G241" s="4" t="s">
        <v>26</v>
      </c>
      <c r="H241" s="4" t="s">
        <v>1057</v>
      </c>
      <c r="I241" s="12"/>
      <c r="J241" s="12"/>
      <c r="K241" s="12"/>
      <c r="L241" s="12"/>
      <c r="M241" s="67"/>
      <c r="N241" s="12"/>
      <c r="O241" s="12"/>
      <c r="P241" s="12"/>
      <c r="Q241" s="12"/>
      <c r="R241" s="12"/>
      <c r="S241" s="12"/>
      <c r="T241" s="12"/>
      <c r="U241" s="12"/>
      <c r="V241" s="12"/>
      <c r="W241" s="7"/>
      <c r="X241" s="12"/>
      <c r="Y241" s="7" t="str">
        <f t="shared" si="2"/>
        <v>4-5
4
6</v>
      </c>
      <c r="Z241" s="7"/>
      <c r="AA241" s="7"/>
      <c r="AB241" s="8">
        <f>1/(1.7*10^-5)</f>
        <v>58823.529411764706</v>
      </c>
      <c r="AC241" s="7"/>
      <c r="AD241" s="4"/>
      <c r="AE241" s="4"/>
      <c r="AF241" s="4"/>
      <c r="AG241" s="4"/>
      <c r="AH241" s="9"/>
      <c r="AI241" s="9"/>
      <c r="AJ241" s="9"/>
      <c r="AK241" s="9" t="s">
        <v>30</v>
      </c>
      <c r="AL241" s="10"/>
      <c r="AM241" s="10"/>
      <c r="AN241" s="10"/>
      <c r="AO241" s="10"/>
      <c r="AP241" s="10"/>
      <c r="AQ241" s="11">
        <v>13</v>
      </c>
      <c r="AR241" s="4"/>
      <c r="AS241" s="10"/>
      <c r="AT241" s="10"/>
      <c r="AU241" s="10"/>
      <c r="AV241" s="10"/>
      <c r="AW241" s="10"/>
      <c r="AX241" s="10"/>
      <c r="AY241" s="10"/>
      <c r="AZ241" s="10"/>
      <c r="BA241" s="10"/>
      <c r="BB241" s="10"/>
      <c r="BC241" s="10"/>
      <c r="BD241" s="10"/>
    </row>
    <row r="242" spans="1:56" ht="43.5" x14ac:dyDescent="0.35">
      <c r="A242" s="4" t="s">
        <v>614</v>
      </c>
      <c r="B242" s="4"/>
      <c r="C242" s="4" t="s">
        <v>46</v>
      </c>
      <c r="D242" s="4" t="s">
        <v>47</v>
      </c>
      <c r="E242" s="5" t="s">
        <v>34</v>
      </c>
      <c r="F242" s="4" t="s">
        <v>640</v>
      </c>
      <c r="G242" s="4" t="s">
        <v>26</v>
      </c>
      <c r="H242" s="4" t="s">
        <v>642</v>
      </c>
      <c r="I242" s="12"/>
      <c r="J242" s="12"/>
      <c r="K242" s="12"/>
      <c r="L242" s="12"/>
      <c r="M242" s="67"/>
      <c r="N242" s="12"/>
      <c r="O242" s="12"/>
      <c r="P242" s="12"/>
      <c r="Q242" s="12"/>
      <c r="R242" s="12"/>
      <c r="S242" s="12"/>
      <c r="T242" s="12"/>
      <c r="U242" s="12"/>
      <c r="V242" s="12"/>
      <c r="W242" s="7"/>
      <c r="X242" s="12"/>
      <c r="Y242" s="7" t="str">
        <f t="shared" si="2"/>
        <v>4-5
4
6</v>
      </c>
      <c r="Z242" s="7"/>
      <c r="AA242" s="7"/>
      <c r="AB242" s="8">
        <f>1/(4.67*10^-5)</f>
        <v>21413.276231263382</v>
      </c>
      <c r="AC242" s="7"/>
      <c r="AD242" s="4"/>
      <c r="AE242" s="4"/>
      <c r="AF242" s="4"/>
      <c r="AG242" s="4"/>
      <c r="AH242" s="9"/>
      <c r="AI242" s="9"/>
      <c r="AJ242" s="9"/>
      <c r="AK242" s="9" t="s">
        <v>30</v>
      </c>
      <c r="AL242" s="10"/>
      <c r="AM242" s="10"/>
      <c r="AN242" s="10"/>
      <c r="AO242" s="10"/>
      <c r="AP242" s="10"/>
      <c r="AQ242" s="11">
        <v>13</v>
      </c>
      <c r="AR242" s="4"/>
      <c r="AS242" s="10"/>
      <c r="AT242" s="10"/>
      <c r="AU242" s="10"/>
      <c r="AV242" s="10"/>
      <c r="AW242" s="10"/>
      <c r="AX242" s="10"/>
      <c r="AY242" s="10"/>
      <c r="AZ242" s="10"/>
      <c r="BA242" s="10"/>
      <c r="BB242" s="10"/>
      <c r="BC242" s="10"/>
      <c r="BD242" s="10"/>
    </row>
    <row r="243" spans="1:56" ht="43.5" x14ac:dyDescent="0.35">
      <c r="A243" s="4" t="s">
        <v>599</v>
      </c>
      <c r="B243" s="4"/>
      <c r="C243" s="4" t="s">
        <v>46</v>
      </c>
      <c r="D243" s="4" t="s">
        <v>47</v>
      </c>
      <c r="E243" s="5" t="s">
        <v>34</v>
      </c>
      <c r="F243" s="4" t="s">
        <v>640</v>
      </c>
      <c r="G243" s="4" t="s">
        <v>26</v>
      </c>
      <c r="H243" s="4" t="s">
        <v>643</v>
      </c>
      <c r="I243" s="12"/>
      <c r="J243" s="12"/>
      <c r="K243" s="12"/>
      <c r="L243" s="12"/>
      <c r="M243" s="67"/>
      <c r="N243" s="12"/>
      <c r="O243" s="12"/>
      <c r="P243" s="12"/>
      <c r="Q243" s="12"/>
      <c r="R243" s="12"/>
      <c r="S243" s="12"/>
      <c r="T243" s="12"/>
      <c r="U243" s="12"/>
      <c r="V243" s="12"/>
      <c r="W243" s="7"/>
      <c r="X243" s="12"/>
      <c r="Y243" s="7" t="str">
        <f t="shared" si="2"/>
        <v>4-5
4
6</v>
      </c>
      <c r="Z243" s="7"/>
      <c r="AA243" s="7"/>
      <c r="AB243" s="8">
        <f>1/(5*10^-6)</f>
        <v>200000.00000000003</v>
      </c>
      <c r="AC243" s="7"/>
      <c r="AD243" s="4"/>
      <c r="AE243" s="4"/>
      <c r="AF243" s="4"/>
      <c r="AG243" s="4"/>
      <c r="AH243" s="9"/>
      <c r="AI243" s="9"/>
      <c r="AJ243" s="9"/>
      <c r="AK243" s="9" t="s">
        <v>30</v>
      </c>
      <c r="AL243" s="10"/>
      <c r="AM243" s="10"/>
      <c r="AN243" s="10"/>
      <c r="AO243" s="10"/>
      <c r="AP243" s="10"/>
      <c r="AQ243" s="11">
        <v>13</v>
      </c>
      <c r="AR243" s="4"/>
      <c r="AS243" s="10"/>
      <c r="AT243" s="10"/>
      <c r="AU243" s="10"/>
      <c r="AV243" s="10"/>
      <c r="AW243" s="10"/>
      <c r="AX243" s="10"/>
      <c r="AY243" s="10"/>
      <c r="AZ243" s="10"/>
      <c r="BA243" s="10"/>
      <c r="BB243" s="10"/>
      <c r="BC243" s="10"/>
      <c r="BD243" s="10"/>
    </row>
    <row r="244" spans="1:56" ht="43.5" x14ac:dyDescent="0.35">
      <c r="A244" s="4" t="s">
        <v>583</v>
      </c>
      <c r="B244" s="4"/>
      <c r="C244" s="4" t="s">
        <v>46</v>
      </c>
      <c r="D244" s="4" t="s">
        <v>47</v>
      </c>
      <c r="E244" s="5" t="s">
        <v>34</v>
      </c>
      <c r="F244" s="4" t="s">
        <v>640</v>
      </c>
      <c r="G244" s="4" t="s">
        <v>26</v>
      </c>
      <c r="H244" s="4" t="s">
        <v>644</v>
      </c>
      <c r="I244" s="12"/>
      <c r="J244" s="12"/>
      <c r="K244" s="12"/>
      <c r="L244" s="12"/>
      <c r="M244" s="67"/>
      <c r="N244" s="12"/>
      <c r="O244" s="12"/>
      <c r="P244" s="12"/>
      <c r="Q244" s="12"/>
      <c r="R244" s="12"/>
      <c r="S244" s="12"/>
      <c r="T244" s="12"/>
      <c r="U244" s="12"/>
      <c r="V244" s="12"/>
      <c r="W244" s="7"/>
      <c r="X244" s="12"/>
      <c r="Y244" s="7" t="str">
        <f t="shared" si="2"/>
        <v>4-5
4
6</v>
      </c>
      <c r="Z244" s="7"/>
      <c r="AA244" s="7"/>
      <c r="AB244" s="8">
        <f>1/(5.99*10^-6)</f>
        <v>166944.9081803005</v>
      </c>
      <c r="AC244" s="7"/>
      <c r="AD244" s="4"/>
      <c r="AE244" s="4"/>
      <c r="AF244" s="4"/>
      <c r="AG244" s="4"/>
      <c r="AH244" s="9"/>
      <c r="AI244" s="9"/>
      <c r="AJ244" s="9"/>
      <c r="AK244" s="9" t="s">
        <v>30</v>
      </c>
      <c r="AL244" s="10"/>
      <c r="AM244" s="10"/>
      <c r="AN244" s="10"/>
      <c r="AO244" s="10"/>
      <c r="AP244" s="10"/>
      <c r="AQ244" s="11">
        <v>13</v>
      </c>
      <c r="AR244" s="4"/>
      <c r="AS244" s="10"/>
      <c r="AT244" s="10"/>
      <c r="AU244" s="10"/>
      <c r="AV244" s="10"/>
      <c r="AW244" s="10"/>
      <c r="AX244" s="10"/>
      <c r="AY244" s="10"/>
      <c r="AZ244" s="10"/>
      <c r="BA244" s="10"/>
      <c r="BB244" s="10"/>
      <c r="BC244" s="10"/>
      <c r="BD244" s="10"/>
    </row>
    <row r="245" spans="1:56" ht="43.5" x14ac:dyDescent="0.35">
      <c r="A245" s="4" t="s">
        <v>586</v>
      </c>
      <c r="B245" s="4"/>
      <c r="C245" s="4" t="s">
        <v>46</v>
      </c>
      <c r="D245" s="4" t="s">
        <v>47</v>
      </c>
      <c r="E245" s="5" t="s">
        <v>34</v>
      </c>
      <c r="F245" s="4" t="s">
        <v>640</v>
      </c>
      <c r="G245" s="4" t="s">
        <v>26</v>
      </c>
      <c r="H245" s="4" t="s">
        <v>642</v>
      </c>
      <c r="I245" s="12"/>
      <c r="J245" s="12"/>
      <c r="K245" s="12"/>
      <c r="L245" s="12"/>
      <c r="M245" s="67"/>
      <c r="N245" s="12"/>
      <c r="O245" s="12"/>
      <c r="P245" s="12"/>
      <c r="Q245" s="12"/>
      <c r="R245" s="12"/>
      <c r="S245" s="12"/>
      <c r="T245" s="12"/>
      <c r="U245" s="12"/>
      <c r="V245" s="12"/>
      <c r="W245" s="7"/>
      <c r="X245" s="12"/>
      <c r="Y245" s="7" t="str">
        <f t="shared" si="2"/>
        <v>4-5
4
6</v>
      </c>
      <c r="Z245" s="7"/>
      <c r="AA245" s="7"/>
      <c r="AB245" s="8">
        <f>1/(1*10^-5)</f>
        <v>99999.999999999985</v>
      </c>
      <c r="AC245" s="7"/>
      <c r="AD245" s="4"/>
      <c r="AE245" s="4"/>
      <c r="AF245" s="4"/>
      <c r="AG245" s="4"/>
      <c r="AH245" s="9"/>
      <c r="AI245" s="9"/>
      <c r="AJ245" s="9"/>
      <c r="AK245" s="9" t="s">
        <v>30</v>
      </c>
      <c r="AL245" s="10"/>
      <c r="AM245" s="10"/>
      <c r="AN245" s="10"/>
      <c r="AO245" s="10"/>
      <c r="AP245" s="10"/>
      <c r="AQ245" s="11">
        <v>13</v>
      </c>
      <c r="AR245" s="4"/>
      <c r="AS245" s="10"/>
      <c r="AT245" s="10"/>
      <c r="AU245" s="10"/>
      <c r="AV245" s="10"/>
      <c r="AW245" s="10"/>
      <c r="AX245" s="10"/>
      <c r="AY245" s="10"/>
      <c r="AZ245" s="10"/>
      <c r="BA245" s="10"/>
      <c r="BB245" s="10"/>
      <c r="BC245" s="10"/>
      <c r="BD245" s="10"/>
    </row>
    <row r="246" spans="1:56" ht="43.5" x14ac:dyDescent="0.35">
      <c r="A246" s="4" t="s">
        <v>587</v>
      </c>
      <c r="B246" s="4"/>
      <c r="C246" s="4" t="s">
        <v>46</v>
      </c>
      <c r="D246" s="4" t="s">
        <v>47</v>
      </c>
      <c r="E246" s="5" t="s">
        <v>34</v>
      </c>
      <c r="F246" s="4" t="s">
        <v>640</v>
      </c>
      <c r="G246" s="4" t="s">
        <v>26</v>
      </c>
      <c r="H246" s="4" t="s">
        <v>642</v>
      </c>
      <c r="I246" s="12"/>
      <c r="J246" s="12"/>
      <c r="K246" s="12"/>
      <c r="L246" s="12"/>
      <c r="M246" s="67"/>
      <c r="N246" s="12"/>
      <c r="O246" s="12"/>
      <c r="P246" s="12"/>
      <c r="Q246" s="12"/>
      <c r="R246" s="12"/>
      <c r="S246" s="12"/>
      <c r="T246" s="12"/>
      <c r="U246" s="12"/>
      <c r="V246" s="12"/>
      <c r="W246" s="7"/>
      <c r="X246" s="12"/>
      <c r="Y246" s="7" t="str">
        <f t="shared" si="2"/>
        <v>4-5
4
6</v>
      </c>
      <c r="Z246" s="7"/>
      <c r="AA246" s="7"/>
      <c r="AB246" s="8">
        <f>1/(1.5*10^-5)</f>
        <v>66666.666666666657</v>
      </c>
      <c r="AC246" s="7"/>
      <c r="AD246" s="4"/>
      <c r="AE246" s="4"/>
      <c r="AF246" s="4"/>
      <c r="AG246" s="4"/>
      <c r="AH246" s="9"/>
      <c r="AI246" s="9"/>
      <c r="AJ246" s="9"/>
      <c r="AK246" s="9" t="s">
        <v>30</v>
      </c>
      <c r="AL246" s="10"/>
      <c r="AM246" s="10"/>
      <c r="AN246" s="10"/>
      <c r="AO246" s="10"/>
      <c r="AP246" s="10"/>
      <c r="AQ246" s="11">
        <v>13</v>
      </c>
      <c r="AR246" s="4"/>
      <c r="AS246" s="10"/>
      <c r="AT246" s="10"/>
      <c r="AU246" s="10"/>
      <c r="AV246" s="10"/>
      <c r="AW246" s="10"/>
      <c r="AX246" s="10"/>
      <c r="AY246" s="10"/>
      <c r="AZ246" s="10"/>
      <c r="BA246" s="10"/>
      <c r="BB246" s="10"/>
      <c r="BC246" s="10"/>
      <c r="BD246" s="10"/>
    </row>
    <row r="247" spans="1:56" ht="43.5" x14ac:dyDescent="0.35">
      <c r="A247" s="4" t="s">
        <v>588</v>
      </c>
      <c r="B247" s="4"/>
      <c r="C247" s="4" t="s">
        <v>46</v>
      </c>
      <c r="D247" s="4" t="s">
        <v>47</v>
      </c>
      <c r="E247" s="5" t="s">
        <v>34</v>
      </c>
      <c r="F247" s="4" t="s">
        <v>640</v>
      </c>
      <c r="G247" s="4" t="s">
        <v>26</v>
      </c>
      <c r="H247" s="4" t="s">
        <v>1057</v>
      </c>
      <c r="I247" s="12"/>
      <c r="J247" s="12"/>
      <c r="K247" s="12"/>
      <c r="L247" s="12"/>
      <c r="M247" s="67"/>
      <c r="N247" s="12"/>
      <c r="O247" s="12"/>
      <c r="P247" s="12"/>
      <c r="Q247" s="12"/>
      <c r="R247" s="12"/>
      <c r="S247" s="12"/>
      <c r="T247" s="12"/>
      <c r="U247" s="12"/>
      <c r="V247" s="12"/>
      <c r="W247" s="7"/>
      <c r="X247" s="12"/>
      <c r="Y247" s="7" t="str">
        <f t="shared" si="2"/>
        <v>4-5
4
6</v>
      </c>
      <c r="Z247" s="7"/>
      <c r="AA247" s="7"/>
      <c r="AB247" s="8">
        <f>1/(1*10^-5)</f>
        <v>99999.999999999985</v>
      </c>
      <c r="AC247" s="7"/>
      <c r="AD247" s="4"/>
      <c r="AE247" s="4"/>
      <c r="AF247" s="4"/>
      <c r="AG247" s="4"/>
      <c r="AH247" s="9"/>
      <c r="AI247" s="9"/>
      <c r="AJ247" s="9"/>
      <c r="AK247" s="9" t="s">
        <v>30</v>
      </c>
      <c r="AL247" s="10"/>
      <c r="AM247" s="10"/>
      <c r="AN247" s="10"/>
      <c r="AO247" s="10"/>
      <c r="AP247" s="10"/>
      <c r="AQ247" s="11">
        <v>13</v>
      </c>
      <c r="AR247" s="4"/>
      <c r="AS247" s="10"/>
      <c r="AT247" s="10"/>
      <c r="AU247" s="10"/>
      <c r="AV247" s="10"/>
      <c r="AW247" s="10"/>
      <c r="AX247" s="10"/>
      <c r="AY247" s="10"/>
      <c r="AZ247" s="10"/>
      <c r="BA247" s="10"/>
      <c r="BB247" s="10"/>
      <c r="BC247" s="10"/>
      <c r="BD247" s="10"/>
    </row>
    <row r="248" spans="1:56" ht="43.5" x14ac:dyDescent="0.35">
      <c r="A248" s="4" t="s">
        <v>590</v>
      </c>
      <c r="B248" s="4"/>
      <c r="C248" s="4" t="s">
        <v>46</v>
      </c>
      <c r="D248" s="4" t="s">
        <v>47</v>
      </c>
      <c r="E248" s="5" t="s">
        <v>34</v>
      </c>
      <c r="F248" s="4" t="s">
        <v>640</v>
      </c>
      <c r="G248" s="4" t="s">
        <v>26</v>
      </c>
      <c r="H248" s="4" t="s">
        <v>645</v>
      </c>
      <c r="I248" s="12"/>
      <c r="J248" s="12"/>
      <c r="K248" s="12"/>
      <c r="L248" s="12"/>
      <c r="M248" s="67"/>
      <c r="N248" s="12"/>
      <c r="O248" s="12"/>
      <c r="P248" s="12"/>
      <c r="Q248" s="12"/>
      <c r="R248" s="12"/>
      <c r="S248" s="12"/>
      <c r="T248" s="12"/>
      <c r="U248" s="12"/>
      <c r="V248" s="12"/>
      <c r="W248" s="7"/>
      <c r="X248" s="12"/>
      <c r="Y248" s="7" t="str">
        <f t="shared" si="2"/>
        <v>4-5
4
6</v>
      </c>
      <c r="Z248" s="7"/>
      <c r="AA248" s="7"/>
      <c r="AB248" s="8">
        <f>1/(1*10^-5)</f>
        <v>99999.999999999985</v>
      </c>
      <c r="AC248" s="7"/>
      <c r="AD248" s="4"/>
      <c r="AE248" s="4"/>
      <c r="AF248" s="4"/>
      <c r="AG248" s="4"/>
      <c r="AH248" s="9"/>
      <c r="AI248" s="9"/>
      <c r="AJ248" s="9"/>
      <c r="AK248" s="9" t="s">
        <v>30</v>
      </c>
      <c r="AL248" s="10"/>
      <c r="AM248" s="10"/>
      <c r="AN248" s="10"/>
      <c r="AO248" s="10"/>
      <c r="AP248" s="10"/>
      <c r="AQ248" s="11">
        <v>13</v>
      </c>
      <c r="AR248" s="4"/>
      <c r="AS248" s="10"/>
      <c r="AT248" s="10"/>
      <c r="AU248" s="10"/>
      <c r="AV248" s="10"/>
      <c r="AW248" s="10"/>
      <c r="AX248" s="10"/>
      <c r="AY248" s="10"/>
      <c r="AZ248" s="10"/>
      <c r="BA248" s="10"/>
      <c r="BB248" s="10"/>
      <c r="BC248" s="10"/>
      <c r="BD248" s="10"/>
    </row>
    <row r="249" spans="1:56" ht="43.5" x14ac:dyDescent="0.35">
      <c r="A249" s="19" t="s">
        <v>646</v>
      </c>
      <c r="B249" s="4"/>
      <c r="C249" s="4" t="s">
        <v>46</v>
      </c>
      <c r="D249" s="4" t="s">
        <v>47</v>
      </c>
      <c r="E249" s="5" t="s">
        <v>34</v>
      </c>
      <c r="F249" s="4" t="s">
        <v>640</v>
      </c>
      <c r="G249" s="4" t="s">
        <v>26</v>
      </c>
      <c r="H249" s="4" t="s">
        <v>642</v>
      </c>
      <c r="I249" s="12"/>
      <c r="J249" s="12"/>
      <c r="K249" s="12"/>
      <c r="L249" s="12"/>
      <c r="M249" s="67"/>
      <c r="N249" s="12"/>
      <c r="O249" s="12"/>
      <c r="P249" s="12"/>
      <c r="Q249" s="12"/>
      <c r="R249" s="12"/>
      <c r="S249" s="12"/>
      <c r="T249" s="12"/>
      <c r="U249" s="12"/>
      <c r="V249" s="12"/>
      <c r="W249" s="7"/>
      <c r="X249" s="12"/>
      <c r="Y249" s="7" t="str">
        <f t="shared" si="2"/>
        <v>4-5
4
6</v>
      </c>
      <c r="Z249" s="7"/>
      <c r="AA249" s="7"/>
      <c r="AB249" s="8"/>
      <c r="AC249" s="7"/>
      <c r="AD249" s="4"/>
      <c r="AE249" s="4"/>
      <c r="AF249" s="4"/>
      <c r="AG249" s="4"/>
      <c r="AH249" s="9"/>
      <c r="AI249" s="9"/>
      <c r="AJ249" s="9"/>
      <c r="AK249" s="9" t="s">
        <v>30</v>
      </c>
      <c r="AL249" s="10"/>
      <c r="AM249" s="10"/>
      <c r="AN249" s="10"/>
      <c r="AO249" s="10"/>
      <c r="AP249" s="10"/>
      <c r="AQ249" s="11">
        <v>13</v>
      </c>
      <c r="AR249" s="4"/>
      <c r="AS249" s="10"/>
      <c r="AT249" s="10"/>
      <c r="AU249" s="10"/>
      <c r="AV249" s="10"/>
      <c r="AW249" s="10"/>
      <c r="AX249" s="10"/>
      <c r="AY249" s="10"/>
      <c r="AZ249" s="10"/>
      <c r="BA249" s="10"/>
      <c r="BB249" s="10"/>
      <c r="BC249" s="10"/>
      <c r="BD249" s="10"/>
    </row>
    <row r="250" spans="1:56" ht="43.5" x14ac:dyDescent="0.35">
      <c r="A250" s="20" t="s">
        <v>592</v>
      </c>
      <c r="B250" s="23"/>
      <c r="C250" s="4" t="s">
        <v>46</v>
      </c>
      <c r="D250" s="4" t="s">
        <v>47</v>
      </c>
      <c r="E250" s="5" t="s">
        <v>34</v>
      </c>
      <c r="F250" s="4" t="s">
        <v>640</v>
      </c>
      <c r="G250" s="4" t="s">
        <v>26</v>
      </c>
      <c r="H250" s="4" t="s">
        <v>642</v>
      </c>
      <c r="I250" s="12"/>
      <c r="J250" s="12"/>
      <c r="K250" s="12"/>
      <c r="L250" s="12"/>
      <c r="M250" s="67"/>
      <c r="N250" s="12"/>
      <c r="O250" s="12"/>
      <c r="P250" s="12"/>
      <c r="Q250" s="12"/>
      <c r="R250" s="12"/>
      <c r="S250" s="12"/>
      <c r="T250" s="12"/>
      <c r="U250" s="12"/>
      <c r="V250" s="12"/>
      <c r="W250" s="7"/>
      <c r="X250" s="12"/>
      <c r="Y250" s="7" t="str">
        <f t="shared" si="2"/>
        <v>4-5
4
6</v>
      </c>
      <c r="Z250" s="7"/>
      <c r="AA250" s="7"/>
      <c r="AB250" s="8">
        <f>1/(1*10^-5)</f>
        <v>99999.999999999985</v>
      </c>
      <c r="AC250" s="7"/>
      <c r="AD250" s="4"/>
      <c r="AE250" s="4"/>
      <c r="AF250" s="4"/>
      <c r="AG250" s="4"/>
      <c r="AH250" s="9"/>
      <c r="AI250" s="9"/>
      <c r="AJ250" s="9"/>
      <c r="AK250" s="9" t="s">
        <v>30</v>
      </c>
      <c r="AL250" s="10"/>
      <c r="AM250" s="10"/>
      <c r="AN250" s="10"/>
      <c r="AO250" s="10"/>
      <c r="AP250" s="10"/>
      <c r="AQ250" s="11">
        <v>13</v>
      </c>
      <c r="AR250" s="4"/>
      <c r="AS250" s="10"/>
      <c r="AT250" s="10"/>
      <c r="AU250" s="10"/>
      <c r="AV250" s="10"/>
      <c r="AW250" s="10"/>
      <c r="AX250" s="10"/>
      <c r="AY250" s="10"/>
      <c r="AZ250" s="10"/>
      <c r="BA250" s="10"/>
      <c r="BB250" s="10"/>
      <c r="BC250" s="10"/>
      <c r="BD250" s="10"/>
    </row>
    <row r="251" spans="1:56" ht="43.5" x14ac:dyDescent="0.35">
      <c r="A251" s="19" t="s">
        <v>591</v>
      </c>
      <c r="B251" s="4"/>
      <c r="C251" s="4" t="s">
        <v>46</v>
      </c>
      <c r="D251" s="4" t="s">
        <v>47</v>
      </c>
      <c r="E251" s="5" t="s">
        <v>34</v>
      </c>
      <c r="F251" s="4" t="s">
        <v>640</v>
      </c>
      <c r="G251" s="4" t="s">
        <v>26</v>
      </c>
      <c r="H251" s="4" t="s">
        <v>1057</v>
      </c>
      <c r="I251" s="12"/>
      <c r="J251" s="12"/>
      <c r="K251" s="12"/>
      <c r="L251" s="12"/>
      <c r="M251" s="67"/>
      <c r="N251" s="12"/>
      <c r="O251" s="12"/>
      <c r="P251" s="12"/>
      <c r="Q251" s="12"/>
      <c r="R251" s="12"/>
      <c r="S251" s="12"/>
      <c r="T251" s="12"/>
      <c r="U251" s="12"/>
      <c r="V251" s="12"/>
      <c r="W251" s="7"/>
      <c r="X251" s="12"/>
      <c r="Y251" s="7" t="str">
        <f t="shared" si="2"/>
        <v>4-5
4
6</v>
      </c>
      <c r="Z251" s="7"/>
      <c r="AA251" s="7"/>
      <c r="AB251" s="8">
        <f>1/(6*10^-6)</f>
        <v>166666.66666666666</v>
      </c>
      <c r="AC251" s="7"/>
      <c r="AD251" s="4"/>
      <c r="AE251" s="4"/>
      <c r="AF251" s="4"/>
      <c r="AG251" s="4"/>
      <c r="AH251" s="9"/>
      <c r="AI251" s="9"/>
      <c r="AJ251" s="9"/>
      <c r="AK251" s="9" t="s">
        <v>30</v>
      </c>
      <c r="AL251" s="10"/>
      <c r="AM251" s="10"/>
      <c r="AN251" s="10"/>
      <c r="AO251" s="10"/>
      <c r="AP251" s="10"/>
      <c r="AQ251" s="11">
        <v>13</v>
      </c>
      <c r="AR251" s="4"/>
      <c r="AS251" s="10"/>
      <c r="AT251" s="10"/>
      <c r="AU251" s="10"/>
      <c r="AV251" s="10"/>
      <c r="AW251" s="10"/>
      <c r="AX251" s="10"/>
      <c r="AY251" s="10"/>
      <c r="AZ251" s="10"/>
      <c r="BA251" s="10"/>
      <c r="BB251" s="10"/>
      <c r="BC251" s="10"/>
      <c r="BD251" s="10"/>
    </row>
    <row r="252" spans="1:56" ht="43.5" x14ac:dyDescent="0.35">
      <c r="A252" s="20" t="s">
        <v>617</v>
      </c>
      <c r="B252" s="23"/>
      <c r="C252" s="4" t="s">
        <v>46</v>
      </c>
      <c r="D252" s="4" t="s">
        <v>47</v>
      </c>
      <c r="E252" s="5" t="s">
        <v>34</v>
      </c>
      <c r="F252" s="4" t="s">
        <v>640</v>
      </c>
      <c r="G252" s="4" t="s">
        <v>26</v>
      </c>
      <c r="H252" s="4" t="s">
        <v>642</v>
      </c>
      <c r="I252" s="12"/>
      <c r="J252" s="12"/>
      <c r="K252" s="12"/>
      <c r="L252" s="12"/>
      <c r="M252" s="67"/>
      <c r="N252" s="12"/>
      <c r="O252" s="12"/>
      <c r="P252" s="12"/>
      <c r="Q252" s="12"/>
      <c r="R252" s="12"/>
      <c r="S252" s="12"/>
      <c r="T252" s="12"/>
      <c r="U252" s="12"/>
      <c r="V252" s="12"/>
      <c r="W252" s="7"/>
      <c r="X252" s="12"/>
      <c r="Y252" s="7" t="str">
        <f t="shared" si="2"/>
        <v>4-5
4
6</v>
      </c>
      <c r="Z252" s="7"/>
      <c r="AA252" s="7"/>
      <c r="AB252" s="8">
        <f>1/(1*10^-5)</f>
        <v>99999.999999999985</v>
      </c>
      <c r="AC252" s="7"/>
      <c r="AD252" s="4"/>
      <c r="AE252" s="4"/>
      <c r="AF252" s="4"/>
      <c r="AG252" s="4"/>
      <c r="AH252" s="9"/>
      <c r="AI252" s="9"/>
      <c r="AJ252" s="9"/>
      <c r="AK252" s="9" t="s">
        <v>30</v>
      </c>
      <c r="AL252" s="10"/>
      <c r="AM252" s="10"/>
      <c r="AN252" s="10"/>
      <c r="AO252" s="10"/>
      <c r="AP252" s="10"/>
      <c r="AQ252" s="11">
        <v>13</v>
      </c>
      <c r="AR252" s="4"/>
      <c r="AS252" s="10"/>
      <c r="AT252" s="10"/>
      <c r="AU252" s="10"/>
      <c r="AV252" s="10"/>
      <c r="AW252" s="10"/>
      <c r="AX252" s="10"/>
      <c r="AY252" s="10"/>
      <c r="AZ252" s="10"/>
      <c r="BA252" s="10"/>
      <c r="BB252" s="10"/>
      <c r="BC252" s="10"/>
      <c r="BD252" s="10"/>
    </row>
    <row r="253" spans="1:56" ht="43.5" x14ac:dyDescent="0.35">
      <c r="A253" s="19" t="s">
        <v>618</v>
      </c>
      <c r="B253" s="4"/>
      <c r="C253" s="4" t="s">
        <v>46</v>
      </c>
      <c r="D253" s="4" t="s">
        <v>47</v>
      </c>
      <c r="E253" s="5" t="s">
        <v>34</v>
      </c>
      <c r="F253" s="4" t="s">
        <v>640</v>
      </c>
      <c r="G253" s="4" t="s">
        <v>26</v>
      </c>
      <c r="H253" s="4" t="s">
        <v>643</v>
      </c>
      <c r="I253" s="12"/>
      <c r="J253" s="12"/>
      <c r="K253" s="12"/>
      <c r="L253" s="12"/>
      <c r="M253" s="67"/>
      <c r="N253" s="12"/>
      <c r="O253" s="12"/>
      <c r="P253" s="12"/>
      <c r="Q253" s="12"/>
      <c r="R253" s="12"/>
      <c r="S253" s="12"/>
      <c r="T253" s="12"/>
      <c r="U253" s="12"/>
      <c r="V253" s="12"/>
      <c r="W253" s="7"/>
      <c r="X253" s="12"/>
      <c r="Y253" s="7" t="str">
        <f t="shared" si="2"/>
        <v>4-5
4
6</v>
      </c>
      <c r="Z253" s="7"/>
      <c r="AA253" s="7"/>
      <c r="AB253" s="8">
        <f>1/(1*10^-5)</f>
        <v>99999.999999999985</v>
      </c>
      <c r="AC253" s="7"/>
      <c r="AD253" s="4"/>
      <c r="AE253" s="4"/>
      <c r="AF253" s="4"/>
      <c r="AG253" s="4"/>
      <c r="AH253" s="9"/>
      <c r="AI253" s="9"/>
      <c r="AJ253" s="9"/>
      <c r="AK253" s="9" t="s">
        <v>30</v>
      </c>
      <c r="AL253" s="10"/>
      <c r="AM253" s="10"/>
      <c r="AN253" s="10"/>
      <c r="AO253" s="10"/>
      <c r="AP253" s="10"/>
      <c r="AQ253" s="11">
        <v>13</v>
      </c>
      <c r="AR253" s="4"/>
      <c r="AS253" s="10"/>
      <c r="AT253" s="10"/>
      <c r="AU253" s="10"/>
      <c r="AV253" s="10"/>
      <c r="AW253" s="10"/>
      <c r="AX253" s="10"/>
      <c r="AY253" s="10"/>
      <c r="AZ253" s="10"/>
      <c r="BA253" s="10"/>
      <c r="BB253" s="10"/>
      <c r="BC253" s="10"/>
      <c r="BD253" s="10"/>
    </row>
    <row r="254" spans="1:56" ht="43.5" x14ac:dyDescent="0.35">
      <c r="A254" s="21" t="s">
        <v>647</v>
      </c>
      <c r="B254" s="23"/>
      <c r="C254" s="4" t="s">
        <v>46</v>
      </c>
      <c r="D254" s="4" t="s">
        <v>47</v>
      </c>
      <c r="E254" s="5" t="s">
        <v>34</v>
      </c>
      <c r="F254" s="4" t="s">
        <v>640</v>
      </c>
      <c r="G254" s="4" t="s">
        <v>26</v>
      </c>
      <c r="H254" s="4" t="s">
        <v>643</v>
      </c>
      <c r="I254" s="12"/>
      <c r="J254" s="12"/>
      <c r="K254" s="12"/>
      <c r="L254" s="12"/>
      <c r="M254" s="67"/>
      <c r="N254" s="12"/>
      <c r="O254" s="12"/>
      <c r="P254" s="12"/>
      <c r="Q254" s="12"/>
      <c r="R254" s="12"/>
      <c r="S254" s="12"/>
      <c r="T254" s="12"/>
      <c r="U254" s="12"/>
      <c r="V254" s="12"/>
      <c r="W254" s="7"/>
      <c r="X254" s="12"/>
      <c r="Y254" s="7" t="str">
        <f t="shared" si="2"/>
        <v>4-5
4
6</v>
      </c>
      <c r="Z254" s="7"/>
      <c r="AA254" s="7"/>
      <c r="AB254" s="8">
        <f>1/(7.65*10^-6)</f>
        <v>130718.95424836602</v>
      </c>
      <c r="AC254" s="7"/>
      <c r="AD254" s="4"/>
      <c r="AE254" s="4"/>
      <c r="AF254" s="4"/>
      <c r="AG254" s="4"/>
      <c r="AH254" s="9"/>
      <c r="AI254" s="9"/>
      <c r="AJ254" s="9"/>
      <c r="AK254" s="9" t="s">
        <v>30</v>
      </c>
      <c r="AL254" s="10"/>
      <c r="AM254" s="10"/>
      <c r="AN254" s="10"/>
      <c r="AO254" s="10"/>
      <c r="AP254" s="10"/>
      <c r="AQ254" s="11">
        <v>13</v>
      </c>
      <c r="AR254" s="4"/>
      <c r="AS254" s="10"/>
      <c r="AT254" s="10"/>
      <c r="AU254" s="10"/>
      <c r="AV254" s="10"/>
      <c r="AW254" s="10"/>
      <c r="AX254" s="10"/>
      <c r="AY254" s="10"/>
      <c r="AZ254" s="10"/>
      <c r="BA254" s="10"/>
      <c r="BB254" s="10"/>
      <c r="BC254" s="10"/>
      <c r="BD254" s="10"/>
    </row>
    <row r="255" spans="1:56" ht="29" x14ac:dyDescent="0.35">
      <c r="A255" s="4" t="s">
        <v>633</v>
      </c>
      <c r="B255" s="4"/>
      <c r="C255" s="4" t="s">
        <v>46</v>
      </c>
      <c r="D255" s="4" t="s">
        <v>47</v>
      </c>
      <c r="E255" s="5" t="s">
        <v>34</v>
      </c>
      <c r="F255" s="4" t="s">
        <v>648</v>
      </c>
      <c r="G255" s="4" t="s">
        <v>26</v>
      </c>
      <c r="H255" s="4" t="s">
        <v>1053</v>
      </c>
      <c r="I255" s="12"/>
      <c r="J255" s="12"/>
      <c r="K255" s="12"/>
      <c r="L255" s="12"/>
      <c r="M255" s="67"/>
      <c r="N255" s="12"/>
      <c r="O255" s="12"/>
      <c r="P255" s="12"/>
      <c r="Q255" s="12"/>
      <c r="R255" s="12"/>
      <c r="S255" s="12"/>
      <c r="T255" s="12"/>
      <c r="U255" s="12"/>
      <c r="V255" s="12"/>
      <c r="W255" s="7"/>
      <c r="X255" s="12"/>
      <c r="Y255" s="7"/>
      <c r="Z255" s="7"/>
      <c r="AA255" s="7"/>
      <c r="AB255" s="8">
        <f>1/(4.67*10^-5)</f>
        <v>21413.276231263382</v>
      </c>
      <c r="AC255" s="7"/>
      <c r="AD255" s="4"/>
      <c r="AE255" s="4"/>
      <c r="AF255" s="4"/>
      <c r="AG255" s="4"/>
      <c r="AH255" s="9"/>
      <c r="AI255" s="9"/>
      <c r="AJ255" s="9"/>
      <c r="AK255" s="9" t="s">
        <v>30</v>
      </c>
      <c r="AL255" s="10"/>
      <c r="AM255" s="10"/>
      <c r="AN255" s="10"/>
      <c r="AO255" s="10"/>
      <c r="AP255" s="10"/>
      <c r="AQ255" s="11">
        <v>13</v>
      </c>
      <c r="AR255" s="4"/>
      <c r="AS255" s="10"/>
      <c r="AT255" s="10"/>
      <c r="AU255" s="10"/>
      <c r="AV255" s="10"/>
      <c r="AW255" s="10"/>
      <c r="AX255" s="10"/>
      <c r="AY255" s="10"/>
      <c r="AZ255" s="10"/>
      <c r="BA255" s="10"/>
      <c r="BB255" s="10"/>
      <c r="BC255" s="10"/>
      <c r="BD255" s="10"/>
    </row>
    <row r="256" spans="1:56" ht="29" x14ac:dyDescent="0.35">
      <c r="A256" s="4" t="s">
        <v>599</v>
      </c>
      <c r="B256" s="4"/>
      <c r="C256" s="4" t="s">
        <v>46</v>
      </c>
      <c r="D256" s="4" t="s">
        <v>47</v>
      </c>
      <c r="E256" s="5" t="s">
        <v>34</v>
      </c>
      <c r="F256" s="4" t="s">
        <v>648</v>
      </c>
      <c r="G256" s="4" t="s">
        <v>26</v>
      </c>
      <c r="H256" s="4" t="s">
        <v>637</v>
      </c>
      <c r="I256" s="12"/>
      <c r="J256" s="12"/>
      <c r="K256" s="12"/>
      <c r="L256" s="12"/>
      <c r="M256" s="67"/>
      <c r="N256" s="12"/>
      <c r="O256" s="12"/>
      <c r="P256" s="12"/>
      <c r="Q256" s="12"/>
      <c r="R256" s="12"/>
      <c r="S256" s="12"/>
      <c r="T256" s="12"/>
      <c r="U256" s="12"/>
      <c r="V256" s="12"/>
      <c r="W256" s="7"/>
      <c r="X256" s="12"/>
      <c r="Y256" s="7"/>
      <c r="Z256" s="7"/>
      <c r="AA256" s="7"/>
      <c r="AB256" s="8">
        <f>1/(5*10^-6)</f>
        <v>200000.00000000003</v>
      </c>
      <c r="AC256" s="7"/>
      <c r="AD256" s="4"/>
      <c r="AE256" s="4"/>
      <c r="AF256" s="4"/>
      <c r="AG256" s="4"/>
      <c r="AH256" s="9"/>
      <c r="AI256" s="9"/>
      <c r="AJ256" s="9"/>
      <c r="AK256" s="9" t="s">
        <v>30</v>
      </c>
      <c r="AL256" s="10"/>
      <c r="AM256" s="10"/>
      <c r="AN256" s="10"/>
      <c r="AO256" s="10"/>
      <c r="AP256" s="10"/>
      <c r="AQ256" s="11">
        <v>13</v>
      </c>
      <c r="AR256" s="4"/>
      <c r="AS256" s="10"/>
      <c r="AT256" s="10"/>
      <c r="AU256" s="10"/>
      <c r="AV256" s="10"/>
      <c r="AW256" s="10"/>
      <c r="AX256" s="10"/>
      <c r="AY256" s="10"/>
      <c r="AZ256" s="10"/>
      <c r="BA256" s="10"/>
      <c r="BB256" s="10"/>
      <c r="BC256" s="10"/>
      <c r="BD256" s="10"/>
    </row>
    <row r="257" spans="1:56" ht="29" x14ac:dyDescent="0.35">
      <c r="A257" s="4" t="s">
        <v>583</v>
      </c>
      <c r="B257" s="4"/>
      <c r="C257" s="4" t="s">
        <v>46</v>
      </c>
      <c r="D257" s="4" t="s">
        <v>47</v>
      </c>
      <c r="E257" s="5" t="s">
        <v>34</v>
      </c>
      <c r="F257" s="4" t="s">
        <v>648</v>
      </c>
      <c r="G257" s="4" t="s">
        <v>26</v>
      </c>
      <c r="H257" s="4" t="s">
        <v>639</v>
      </c>
      <c r="I257" s="12"/>
      <c r="J257" s="12"/>
      <c r="K257" s="12"/>
      <c r="L257" s="12"/>
      <c r="M257" s="67"/>
      <c r="N257" s="12"/>
      <c r="O257" s="12"/>
      <c r="P257" s="12"/>
      <c r="Q257" s="12"/>
      <c r="R257" s="12"/>
      <c r="S257" s="12"/>
      <c r="T257" s="12"/>
      <c r="U257" s="12"/>
      <c r="V257" s="12"/>
      <c r="W257" s="7"/>
      <c r="X257" s="12"/>
      <c r="Y257" s="7"/>
      <c r="Z257" s="7"/>
      <c r="AA257" s="7"/>
      <c r="AB257" s="8">
        <f>1/(5.99*10^-6)</f>
        <v>166944.9081803005</v>
      </c>
      <c r="AC257" s="7"/>
      <c r="AD257" s="4"/>
      <c r="AE257" s="4"/>
      <c r="AF257" s="4"/>
      <c r="AG257" s="4"/>
      <c r="AH257" s="9"/>
      <c r="AI257" s="9"/>
      <c r="AJ257" s="9"/>
      <c r="AK257" s="9" t="s">
        <v>30</v>
      </c>
      <c r="AL257" s="10"/>
      <c r="AM257" s="10"/>
      <c r="AN257" s="10"/>
      <c r="AO257" s="10"/>
      <c r="AP257" s="10"/>
      <c r="AQ257" s="11">
        <v>13</v>
      </c>
      <c r="AR257" s="4"/>
      <c r="AS257" s="10"/>
      <c r="AT257" s="10"/>
      <c r="AU257" s="10"/>
      <c r="AV257" s="10"/>
      <c r="AW257" s="10"/>
      <c r="AX257" s="10"/>
      <c r="AY257" s="10"/>
      <c r="AZ257" s="10"/>
      <c r="BA257" s="10"/>
      <c r="BB257" s="10"/>
      <c r="BC257" s="10"/>
      <c r="BD257" s="10"/>
    </row>
    <row r="258" spans="1:56" ht="29" x14ac:dyDescent="0.35">
      <c r="A258" s="4" t="s">
        <v>627</v>
      </c>
      <c r="B258" s="4"/>
      <c r="C258" s="4" t="s">
        <v>46</v>
      </c>
      <c r="D258" s="4" t="s">
        <v>47</v>
      </c>
      <c r="E258" s="5" t="s">
        <v>34</v>
      </c>
      <c r="F258" s="4" t="s">
        <v>648</v>
      </c>
      <c r="G258" s="4" t="s">
        <v>26</v>
      </c>
      <c r="H258" s="4" t="s">
        <v>1053</v>
      </c>
      <c r="I258" s="12"/>
      <c r="J258" s="12"/>
      <c r="K258" s="12"/>
      <c r="L258" s="12"/>
      <c r="M258" s="67"/>
      <c r="N258" s="12"/>
      <c r="O258" s="12"/>
      <c r="P258" s="12"/>
      <c r="Q258" s="12"/>
      <c r="R258" s="12"/>
      <c r="S258" s="12"/>
      <c r="T258" s="12"/>
      <c r="U258" s="12"/>
      <c r="V258" s="12"/>
      <c r="W258" s="7"/>
      <c r="X258" s="12"/>
      <c r="Y258" s="7"/>
      <c r="Z258" s="7"/>
      <c r="AA258" s="7"/>
      <c r="AB258" s="8">
        <f>1/(1*10^-5)</f>
        <v>99999.999999999985</v>
      </c>
      <c r="AC258" s="7"/>
      <c r="AD258" s="4"/>
      <c r="AE258" s="4"/>
      <c r="AF258" s="4"/>
      <c r="AG258" s="4"/>
      <c r="AH258" s="9"/>
      <c r="AI258" s="9"/>
      <c r="AJ258" s="9"/>
      <c r="AK258" s="9" t="s">
        <v>30</v>
      </c>
      <c r="AL258" s="10"/>
      <c r="AM258" s="10"/>
      <c r="AN258" s="10"/>
      <c r="AO258" s="10"/>
      <c r="AP258" s="10"/>
      <c r="AQ258" s="11">
        <v>13</v>
      </c>
      <c r="AR258" s="4"/>
      <c r="AS258" s="10"/>
      <c r="AT258" s="10"/>
      <c r="AU258" s="10"/>
      <c r="AV258" s="10"/>
      <c r="AW258" s="10"/>
      <c r="AX258" s="10"/>
      <c r="AY258" s="10"/>
      <c r="AZ258" s="10"/>
      <c r="BA258" s="10"/>
      <c r="BB258" s="10"/>
      <c r="BC258" s="10"/>
      <c r="BD258" s="10"/>
    </row>
    <row r="259" spans="1:56" ht="29" x14ac:dyDescent="0.35">
      <c r="A259" s="4" t="s">
        <v>649</v>
      </c>
      <c r="B259" s="4"/>
      <c r="C259" s="4" t="s">
        <v>46</v>
      </c>
      <c r="D259" s="4" t="s">
        <v>47</v>
      </c>
      <c r="E259" s="5" t="s">
        <v>34</v>
      </c>
      <c r="F259" s="4" t="s">
        <v>648</v>
      </c>
      <c r="G259" s="4" t="s">
        <v>26</v>
      </c>
      <c r="H259" s="4" t="s">
        <v>1053</v>
      </c>
      <c r="I259" s="12"/>
      <c r="J259" s="12"/>
      <c r="K259" s="12"/>
      <c r="L259" s="12"/>
      <c r="M259" s="67"/>
      <c r="N259" s="12"/>
      <c r="O259" s="12"/>
      <c r="P259" s="12"/>
      <c r="Q259" s="12"/>
      <c r="R259" s="12"/>
      <c r="S259" s="12"/>
      <c r="T259" s="12"/>
      <c r="U259" s="12"/>
      <c r="V259" s="12"/>
      <c r="W259" s="7"/>
      <c r="X259" s="12"/>
      <c r="Y259" s="7"/>
      <c r="Z259" s="7"/>
      <c r="AA259" s="7"/>
      <c r="AB259" s="8">
        <f>1/(1.07*10^-6)</f>
        <v>934579.43925233651</v>
      </c>
      <c r="AC259" s="7"/>
      <c r="AD259" s="4"/>
      <c r="AE259" s="4"/>
      <c r="AF259" s="4"/>
      <c r="AG259" s="4"/>
      <c r="AH259" s="9"/>
      <c r="AI259" s="9"/>
      <c r="AJ259" s="9"/>
      <c r="AK259" s="9" t="s">
        <v>30</v>
      </c>
      <c r="AL259" s="10"/>
      <c r="AM259" s="10"/>
      <c r="AN259" s="10"/>
      <c r="AO259" s="10"/>
      <c r="AP259" s="10"/>
      <c r="AQ259" s="11">
        <v>13</v>
      </c>
      <c r="AR259" s="4"/>
      <c r="AS259" s="10"/>
      <c r="AT259" s="10"/>
      <c r="AU259" s="10"/>
      <c r="AV259" s="10"/>
      <c r="AW259" s="10"/>
      <c r="AX259" s="10"/>
      <c r="AY259" s="10"/>
      <c r="AZ259" s="10"/>
      <c r="BA259" s="10"/>
      <c r="BB259" s="10"/>
      <c r="BC259" s="10"/>
      <c r="BD259" s="10"/>
    </row>
    <row r="260" spans="1:56" ht="29" x14ac:dyDescent="0.35">
      <c r="A260" s="4" t="s">
        <v>650</v>
      </c>
      <c r="B260" s="4"/>
      <c r="C260" s="4" t="s">
        <v>46</v>
      </c>
      <c r="D260" s="4" t="s">
        <v>47</v>
      </c>
      <c r="E260" s="5" t="s">
        <v>34</v>
      </c>
      <c r="F260" s="4" t="s">
        <v>648</v>
      </c>
      <c r="G260" s="4" t="s">
        <v>26</v>
      </c>
      <c r="H260" s="4" t="s">
        <v>1053</v>
      </c>
      <c r="I260" s="12"/>
      <c r="J260" s="12"/>
      <c r="K260" s="12"/>
      <c r="L260" s="12"/>
      <c r="M260" s="67"/>
      <c r="N260" s="12"/>
      <c r="O260" s="12"/>
      <c r="P260" s="12"/>
      <c r="Q260" s="12"/>
      <c r="R260" s="12"/>
      <c r="S260" s="12"/>
      <c r="T260" s="12"/>
      <c r="U260" s="12"/>
      <c r="V260" s="12"/>
      <c r="W260" s="7"/>
      <c r="X260" s="12"/>
      <c r="Y260" s="7"/>
      <c r="Z260" s="7"/>
      <c r="AA260" s="7"/>
      <c r="AB260" s="8">
        <f>1/(1*10^-5)</f>
        <v>99999.999999999985</v>
      </c>
      <c r="AC260" s="7"/>
      <c r="AD260" s="4"/>
      <c r="AE260" s="4"/>
      <c r="AF260" s="4"/>
      <c r="AG260" s="4"/>
      <c r="AH260" s="9"/>
      <c r="AI260" s="9"/>
      <c r="AJ260" s="9"/>
      <c r="AK260" s="9" t="s">
        <v>30</v>
      </c>
      <c r="AL260" s="10"/>
      <c r="AM260" s="10"/>
      <c r="AN260" s="10"/>
      <c r="AO260" s="10"/>
      <c r="AP260" s="10"/>
      <c r="AQ260" s="11">
        <v>13</v>
      </c>
      <c r="AR260" s="4"/>
      <c r="AS260" s="10"/>
      <c r="AT260" s="10"/>
      <c r="AU260" s="10"/>
      <c r="AV260" s="10"/>
      <c r="AW260" s="10"/>
      <c r="AX260" s="10"/>
      <c r="AY260" s="10"/>
      <c r="AZ260" s="10"/>
      <c r="BA260" s="10"/>
      <c r="BB260" s="10"/>
      <c r="BC260" s="10"/>
      <c r="BD260" s="10"/>
    </row>
    <row r="261" spans="1:56" ht="29" x14ac:dyDescent="0.35">
      <c r="A261" s="4" t="s">
        <v>586</v>
      </c>
      <c r="B261" s="4"/>
      <c r="C261" s="4" t="s">
        <v>46</v>
      </c>
      <c r="D261" s="4" t="s">
        <v>47</v>
      </c>
      <c r="E261" s="5" t="s">
        <v>34</v>
      </c>
      <c r="F261" s="4" t="s">
        <v>648</v>
      </c>
      <c r="G261" s="4" t="s">
        <v>26</v>
      </c>
      <c r="H261" s="4" t="s">
        <v>651</v>
      </c>
      <c r="I261" s="12"/>
      <c r="J261" s="12"/>
      <c r="K261" s="12"/>
      <c r="L261" s="12"/>
      <c r="M261" s="67"/>
      <c r="N261" s="12"/>
      <c r="O261" s="12"/>
      <c r="P261" s="12"/>
      <c r="Q261" s="12"/>
      <c r="R261" s="12"/>
      <c r="S261" s="12"/>
      <c r="T261" s="12"/>
      <c r="U261" s="12"/>
      <c r="V261" s="12"/>
      <c r="W261" s="7"/>
      <c r="X261" s="12"/>
      <c r="Y261" s="7"/>
      <c r="Z261" s="7"/>
      <c r="AA261" s="7"/>
      <c r="AB261" s="8">
        <f>1/(1*10^-5)</f>
        <v>99999.999999999985</v>
      </c>
      <c r="AC261" s="7"/>
      <c r="AD261" s="4"/>
      <c r="AE261" s="4"/>
      <c r="AF261" s="4"/>
      <c r="AG261" s="4"/>
      <c r="AH261" s="9"/>
      <c r="AI261" s="9"/>
      <c r="AJ261" s="9"/>
      <c r="AK261" s="9" t="s">
        <v>30</v>
      </c>
      <c r="AL261" s="10"/>
      <c r="AM261" s="10"/>
      <c r="AN261" s="10"/>
      <c r="AO261" s="10"/>
      <c r="AP261" s="10"/>
      <c r="AQ261" s="11">
        <v>13</v>
      </c>
      <c r="AR261" s="4"/>
      <c r="AS261" s="10"/>
      <c r="AT261" s="10"/>
      <c r="AU261" s="10"/>
      <c r="AV261" s="10"/>
      <c r="AW261" s="10"/>
      <c r="AX261" s="10"/>
      <c r="AY261" s="10"/>
      <c r="AZ261" s="10"/>
      <c r="BA261" s="10"/>
      <c r="BB261" s="10"/>
      <c r="BC261" s="10"/>
      <c r="BD261" s="10"/>
    </row>
    <row r="262" spans="1:56" ht="29" x14ac:dyDescent="0.35">
      <c r="A262" s="4" t="s">
        <v>587</v>
      </c>
      <c r="B262" s="4"/>
      <c r="C262" s="4" t="s">
        <v>46</v>
      </c>
      <c r="D262" s="4" t="s">
        <v>47</v>
      </c>
      <c r="E262" s="5" t="s">
        <v>34</v>
      </c>
      <c r="F262" s="4" t="s">
        <v>648</v>
      </c>
      <c r="G262" s="4" t="s">
        <v>26</v>
      </c>
      <c r="H262" s="4" t="s">
        <v>639</v>
      </c>
      <c r="I262" s="12"/>
      <c r="J262" s="12"/>
      <c r="K262" s="12"/>
      <c r="L262" s="12"/>
      <c r="M262" s="67"/>
      <c r="N262" s="12"/>
      <c r="O262" s="12"/>
      <c r="P262" s="12"/>
      <c r="Q262" s="12"/>
      <c r="R262" s="12"/>
      <c r="S262" s="12"/>
      <c r="T262" s="12"/>
      <c r="U262" s="12"/>
      <c r="V262" s="12"/>
      <c r="W262" s="7"/>
      <c r="X262" s="12"/>
      <c r="Y262" s="7"/>
      <c r="Z262" s="7"/>
      <c r="AA262" s="7"/>
      <c r="AB262" s="8">
        <f>1/(1.5*10^-5)</f>
        <v>66666.666666666657</v>
      </c>
      <c r="AC262" s="7"/>
      <c r="AD262" s="4"/>
      <c r="AE262" s="4"/>
      <c r="AF262" s="4"/>
      <c r="AG262" s="4"/>
      <c r="AH262" s="9"/>
      <c r="AI262" s="9"/>
      <c r="AJ262" s="9"/>
      <c r="AK262" s="9" t="s">
        <v>30</v>
      </c>
      <c r="AL262" s="10"/>
      <c r="AM262" s="10"/>
      <c r="AN262" s="10"/>
      <c r="AO262" s="10"/>
      <c r="AP262" s="10"/>
      <c r="AQ262" s="11">
        <v>13</v>
      </c>
      <c r="AR262" s="4"/>
      <c r="AS262" s="10"/>
      <c r="AT262" s="10"/>
      <c r="AU262" s="10"/>
      <c r="AV262" s="10"/>
      <c r="AW262" s="10"/>
      <c r="AX262" s="10"/>
      <c r="AY262" s="10"/>
      <c r="AZ262" s="10"/>
      <c r="BA262" s="10"/>
      <c r="BB262" s="10"/>
      <c r="BC262" s="10"/>
      <c r="BD262" s="10"/>
    </row>
    <row r="263" spans="1:56" ht="29" x14ac:dyDescent="0.35">
      <c r="A263" s="4" t="s">
        <v>590</v>
      </c>
      <c r="B263" s="4"/>
      <c r="C263" s="4" t="s">
        <v>46</v>
      </c>
      <c r="D263" s="4" t="s">
        <v>47</v>
      </c>
      <c r="E263" s="5" t="s">
        <v>34</v>
      </c>
      <c r="F263" s="4" t="s">
        <v>648</v>
      </c>
      <c r="G263" s="4" t="s">
        <v>26</v>
      </c>
      <c r="H263" s="4" t="s">
        <v>652</v>
      </c>
      <c r="I263" s="12"/>
      <c r="J263" s="12"/>
      <c r="K263" s="12"/>
      <c r="L263" s="12"/>
      <c r="M263" s="67"/>
      <c r="N263" s="12"/>
      <c r="O263" s="12"/>
      <c r="P263" s="12"/>
      <c r="Q263" s="12"/>
      <c r="R263" s="12"/>
      <c r="S263" s="12"/>
      <c r="T263" s="12"/>
      <c r="U263" s="12"/>
      <c r="V263" s="12"/>
      <c r="W263" s="7"/>
      <c r="X263" s="12"/>
      <c r="Y263" s="7"/>
      <c r="Z263" s="7"/>
      <c r="AA263" s="7"/>
      <c r="AB263" s="8">
        <f>1/(1*10^-5)</f>
        <v>99999.999999999985</v>
      </c>
      <c r="AC263" s="7"/>
      <c r="AD263" s="4"/>
      <c r="AE263" s="4"/>
      <c r="AF263" s="4"/>
      <c r="AG263" s="4"/>
      <c r="AH263" s="9"/>
      <c r="AI263" s="9"/>
      <c r="AJ263" s="9"/>
      <c r="AK263" s="9" t="s">
        <v>30</v>
      </c>
      <c r="AL263" s="10"/>
      <c r="AM263" s="10"/>
      <c r="AN263" s="10"/>
      <c r="AO263" s="10"/>
      <c r="AP263" s="10"/>
      <c r="AQ263" s="11">
        <v>13</v>
      </c>
      <c r="AR263" s="4"/>
      <c r="AS263" s="10"/>
      <c r="AT263" s="10"/>
      <c r="AU263" s="10"/>
      <c r="AV263" s="10"/>
      <c r="AW263" s="10"/>
      <c r="AX263" s="10"/>
      <c r="AY263" s="10"/>
      <c r="AZ263" s="10"/>
      <c r="BA263" s="10"/>
      <c r="BB263" s="10"/>
      <c r="BC263" s="10"/>
      <c r="BD263" s="10"/>
    </row>
    <row r="264" spans="1:56" ht="29" x14ac:dyDescent="0.35">
      <c r="A264" s="4" t="s">
        <v>653</v>
      </c>
      <c r="B264" s="4"/>
      <c r="C264" s="4" t="s">
        <v>46</v>
      </c>
      <c r="D264" s="4" t="s">
        <v>47</v>
      </c>
      <c r="E264" s="5" t="s">
        <v>34</v>
      </c>
      <c r="F264" s="4" t="s">
        <v>648</v>
      </c>
      <c r="G264" s="4" t="s">
        <v>26</v>
      </c>
      <c r="H264" s="4" t="s">
        <v>1053</v>
      </c>
      <c r="I264" s="12"/>
      <c r="J264" s="12"/>
      <c r="K264" s="12"/>
      <c r="L264" s="12"/>
      <c r="M264" s="67"/>
      <c r="N264" s="12"/>
      <c r="O264" s="12"/>
      <c r="P264" s="12"/>
      <c r="Q264" s="12"/>
      <c r="R264" s="12"/>
      <c r="S264" s="12"/>
      <c r="T264" s="12"/>
      <c r="U264" s="12"/>
      <c r="V264" s="12"/>
      <c r="W264" s="7"/>
      <c r="X264" s="12"/>
      <c r="Y264" s="7"/>
      <c r="Z264" s="7"/>
      <c r="AA264" s="7"/>
      <c r="AB264" s="8">
        <f>1/(1.75*10^-5)</f>
        <v>57142.857142857138</v>
      </c>
      <c r="AC264" s="7"/>
      <c r="AD264" s="4"/>
      <c r="AE264" s="4"/>
      <c r="AF264" s="4"/>
      <c r="AG264" s="4"/>
      <c r="AH264" s="9"/>
      <c r="AI264" s="9"/>
      <c r="AJ264" s="9"/>
      <c r="AK264" s="9" t="s">
        <v>30</v>
      </c>
      <c r="AL264" s="10"/>
      <c r="AM264" s="10"/>
      <c r="AN264" s="10"/>
      <c r="AO264" s="10"/>
      <c r="AP264" s="10"/>
      <c r="AQ264" s="11">
        <v>13</v>
      </c>
      <c r="AR264" s="4"/>
      <c r="AS264" s="10"/>
      <c r="AT264" s="10"/>
      <c r="AU264" s="10"/>
      <c r="AV264" s="10"/>
      <c r="AW264" s="10"/>
      <c r="AX264" s="10"/>
      <c r="AY264" s="10"/>
      <c r="AZ264" s="10"/>
      <c r="BA264" s="10"/>
      <c r="BB264" s="10"/>
      <c r="BC264" s="10"/>
      <c r="BD264" s="10"/>
    </row>
    <row r="265" spans="1:56" ht="29" x14ac:dyDescent="0.35">
      <c r="A265" s="4" t="s">
        <v>592</v>
      </c>
      <c r="B265" s="4"/>
      <c r="C265" s="4" t="s">
        <v>46</v>
      </c>
      <c r="D265" s="4" t="s">
        <v>47</v>
      </c>
      <c r="E265" s="5" t="s">
        <v>34</v>
      </c>
      <c r="F265" s="4" t="s">
        <v>648</v>
      </c>
      <c r="G265" s="4" t="s">
        <v>26</v>
      </c>
      <c r="H265" s="4" t="s">
        <v>638</v>
      </c>
      <c r="I265" s="12"/>
      <c r="J265" s="12"/>
      <c r="K265" s="12"/>
      <c r="L265" s="12"/>
      <c r="M265" s="67"/>
      <c r="N265" s="12"/>
      <c r="O265" s="12"/>
      <c r="P265" s="12"/>
      <c r="Q265" s="12"/>
      <c r="R265" s="12"/>
      <c r="S265" s="12"/>
      <c r="T265" s="12"/>
      <c r="U265" s="12"/>
      <c r="V265" s="12"/>
      <c r="W265" s="7"/>
      <c r="X265" s="12"/>
      <c r="Y265" s="7"/>
      <c r="Z265" s="7"/>
      <c r="AA265" s="7"/>
      <c r="AB265" s="8">
        <f>1/(1*10^-5)</f>
        <v>99999.999999999985</v>
      </c>
      <c r="AC265" s="7"/>
      <c r="AD265" s="4"/>
      <c r="AE265" s="4"/>
      <c r="AF265" s="4"/>
      <c r="AG265" s="4"/>
      <c r="AH265" s="9"/>
      <c r="AI265" s="9"/>
      <c r="AJ265" s="9"/>
      <c r="AK265" s="9" t="s">
        <v>30</v>
      </c>
      <c r="AL265" s="10"/>
      <c r="AM265" s="10"/>
      <c r="AN265" s="10"/>
      <c r="AO265" s="10"/>
      <c r="AP265" s="10"/>
      <c r="AQ265" s="11">
        <v>13</v>
      </c>
      <c r="AR265" s="4"/>
      <c r="AS265" s="10"/>
      <c r="AT265" s="10"/>
      <c r="AU265" s="10"/>
      <c r="AV265" s="10"/>
      <c r="AW265" s="10"/>
      <c r="AX265" s="10"/>
      <c r="AY265" s="10"/>
      <c r="AZ265" s="10"/>
      <c r="BA265" s="10"/>
      <c r="BB265" s="10"/>
      <c r="BC265" s="10"/>
      <c r="BD265" s="10"/>
    </row>
    <row r="266" spans="1:56" ht="29" x14ac:dyDescent="0.35">
      <c r="A266" s="4" t="s">
        <v>591</v>
      </c>
      <c r="B266" s="4"/>
      <c r="C266" s="4" t="s">
        <v>46</v>
      </c>
      <c r="D266" s="4" t="s">
        <v>47</v>
      </c>
      <c r="E266" s="5" t="s">
        <v>34</v>
      </c>
      <c r="F266" s="4" t="s">
        <v>648</v>
      </c>
      <c r="G266" s="4" t="s">
        <v>26</v>
      </c>
      <c r="H266" s="4" t="s">
        <v>1053</v>
      </c>
      <c r="I266" s="12"/>
      <c r="J266" s="12"/>
      <c r="K266" s="12"/>
      <c r="L266" s="12"/>
      <c r="M266" s="67"/>
      <c r="N266" s="12"/>
      <c r="O266" s="12"/>
      <c r="P266" s="12"/>
      <c r="Q266" s="12"/>
      <c r="R266" s="12"/>
      <c r="S266" s="12"/>
      <c r="T266" s="12"/>
      <c r="U266" s="12"/>
      <c r="V266" s="12"/>
      <c r="W266" s="7"/>
      <c r="X266" s="12"/>
      <c r="Y266" s="7"/>
      <c r="Z266" s="7"/>
      <c r="AA266" s="7"/>
      <c r="AB266" s="8">
        <f>1/(6*10^-6)</f>
        <v>166666.66666666666</v>
      </c>
      <c r="AC266" s="7"/>
      <c r="AD266" s="4"/>
      <c r="AE266" s="4"/>
      <c r="AF266" s="4"/>
      <c r="AG266" s="4"/>
      <c r="AH266" s="9"/>
      <c r="AI266" s="9"/>
      <c r="AJ266" s="9"/>
      <c r="AK266" s="9" t="s">
        <v>30</v>
      </c>
      <c r="AL266" s="10"/>
      <c r="AM266" s="10"/>
      <c r="AN266" s="10"/>
      <c r="AO266" s="10"/>
      <c r="AP266" s="10"/>
      <c r="AQ266" s="11">
        <v>13</v>
      </c>
      <c r="AR266" s="4"/>
      <c r="AS266" s="10"/>
      <c r="AT266" s="10"/>
      <c r="AU266" s="10"/>
      <c r="AV266" s="10"/>
      <c r="AW266" s="10"/>
      <c r="AX266" s="10"/>
      <c r="AY266" s="10"/>
      <c r="AZ266" s="10"/>
      <c r="BA266" s="10"/>
      <c r="BB266" s="10"/>
      <c r="BC266" s="10"/>
      <c r="BD266" s="10"/>
    </row>
    <row r="267" spans="1:56" ht="29" x14ac:dyDescent="0.35">
      <c r="A267" s="4" t="s">
        <v>618</v>
      </c>
      <c r="B267" s="4"/>
      <c r="C267" s="4" t="s">
        <v>46</v>
      </c>
      <c r="D267" s="4" t="s">
        <v>47</v>
      </c>
      <c r="E267" s="5" t="s">
        <v>34</v>
      </c>
      <c r="F267" s="4" t="s">
        <v>648</v>
      </c>
      <c r="G267" s="4" t="s">
        <v>26</v>
      </c>
      <c r="H267" s="4" t="s">
        <v>654</v>
      </c>
      <c r="I267" s="12"/>
      <c r="J267" s="12"/>
      <c r="K267" s="12"/>
      <c r="L267" s="12"/>
      <c r="M267" s="67"/>
      <c r="N267" s="12"/>
      <c r="O267" s="12"/>
      <c r="P267" s="12"/>
      <c r="Q267" s="12"/>
      <c r="R267" s="12"/>
      <c r="S267" s="12"/>
      <c r="T267" s="12"/>
      <c r="U267" s="12"/>
      <c r="V267" s="12"/>
      <c r="W267" s="7"/>
      <c r="X267" s="12"/>
      <c r="Y267" s="7"/>
      <c r="Z267" s="7"/>
      <c r="AA267" s="7"/>
      <c r="AB267" s="8">
        <f>1/(1*10^-5)</f>
        <v>99999.999999999985</v>
      </c>
      <c r="AC267" s="7"/>
      <c r="AD267" s="4"/>
      <c r="AE267" s="4"/>
      <c r="AF267" s="4"/>
      <c r="AG267" s="4"/>
      <c r="AH267" s="9"/>
      <c r="AI267" s="9"/>
      <c r="AJ267" s="9"/>
      <c r="AK267" s="9" t="s">
        <v>30</v>
      </c>
      <c r="AL267" s="10"/>
      <c r="AM267" s="10"/>
      <c r="AN267" s="10"/>
      <c r="AO267" s="10"/>
      <c r="AP267" s="10"/>
      <c r="AQ267" s="11">
        <v>13</v>
      </c>
      <c r="AR267" s="4"/>
      <c r="AS267" s="10"/>
      <c r="AT267" s="10"/>
      <c r="AU267" s="10"/>
      <c r="AV267" s="10"/>
      <c r="AW267" s="10"/>
      <c r="AX267" s="10"/>
      <c r="AY267" s="10"/>
      <c r="AZ267" s="10"/>
      <c r="BA267" s="10"/>
      <c r="BB267" s="10"/>
      <c r="BC267" s="10"/>
      <c r="BD267" s="10"/>
    </row>
    <row r="268" spans="1:56" ht="29" x14ac:dyDescent="0.35">
      <c r="A268" s="4" t="s">
        <v>631</v>
      </c>
      <c r="B268" s="4"/>
      <c r="C268" s="4" t="s">
        <v>46</v>
      </c>
      <c r="D268" s="4" t="s">
        <v>47</v>
      </c>
      <c r="E268" s="5" t="s">
        <v>34</v>
      </c>
      <c r="F268" s="4" t="s">
        <v>648</v>
      </c>
      <c r="G268" s="4" t="s">
        <v>26</v>
      </c>
      <c r="H268" s="4" t="s">
        <v>1053</v>
      </c>
      <c r="I268" s="12"/>
      <c r="J268" s="12"/>
      <c r="K268" s="12"/>
      <c r="L268" s="12"/>
      <c r="M268" s="67"/>
      <c r="N268" s="12"/>
      <c r="O268" s="12"/>
      <c r="P268" s="12"/>
      <c r="Q268" s="12"/>
      <c r="R268" s="12"/>
      <c r="S268" s="12"/>
      <c r="T268" s="12"/>
      <c r="U268" s="12"/>
      <c r="V268" s="12"/>
      <c r="W268" s="7"/>
      <c r="X268" s="12"/>
      <c r="Y268" s="7"/>
      <c r="Z268" s="7"/>
      <c r="AA268" s="7"/>
      <c r="AB268" s="8">
        <f>1/(5.99*10^-6)</f>
        <v>166944.9081803005</v>
      </c>
      <c r="AC268" s="7"/>
      <c r="AD268" s="4"/>
      <c r="AE268" s="4"/>
      <c r="AF268" s="4"/>
      <c r="AG268" s="4"/>
      <c r="AH268" s="9"/>
      <c r="AI268" s="9"/>
      <c r="AJ268" s="9"/>
      <c r="AK268" s="9" t="s">
        <v>30</v>
      </c>
      <c r="AL268" s="10"/>
      <c r="AM268" s="10"/>
      <c r="AN268" s="10"/>
      <c r="AO268" s="10"/>
      <c r="AP268" s="10"/>
      <c r="AQ268" s="11">
        <v>13</v>
      </c>
      <c r="AR268" s="4"/>
      <c r="AS268" s="10"/>
      <c r="AT268" s="10"/>
      <c r="AU268" s="10"/>
      <c r="AV268" s="10"/>
      <c r="AW268" s="10"/>
      <c r="AX268" s="10"/>
      <c r="AY268" s="10"/>
      <c r="AZ268" s="10"/>
      <c r="BA268" s="10"/>
      <c r="BB268" s="10"/>
      <c r="BC268" s="10"/>
      <c r="BD268" s="10"/>
    </row>
    <row r="269" spans="1:56" ht="29" x14ac:dyDescent="0.35">
      <c r="A269" s="4" t="s">
        <v>655</v>
      </c>
      <c r="B269" s="4"/>
      <c r="C269" s="4" t="s">
        <v>46</v>
      </c>
      <c r="D269" s="4" t="s">
        <v>47</v>
      </c>
      <c r="E269" s="5" t="s">
        <v>34</v>
      </c>
      <c r="F269" s="4" t="s">
        <v>648</v>
      </c>
      <c r="G269" s="4" t="s">
        <v>26</v>
      </c>
      <c r="H269" s="4" t="s">
        <v>651</v>
      </c>
      <c r="I269" s="12"/>
      <c r="J269" s="12"/>
      <c r="K269" s="12"/>
      <c r="L269" s="12"/>
      <c r="M269" s="67"/>
      <c r="N269" s="12"/>
      <c r="O269" s="12"/>
      <c r="P269" s="12"/>
      <c r="Q269" s="12"/>
      <c r="R269" s="12"/>
      <c r="S269" s="12"/>
      <c r="T269" s="12"/>
      <c r="U269" s="12"/>
      <c r="V269" s="12"/>
      <c r="W269" s="7"/>
      <c r="X269" s="12"/>
      <c r="Y269" s="7"/>
      <c r="Z269" s="7"/>
      <c r="AA269" s="7"/>
      <c r="AB269" s="8">
        <f>1/(8.75*10^-6)</f>
        <v>114285.71428571429</v>
      </c>
      <c r="AC269" s="7"/>
      <c r="AD269" s="4"/>
      <c r="AE269" s="4"/>
      <c r="AF269" s="4"/>
      <c r="AG269" s="4"/>
      <c r="AH269" s="9"/>
      <c r="AI269" s="9"/>
      <c r="AJ269" s="9"/>
      <c r="AK269" s="9" t="s">
        <v>30</v>
      </c>
      <c r="AL269" s="10"/>
      <c r="AM269" s="10"/>
      <c r="AN269" s="10"/>
      <c r="AO269" s="10"/>
      <c r="AP269" s="10"/>
      <c r="AQ269" s="11">
        <v>13</v>
      </c>
      <c r="AR269" s="4"/>
      <c r="AS269" s="10"/>
      <c r="AT269" s="10"/>
      <c r="AU269" s="10"/>
      <c r="AV269" s="10"/>
      <c r="AW269" s="10"/>
      <c r="AX269" s="10"/>
      <c r="AY269" s="10"/>
      <c r="AZ269" s="10"/>
      <c r="BA269" s="10"/>
      <c r="BB269" s="10"/>
      <c r="BC269" s="10"/>
      <c r="BD269" s="10"/>
    </row>
    <row r="270" spans="1:56" ht="29" x14ac:dyDescent="0.35">
      <c r="A270" s="4" t="s">
        <v>656</v>
      </c>
      <c r="B270" s="4"/>
      <c r="C270" s="4" t="s">
        <v>46</v>
      </c>
      <c r="D270" s="4" t="s">
        <v>47</v>
      </c>
      <c r="E270" s="5" t="s">
        <v>34</v>
      </c>
      <c r="F270" s="4" t="s">
        <v>648</v>
      </c>
      <c r="G270" s="4" t="s">
        <v>26</v>
      </c>
      <c r="H270" s="4" t="s">
        <v>1053</v>
      </c>
      <c r="I270" s="12"/>
      <c r="J270" s="12"/>
      <c r="K270" s="12"/>
      <c r="L270" s="12"/>
      <c r="M270" s="67"/>
      <c r="N270" s="12"/>
      <c r="O270" s="12"/>
      <c r="P270" s="12"/>
      <c r="Q270" s="12"/>
      <c r="R270" s="12"/>
      <c r="S270" s="12"/>
      <c r="T270" s="12"/>
      <c r="U270" s="12"/>
      <c r="V270" s="12"/>
      <c r="W270" s="7"/>
      <c r="X270" s="12"/>
      <c r="Y270" s="7"/>
      <c r="Z270" s="7"/>
      <c r="AA270" s="7"/>
      <c r="AB270" s="8">
        <f>1/(1*10^-5)</f>
        <v>99999.999999999985</v>
      </c>
      <c r="AC270" s="7"/>
      <c r="AD270" s="4"/>
      <c r="AE270" s="4"/>
      <c r="AF270" s="4"/>
      <c r="AG270" s="4"/>
      <c r="AH270" s="9"/>
      <c r="AI270" s="9"/>
      <c r="AJ270" s="9"/>
      <c r="AK270" s="9" t="s">
        <v>30</v>
      </c>
      <c r="AL270" s="10"/>
      <c r="AM270" s="10"/>
      <c r="AN270" s="10"/>
      <c r="AO270" s="10"/>
      <c r="AP270" s="10"/>
      <c r="AQ270" s="11">
        <v>13</v>
      </c>
      <c r="AR270" s="4"/>
      <c r="AS270" s="10"/>
      <c r="AT270" s="10"/>
      <c r="AU270" s="10"/>
      <c r="AV270" s="10"/>
      <c r="AW270" s="10"/>
      <c r="AX270" s="10"/>
      <c r="AY270" s="10"/>
      <c r="AZ270" s="10"/>
      <c r="BA270" s="10"/>
      <c r="BB270" s="10"/>
      <c r="BC270" s="10"/>
      <c r="BD270" s="10"/>
    </row>
    <row r="271" spans="1:56" ht="29" x14ac:dyDescent="0.35">
      <c r="A271" s="4" t="s">
        <v>81</v>
      </c>
      <c r="B271" s="4"/>
      <c r="C271" s="4" t="s">
        <v>46</v>
      </c>
      <c r="D271" s="4" t="s">
        <v>47</v>
      </c>
      <c r="E271" s="5" t="s">
        <v>34</v>
      </c>
      <c r="F271" s="4" t="s">
        <v>657</v>
      </c>
      <c r="G271" s="4" t="s">
        <v>26</v>
      </c>
      <c r="H271" s="4" t="s">
        <v>1053</v>
      </c>
      <c r="I271" s="12"/>
      <c r="J271" s="12"/>
      <c r="K271" s="12"/>
      <c r="L271" s="12"/>
      <c r="M271" s="67"/>
      <c r="N271" s="12"/>
      <c r="O271" s="12"/>
      <c r="P271" s="12"/>
      <c r="Q271" s="12"/>
      <c r="R271" s="12"/>
      <c r="S271" s="12"/>
      <c r="T271" s="12"/>
      <c r="U271" s="12"/>
      <c r="V271" s="12"/>
      <c r="W271" s="7"/>
      <c r="X271" s="12"/>
      <c r="Y271" s="7"/>
      <c r="Z271" s="7"/>
      <c r="AA271" s="7"/>
      <c r="AB271" s="8">
        <f>1/(8*10^-6)</f>
        <v>125000</v>
      </c>
      <c r="AC271" s="8"/>
      <c r="AD271" s="4"/>
      <c r="AE271" s="4"/>
      <c r="AF271" s="4"/>
      <c r="AG271" s="4"/>
      <c r="AH271" s="9"/>
      <c r="AI271" s="9"/>
      <c r="AJ271" s="9"/>
      <c r="AK271" s="9" t="s">
        <v>30</v>
      </c>
      <c r="AL271" s="10"/>
      <c r="AM271" s="10"/>
      <c r="AN271" s="10"/>
      <c r="AO271" s="10"/>
      <c r="AP271" s="10"/>
      <c r="AQ271" s="11">
        <v>13</v>
      </c>
      <c r="AR271" s="4"/>
      <c r="AS271" s="10"/>
      <c r="AT271" s="10"/>
      <c r="AU271" s="10"/>
      <c r="AV271" s="10"/>
      <c r="AW271" s="10"/>
      <c r="AX271" s="10"/>
      <c r="AY271" s="10"/>
      <c r="AZ271" s="10"/>
      <c r="BA271" s="10"/>
      <c r="BB271" s="10"/>
      <c r="BC271" s="10"/>
      <c r="BD271" s="10"/>
    </row>
    <row r="272" spans="1:56" ht="29" x14ac:dyDescent="0.35">
      <c r="A272" s="4" t="s">
        <v>641</v>
      </c>
      <c r="B272" s="4"/>
      <c r="C272" s="4" t="s">
        <v>46</v>
      </c>
      <c r="D272" s="4" t="s">
        <v>47</v>
      </c>
      <c r="E272" s="5" t="s">
        <v>34</v>
      </c>
      <c r="F272" s="4" t="s">
        <v>657</v>
      </c>
      <c r="G272" s="4" t="s">
        <v>26</v>
      </c>
      <c r="H272" s="4" t="s">
        <v>1053</v>
      </c>
      <c r="I272" s="12"/>
      <c r="J272" s="12"/>
      <c r="K272" s="12"/>
      <c r="L272" s="12"/>
      <c r="M272" s="67"/>
      <c r="N272" s="12"/>
      <c r="O272" s="12"/>
      <c r="P272" s="12"/>
      <c r="Q272" s="12"/>
      <c r="R272" s="12"/>
      <c r="S272" s="12"/>
      <c r="T272" s="12"/>
      <c r="U272" s="12"/>
      <c r="V272" s="12"/>
      <c r="W272" s="7"/>
      <c r="X272" s="12"/>
      <c r="Y272" s="7"/>
      <c r="Z272" s="7"/>
      <c r="AA272" s="7"/>
      <c r="AB272" s="8">
        <f>1/(1.7*10^-5)</f>
        <v>58823.529411764706</v>
      </c>
      <c r="AC272" s="8"/>
      <c r="AD272" s="4"/>
      <c r="AE272" s="4"/>
      <c r="AF272" s="4"/>
      <c r="AG272" s="4"/>
      <c r="AH272" s="9"/>
      <c r="AI272" s="9"/>
      <c r="AJ272" s="9"/>
      <c r="AK272" s="9" t="s">
        <v>30</v>
      </c>
      <c r="AL272" s="10"/>
      <c r="AM272" s="10"/>
      <c r="AN272" s="10"/>
      <c r="AO272" s="10"/>
      <c r="AP272" s="10"/>
      <c r="AQ272" s="11">
        <v>13</v>
      </c>
      <c r="AR272" s="4"/>
      <c r="AS272" s="10"/>
      <c r="AT272" s="10"/>
      <c r="AU272" s="10"/>
      <c r="AV272" s="10"/>
      <c r="AW272" s="10"/>
      <c r="AX272" s="10"/>
      <c r="AY272" s="10"/>
      <c r="AZ272" s="10"/>
      <c r="BA272" s="10"/>
      <c r="BB272" s="10"/>
      <c r="BC272" s="10"/>
      <c r="BD272" s="10"/>
    </row>
    <row r="273" spans="1:56" ht="29" x14ac:dyDescent="0.35">
      <c r="A273" s="4" t="s">
        <v>658</v>
      </c>
      <c r="B273" s="4"/>
      <c r="C273" s="4" t="s">
        <v>46</v>
      </c>
      <c r="D273" s="4" t="s">
        <v>47</v>
      </c>
      <c r="E273" s="5" t="s">
        <v>34</v>
      </c>
      <c r="F273" s="4" t="s">
        <v>657</v>
      </c>
      <c r="G273" s="4" t="s">
        <v>26</v>
      </c>
      <c r="H273" s="4" t="s">
        <v>1053</v>
      </c>
      <c r="I273" s="12"/>
      <c r="J273" s="12"/>
      <c r="K273" s="12"/>
      <c r="L273" s="12"/>
      <c r="M273" s="67"/>
      <c r="N273" s="12"/>
      <c r="O273" s="12"/>
      <c r="P273" s="12"/>
      <c r="Q273" s="12"/>
      <c r="R273" s="12"/>
      <c r="S273" s="12"/>
      <c r="T273" s="12"/>
      <c r="U273" s="12"/>
      <c r="V273" s="12"/>
      <c r="W273" s="7"/>
      <c r="X273" s="12"/>
      <c r="Y273" s="7"/>
      <c r="Z273" s="7"/>
      <c r="AA273" s="7"/>
      <c r="AB273" s="8">
        <f>1/(1*10^-5)</f>
        <v>99999.999999999985</v>
      </c>
      <c r="AC273" s="8"/>
      <c r="AD273" s="4"/>
      <c r="AE273" s="4"/>
      <c r="AF273" s="4"/>
      <c r="AG273" s="4"/>
      <c r="AH273" s="9"/>
      <c r="AI273" s="9"/>
      <c r="AJ273" s="9"/>
      <c r="AK273" s="9" t="s">
        <v>30</v>
      </c>
      <c r="AL273" s="10"/>
      <c r="AM273" s="10"/>
      <c r="AN273" s="10"/>
      <c r="AO273" s="10"/>
      <c r="AP273" s="10"/>
      <c r="AQ273" s="11">
        <v>13</v>
      </c>
      <c r="AR273" s="4"/>
      <c r="AS273" s="10"/>
      <c r="AT273" s="10"/>
      <c r="AU273" s="10"/>
      <c r="AV273" s="10"/>
      <c r="AW273" s="10"/>
      <c r="AX273" s="10"/>
      <c r="AY273" s="10"/>
      <c r="AZ273" s="10"/>
      <c r="BA273" s="10"/>
      <c r="BB273" s="10"/>
      <c r="BC273" s="10"/>
      <c r="BD273" s="10"/>
    </row>
    <row r="274" spans="1:56" ht="29" x14ac:dyDescent="0.35">
      <c r="A274" s="4" t="s">
        <v>627</v>
      </c>
      <c r="B274" s="4"/>
      <c r="C274" s="4" t="s">
        <v>46</v>
      </c>
      <c r="D274" s="4" t="s">
        <v>47</v>
      </c>
      <c r="E274" s="5" t="s">
        <v>34</v>
      </c>
      <c r="F274" s="4" t="s">
        <v>657</v>
      </c>
      <c r="G274" s="4" t="s">
        <v>26</v>
      </c>
      <c r="H274" s="4" t="s">
        <v>1053</v>
      </c>
      <c r="I274" s="12"/>
      <c r="J274" s="12"/>
      <c r="K274" s="12"/>
      <c r="L274" s="12"/>
      <c r="M274" s="67"/>
      <c r="N274" s="12"/>
      <c r="O274" s="12"/>
      <c r="P274" s="12"/>
      <c r="Q274" s="12"/>
      <c r="R274" s="12"/>
      <c r="S274" s="12"/>
      <c r="T274" s="12"/>
      <c r="U274" s="12"/>
      <c r="V274" s="12"/>
      <c r="W274" s="7"/>
      <c r="X274" s="12"/>
      <c r="Y274" s="7"/>
      <c r="Z274" s="7"/>
      <c r="AA274" s="7"/>
      <c r="AB274" s="8">
        <f>1/(1*10^-5)</f>
        <v>99999.999999999985</v>
      </c>
      <c r="AC274" s="8"/>
      <c r="AD274" s="4"/>
      <c r="AE274" s="4"/>
      <c r="AF274" s="4"/>
      <c r="AG274" s="4"/>
      <c r="AH274" s="9"/>
      <c r="AI274" s="9"/>
      <c r="AJ274" s="9"/>
      <c r="AK274" s="9" t="s">
        <v>30</v>
      </c>
      <c r="AL274" s="10"/>
      <c r="AM274" s="10"/>
      <c r="AN274" s="10"/>
      <c r="AO274" s="10"/>
      <c r="AP274" s="10"/>
      <c r="AQ274" s="11">
        <v>13</v>
      </c>
      <c r="AR274" s="4"/>
      <c r="AS274" s="10"/>
      <c r="AT274" s="10"/>
      <c r="AU274" s="10"/>
      <c r="AV274" s="10"/>
      <c r="AW274" s="10"/>
      <c r="AX274" s="10"/>
      <c r="AY274" s="10"/>
      <c r="AZ274" s="10"/>
      <c r="BA274" s="10"/>
      <c r="BB274" s="10"/>
      <c r="BC274" s="10"/>
      <c r="BD274" s="10"/>
    </row>
    <row r="275" spans="1:56" ht="29" x14ac:dyDescent="0.35">
      <c r="A275" s="4" t="s">
        <v>659</v>
      </c>
      <c r="B275" s="4"/>
      <c r="C275" s="4" t="s">
        <v>46</v>
      </c>
      <c r="D275" s="4" t="s">
        <v>47</v>
      </c>
      <c r="E275" s="5" t="s">
        <v>34</v>
      </c>
      <c r="F275" s="4" t="s">
        <v>657</v>
      </c>
      <c r="G275" s="4" t="s">
        <v>26</v>
      </c>
      <c r="H275" s="4" t="s">
        <v>1053</v>
      </c>
      <c r="I275" s="12"/>
      <c r="J275" s="12"/>
      <c r="K275" s="12"/>
      <c r="L275" s="12"/>
      <c r="M275" s="67"/>
      <c r="N275" s="12"/>
      <c r="O275" s="12"/>
      <c r="P275" s="12"/>
      <c r="Q275" s="12"/>
      <c r="R275" s="12"/>
      <c r="S275" s="12"/>
      <c r="T275" s="12"/>
      <c r="U275" s="12"/>
      <c r="V275" s="12"/>
      <c r="W275" s="7"/>
      <c r="X275" s="12"/>
      <c r="Y275" s="7"/>
      <c r="Z275" s="7"/>
      <c r="AA275" s="7"/>
      <c r="AB275" s="8">
        <f>1/(1*10^-5)</f>
        <v>99999.999999999985</v>
      </c>
      <c r="AC275" s="8"/>
      <c r="AD275" s="4"/>
      <c r="AE275" s="4"/>
      <c r="AF275" s="4"/>
      <c r="AG275" s="4"/>
      <c r="AH275" s="9"/>
      <c r="AI275" s="9"/>
      <c r="AJ275" s="9"/>
      <c r="AK275" s="9" t="s">
        <v>30</v>
      </c>
      <c r="AL275" s="10"/>
      <c r="AM275" s="10"/>
      <c r="AN275" s="10"/>
      <c r="AO275" s="10"/>
      <c r="AP275" s="10"/>
      <c r="AQ275" s="11">
        <v>13</v>
      </c>
      <c r="AR275" s="4"/>
      <c r="AS275" s="10"/>
      <c r="AT275" s="10"/>
      <c r="AU275" s="10"/>
      <c r="AV275" s="10"/>
      <c r="AW275" s="10"/>
      <c r="AX275" s="10"/>
      <c r="AY275" s="10"/>
      <c r="AZ275" s="10"/>
      <c r="BA275" s="10"/>
      <c r="BB275" s="10"/>
      <c r="BC275" s="10"/>
      <c r="BD275" s="10"/>
    </row>
    <row r="276" spans="1:56" ht="29" x14ac:dyDescent="0.35">
      <c r="A276" s="4" t="s">
        <v>590</v>
      </c>
      <c r="B276" s="4"/>
      <c r="C276" s="4" t="s">
        <v>46</v>
      </c>
      <c r="D276" s="4" t="s">
        <v>47</v>
      </c>
      <c r="E276" s="5" t="s">
        <v>34</v>
      </c>
      <c r="F276" s="4" t="s">
        <v>657</v>
      </c>
      <c r="G276" s="4" t="s">
        <v>26</v>
      </c>
      <c r="H276" s="4" t="s">
        <v>638</v>
      </c>
      <c r="I276" s="12"/>
      <c r="J276" s="12"/>
      <c r="K276" s="12"/>
      <c r="L276" s="12"/>
      <c r="M276" s="67"/>
      <c r="N276" s="12"/>
      <c r="O276" s="12"/>
      <c r="P276" s="12"/>
      <c r="Q276" s="12"/>
      <c r="R276" s="12"/>
      <c r="S276" s="12"/>
      <c r="T276" s="12"/>
      <c r="U276" s="12"/>
      <c r="V276" s="12"/>
      <c r="W276" s="7"/>
      <c r="X276" s="12"/>
      <c r="Y276" s="7"/>
      <c r="Z276" s="7"/>
      <c r="AA276" s="7"/>
      <c r="AB276" s="8">
        <f>1/(1*10^-5)</f>
        <v>99999.999999999985</v>
      </c>
      <c r="AC276" s="8"/>
      <c r="AD276" s="4"/>
      <c r="AE276" s="4"/>
      <c r="AF276" s="4"/>
      <c r="AG276" s="4"/>
      <c r="AH276" s="9"/>
      <c r="AI276" s="9"/>
      <c r="AJ276" s="9"/>
      <c r="AK276" s="9" t="s">
        <v>30</v>
      </c>
      <c r="AL276" s="10"/>
      <c r="AM276" s="10"/>
      <c r="AN276" s="10"/>
      <c r="AO276" s="10"/>
      <c r="AP276" s="10"/>
      <c r="AQ276" s="11">
        <v>13</v>
      </c>
      <c r="AR276" s="4"/>
      <c r="AS276" s="10"/>
      <c r="AT276" s="10"/>
      <c r="AU276" s="10"/>
      <c r="AV276" s="10"/>
      <c r="AW276" s="10"/>
      <c r="AX276" s="10"/>
      <c r="AY276" s="10"/>
      <c r="AZ276" s="10"/>
      <c r="BA276" s="10"/>
      <c r="BB276" s="10"/>
      <c r="BC276" s="10"/>
      <c r="BD276" s="10"/>
    </row>
    <row r="277" spans="1:56" ht="29" x14ac:dyDescent="0.35">
      <c r="A277" s="4" t="s">
        <v>591</v>
      </c>
      <c r="B277" s="4"/>
      <c r="C277" s="4" t="s">
        <v>46</v>
      </c>
      <c r="D277" s="4" t="s">
        <v>47</v>
      </c>
      <c r="E277" s="5" t="s">
        <v>34</v>
      </c>
      <c r="F277" s="4" t="s">
        <v>657</v>
      </c>
      <c r="G277" s="4" t="s">
        <v>26</v>
      </c>
      <c r="H277" s="4" t="s">
        <v>635</v>
      </c>
      <c r="I277" s="12"/>
      <c r="J277" s="12"/>
      <c r="K277" s="12"/>
      <c r="L277" s="12"/>
      <c r="M277" s="67"/>
      <c r="N277" s="12"/>
      <c r="O277" s="12"/>
      <c r="P277" s="12"/>
      <c r="Q277" s="12"/>
      <c r="R277" s="12"/>
      <c r="S277" s="12"/>
      <c r="T277" s="12"/>
      <c r="U277" s="12"/>
      <c r="V277" s="12"/>
      <c r="W277" s="7"/>
      <c r="X277" s="12"/>
      <c r="Y277" s="7"/>
      <c r="Z277" s="7"/>
      <c r="AA277" s="7"/>
      <c r="AB277" s="8">
        <f>1/(6*10^-6)</f>
        <v>166666.66666666666</v>
      </c>
      <c r="AC277" s="8"/>
      <c r="AD277" s="4"/>
      <c r="AE277" s="4"/>
      <c r="AF277" s="4"/>
      <c r="AG277" s="4"/>
      <c r="AH277" s="9"/>
      <c r="AI277" s="9"/>
      <c r="AJ277" s="9"/>
      <c r="AK277" s="9" t="s">
        <v>30</v>
      </c>
      <c r="AL277" s="10"/>
      <c r="AM277" s="10"/>
      <c r="AN277" s="10"/>
      <c r="AO277" s="10"/>
      <c r="AP277" s="10"/>
      <c r="AQ277" s="11">
        <v>13</v>
      </c>
      <c r="AR277" s="4"/>
      <c r="AS277" s="10"/>
      <c r="AT277" s="10"/>
      <c r="AU277" s="10"/>
      <c r="AV277" s="10"/>
      <c r="AW277" s="10"/>
      <c r="AX277" s="10"/>
      <c r="AY277" s="10"/>
      <c r="AZ277" s="10"/>
      <c r="BA277" s="10"/>
      <c r="BB277" s="10"/>
      <c r="BC277" s="10"/>
      <c r="BD277" s="10"/>
    </row>
    <row r="278" spans="1:56" ht="29" x14ac:dyDescent="0.35">
      <c r="A278" s="4" t="s">
        <v>618</v>
      </c>
      <c r="B278" s="4"/>
      <c r="C278" s="4" t="s">
        <v>46</v>
      </c>
      <c r="D278" s="4" t="s">
        <v>47</v>
      </c>
      <c r="E278" s="5" t="s">
        <v>34</v>
      </c>
      <c r="F278" s="4" t="s">
        <v>657</v>
      </c>
      <c r="G278" s="4" t="s">
        <v>26</v>
      </c>
      <c r="H278" s="4" t="s">
        <v>1053</v>
      </c>
      <c r="I278" s="12"/>
      <c r="J278" s="12"/>
      <c r="K278" s="12"/>
      <c r="L278" s="12"/>
      <c r="M278" s="67"/>
      <c r="N278" s="12"/>
      <c r="O278" s="12"/>
      <c r="P278" s="12"/>
      <c r="Q278" s="12"/>
      <c r="R278" s="12"/>
      <c r="S278" s="12"/>
      <c r="T278" s="12"/>
      <c r="U278" s="12"/>
      <c r="V278" s="12"/>
      <c r="W278" s="7"/>
      <c r="X278" s="12"/>
      <c r="Y278" s="7"/>
      <c r="Z278" s="7"/>
      <c r="AA278" s="7"/>
      <c r="AB278" s="8">
        <f>1/(1*10^-5)</f>
        <v>99999.999999999985</v>
      </c>
      <c r="AC278" s="8"/>
      <c r="AD278" s="4"/>
      <c r="AE278" s="4"/>
      <c r="AF278" s="4"/>
      <c r="AG278" s="4"/>
      <c r="AH278" s="9"/>
      <c r="AI278" s="9"/>
      <c r="AJ278" s="9"/>
      <c r="AK278" s="9" t="s">
        <v>30</v>
      </c>
      <c r="AL278" s="10"/>
      <c r="AM278" s="10"/>
      <c r="AN278" s="10"/>
      <c r="AO278" s="10"/>
      <c r="AP278" s="10"/>
      <c r="AQ278" s="11">
        <v>13</v>
      </c>
      <c r="AR278" s="4"/>
      <c r="AS278" s="10"/>
      <c r="AT278" s="10"/>
      <c r="AU278" s="10"/>
      <c r="AV278" s="10"/>
      <c r="AW278" s="10"/>
      <c r="AX278" s="10"/>
      <c r="AY278" s="10"/>
      <c r="AZ278" s="10"/>
      <c r="BA278" s="10"/>
      <c r="BB278" s="10"/>
      <c r="BC278" s="10"/>
      <c r="BD278" s="10"/>
    </row>
    <row r="279" spans="1:56" ht="29" x14ac:dyDescent="0.35">
      <c r="A279" s="4" t="s">
        <v>660</v>
      </c>
      <c r="B279" s="4"/>
      <c r="C279" s="4" t="s">
        <v>46</v>
      </c>
      <c r="D279" s="4" t="s">
        <v>47</v>
      </c>
      <c r="E279" s="5" t="s">
        <v>34</v>
      </c>
      <c r="F279" s="4" t="s">
        <v>657</v>
      </c>
      <c r="G279" s="4" t="s">
        <v>26</v>
      </c>
      <c r="H279" s="4" t="s">
        <v>1053</v>
      </c>
      <c r="I279" s="12"/>
      <c r="J279" s="12"/>
      <c r="K279" s="12"/>
      <c r="L279" s="12"/>
      <c r="M279" s="67"/>
      <c r="N279" s="12"/>
      <c r="O279" s="12"/>
      <c r="P279" s="12"/>
      <c r="Q279" s="12"/>
      <c r="R279" s="12"/>
      <c r="S279" s="12"/>
      <c r="T279" s="12"/>
      <c r="U279" s="12"/>
      <c r="V279" s="12"/>
      <c r="W279" s="7"/>
      <c r="X279" s="12"/>
      <c r="Y279" s="7"/>
      <c r="Z279" s="7"/>
      <c r="AA279" s="7"/>
      <c r="AB279" s="8">
        <f>1/(1*10^-5)</f>
        <v>99999.999999999985</v>
      </c>
      <c r="AC279" s="8"/>
      <c r="AD279" s="4"/>
      <c r="AE279" s="4"/>
      <c r="AF279" s="4"/>
      <c r="AG279" s="4"/>
      <c r="AH279" s="9"/>
      <c r="AI279" s="9"/>
      <c r="AJ279" s="9"/>
      <c r="AK279" s="9" t="s">
        <v>30</v>
      </c>
      <c r="AL279" s="10"/>
      <c r="AM279" s="10"/>
      <c r="AN279" s="10"/>
      <c r="AO279" s="10"/>
      <c r="AP279" s="10"/>
      <c r="AQ279" s="11">
        <v>13</v>
      </c>
      <c r="AR279" s="4"/>
      <c r="AS279" s="10"/>
      <c r="AT279" s="10"/>
      <c r="AU279" s="10"/>
      <c r="AV279" s="10"/>
      <c r="AW279" s="10"/>
      <c r="AX279" s="10"/>
      <c r="AY279" s="10"/>
      <c r="AZ279" s="10"/>
      <c r="BA279" s="10"/>
      <c r="BB279" s="10"/>
      <c r="BC279" s="10"/>
      <c r="BD279" s="10"/>
    </row>
    <row r="280" spans="1:56" ht="29" x14ac:dyDescent="0.35">
      <c r="A280" s="4" t="s">
        <v>593</v>
      </c>
      <c r="B280" s="4"/>
      <c r="C280" s="4" t="s">
        <v>46</v>
      </c>
      <c r="D280" s="4" t="s">
        <v>165</v>
      </c>
      <c r="E280" s="5" t="s">
        <v>34</v>
      </c>
      <c r="F280" s="4" t="s">
        <v>661</v>
      </c>
      <c r="G280" s="4" t="s">
        <v>26</v>
      </c>
      <c r="H280" s="4" t="s">
        <v>1053</v>
      </c>
      <c r="I280" s="12"/>
      <c r="J280" s="12"/>
      <c r="K280" s="12"/>
      <c r="L280" s="12"/>
      <c r="M280" s="67"/>
      <c r="N280" s="12"/>
      <c r="O280" s="12"/>
      <c r="P280" s="12"/>
      <c r="Q280" s="12"/>
      <c r="R280" s="12"/>
      <c r="S280" s="12"/>
      <c r="T280" s="12"/>
      <c r="U280" s="12"/>
      <c r="V280" s="12"/>
      <c r="W280" s="7"/>
      <c r="X280" s="12"/>
      <c r="Y280" s="7">
        <v>8</v>
      </c>
      <c r="Z280" s="7"/>
      <c r="AA280" s="7"/>
      <c r="AB280" s="8">
        <f>1/(5*10^-7)</f>
        <v>2000000</v>
      </c>
      <c r="AC280" s="8"/>
      <c r="AD280" s="4"/>
      <c r="AE280" s="4"/>
      <c r="AF280" s="4"/>
      <c r="AG280" s="4"/>
      <c r="AH280" s="9"/>
      <c r="AI280" s="9"/>
      <c r="AJ280" s="9"/>
      <c r="AK280" s="9" t="s">
        <v>30</v>
      </c>
      <c r="AL280" s="10"/>
      <c r="AM280" s="10"/>
      <c r="AN280" s="10"/>
      <c r="AO280" s="10"/>
      <c r="AP280" s="10"/>
      <c r="AQ280" s="11">
        <v>13</v>
      </c>
      <c r="AR280" s="4"/>
      <c r="AS280" s="10"/>
      <c r="AT280" s="10"/>
      <c r="AU280" s="10"/>
      <c r="AV280" s="10"/>
      <c r="AW280" s="10"/>
      <c r="AX280" s="10"/>
      <c r="AY280" s="10"/>
      <c r="AZ280" s="10"/>
      <c r="BA280" s="10"/>
      <c r="BB280" s="10"/>
      <c r="BC280" s="10"/>
      <c r="BD280" s="10"/>
    </row>
    <row r="281" spans="1:56" ht="29" x14ac:dyDescent="0.35">
      <c r="A281" s="4" t="s">
        <v>614</v>
      </c>
      <c r="B281" s="4"/>
      <c r="C281" s="4" t="s">
        <v>46</v>
      </c>
      <c r="D281" s="4" t="s">
        <v>165</v>
      </c>
      <c r="E281" s="5" t="s">
        <v>34</v>
      </c>
      <c r="F281" s="4" t="s">
        <v>661</v>
      </c>
      <c r="G281" s="4" t="s">
        <v>26</v>
      </c>
      <c r="H281" s="4" t="s">
        <v>638</v>
      </c>
      <c r="I281" s="12"/>
      <c r="J281" s="12"/>
      <c r="K281" s="12"/>
      <c r="L281" s="12"/>
      <c r="M281" s="67"/>
      <c r="N281" s="12"/>
      <c r="O281" s="12"/>
      <c r="P281" s="12"/>
      <c r="Q281" s="12"/>
      <c r="R281" s="12"/>
      <c r="S281" s="12"/>
      <c r="T281" s="12"/>
      <c r="U281" s="12"/>
      <c r="V281" s="12"/>
      <c r="W281" s="7"/>
      <c r="X281" s="12"/>
      <c r="Y281" s="7">
        <f t="shared" ref="Y281:Y292" si="3">$Y$280</f>
        <v>8</v>
      </c>
      <c r="Z281" s="7"/>
      <c r="AA281" s="7"/>
      <c r="AB281" s="8">
        <f>1/(4.67*10^-5)</f>
        <v>21413.276231263382</v>
      </c>
      <c r="AC281" s="8"/>
      <c r="AD281" s="4"/>
      <c r="AE281" s="4"/>
      <c r="AF281" s="4"/>
      <c r="AG281" s="4"/>
      <c r="AH281" s="9"/>
      <c r="AI281" s="9"/>
      <c r="AJ281" s="9"/>
      <c r="AK281" s="9" t="s">
        <v>30</v>
      </c>
      <c r="AL281" s="10"/>
      <c r="AM281" s="10"/>
      <c r="AN281" s="10"/>
      <c r="AO281" s="10"/>
      <c r="AP281" s="10"/>
      <c r="AQ281" s="11">
        <v>13</v>
      </c>
      <c r="AR281" s="4"/>
      <c r="AS281" s="10"/>
      <c r="AT281" s="10"/>
      <c r="AU281" s="10"/>
      <c r="AV281" s="10"/>
      <c r="AW281" s="10"/>
      <c r="AX281" s="10"/>
      <c r="AY281" s="10"/>
      <c r="AZ281" s="10"/>
      <c r="BA281" s="10"/>
      <c r="BB281" s="10"/>
      <c r="BC281" s="10"/>
      <c r="BD281" s="10"/>
    </row>
    <row r="282" spans="1:56" ht="29" x14ac:dyDescent="0.35">
      <c r="A282" s="4" t="s">
        <v>583</v>
      </c>
      <c r="B282" s="4"/>
      <c r="C282" s="4" t="s">
        <v>46</v>
      </c>
      <c r="D282" s="4" t="s">
        <v>165</v>
      </c>
      <c r="E282" s="5" t="s">
        <v>34</v>
      </c>
      <c r="F282" s="4" t="s">
        <v>661</v>
      </c>
      <c r="G282" s="4" t="s">
        <v>26</v>
      </c>
      <c r="H282" s="4" t="s">
        <v>637</v>
      </c>
      <c r="I282" s="12"/>
      <c r="J282" s="12"/>
      <c r="K282" s="12"/>
      <c r="L282" s="12"/>
      <c r="M282" s="67"/>
      <c r="N282" s="12"/>
      <c r="O282" s="12"/>
      <c r="P282" s="12"/>
      <c r="Q282" s="12"/>
      <c r="R282" s="12"/>
      <c r="S282" s="12"/>
      <c r="T282" s="12"/>
      <c r="U282" s="12"/>
      <c r="V282" s="12"/>
      <c r="W282" s="7"/>
      <c r="X282" s="12"/>
      <c r="Y282" s="7">
        <f t="shared" si="3"/>
        <v>8</v>
      </c>
      <c r="Z282" s="7"/>
      <c r="AA282" s="7"/>
      <c r="AB282" s="8">
        <f>1/(5.99*10^-6)</f>
        <v>166944.9081803005</v>
      </c>
      <c r="AC282" s="8"/>
      <c r="AD282" s="4"/>
      <c r="AE282" s="4"/>
      <c r="AF282" s="4"/>
      <c r="AG282" s="4"/>
      <c r="AH282" s="9"/>
      <c r="AI282" s="9"/>
      <c r="AJ282" s="9"/>
      <c r="AK282" s="9" t="s">
        <v>30</v>
      </c>
      <c r="AL282" s="10"/>
      <c r="AM282" s="10"/>
      <c r="AN282" s="10"/>
      <c r="AO282" s="10"/>
      <c r="AP282" s="10"/>
      <c r="AQ282" s="11">
        <v>13</v>
      </c>
      <c r="AR282" s="4"/>
      <c r="AS282" s="10"/>
      <c r="AT282" s="10"/>
      <c r="AU282" s="10"/>
      <c r="AV282" s="10"/>
      <c r="AW282" s="10"/>
      <c r="AX282" s="10"/>
      <c r="AY282" s="10"/>
      <c r="AZ282" s="10"/>
      <c r="BA282" s="10"/>
      <c r="BB282" s="10"/>
      <c r="BC282" s="10"/>
      <c r="BD282" s="10"/>
    </row>
    <row r="283" spans="1:56" ht="29" x14ac:dyDescent="0.35">
      <c r="A283" s="4" t="s">
        <v>627</v>
      </c>
      <c r="B283" s="4"/>
      <c r="C283" s="4" t="s">
        <v>46</v>
      </c>
      <c r="D283" s="4" t="s">
        <v>165</v>
      </c>
      <c r="E283" s="5" t="s">
        <v>34</v>
      </c>
      <c r="F283" s="4" t="s">
        <v>661</v>
      </c>
      <c r="G283" s="4" t="s">
        <v>26</v>
      </c>
      <c r="H283" s="4" t="s">
        <v>639</v>
      </c>
      <c r="I283" s="12"/>
      <c r="J283" s="12"/>
      <c r="K283" s="12"/>
      <c r="L283" s="12"/>
      <c r="M283" s="67"/>
      <c r="N283" s="12"/>
      <c r="O283" s="12"/>
      <c r="P283" s="12"/>
      <c r="Q283" s="12"/>
      <c r="R283" s="12"/>
      <c r="S283" s="12"/>
      <c r="T283" s="12"/>
      <c r="U283" s="12"/>
      <c r="V283" s="12"/>
      <c r="W283" s="7"/>
      <c r="X283" s="12"/>
      <c r="Y283" s="7">
        <f t="shared" si="3"/>
        <v>8</v>
      </c>
      <c r="Z283" s="7"/>
      <c r="AA283" s="7"/>
      <c r="AB283" s="8">
        <f>1/(1*10^-5)</f>
        <v>99999.999999999985</v>
      </c>
      <c r="AC283" s="8"/>
      <c r="AD283" s="4"/>
      <c r="AE283" s="4"/>
      <c r="AF283" s="4"/>
      <c r="AG283" s="4"/>
      <c r="AH283" s="9"/>
      <c r="AI283" s="9"/>
      <c r="AJ283" s="9"/>
      <c r="AK283" s="9" t="s">
        <v>30</v>
      </c>
      <c r="AL283" s="10"/>
      <c r="AM283" s="10"/>
      <c r="AN283" s="10"/>
      <c r="AO283" s="10"/>
      <c r="AP283" s="10"/>
      <c r="AQ283" s="11">
        <v>13</v>
      </c>
      <c r="AR283" s="4"/>
      <c r="AS283" s="10"/>
      <c r="AT283" s="10"/>
      <c r="AU283" s="10"/>
      <c r="AV283" s="10"/>
      <c r="AW283" s="10"/>
      <c r="AX283" s="10"/>
      <c r="AY283" s="10"/>
      <c r="AZ283" s="10"/>
      <c r="BA283" s="10"/>
      <c r="BB283" s="10"/>
      <c r="BC283" s="10"/>
      <c r="BD283" s="10"/>
    </row>
    <row r="284" spans="1:56" ht="29" x14ac:dyDescent="0.35">
      <c r="A284" s="4" t="s">
        <v>662</v>
      </c>
      <c r="B284" s="4"/>
      <c r="C284" s="4" t="s">
        <v>46</v>
      </c>
      <c r="D284" s="4" t="s">
        <v>165</v>
      </c>
      <c r="E284" s="5" t="s">
        <v>34</v>
      </c>
      <c r="F284" s="4" t="s">
        <v>661</v>
      </c>
      <c r="G284" s="4" t="s">
        <v>26</v>
      </c>
      <c r="H284" s="4" t="s">
        <v>1053</v>
      </c>
      <c r="I284" s="12"/>
      <c r="J284" s="12"/>
      <c r="K284" s="12"/>
      <c r="L284" s="12"/>
      <c r="M284" s="67"/>
      <c r="N284" s="12"/>
      <c r="O284" s="12"/>
      <c r="P284" s="12"/>
      <c r="Q284" s="12"/>
      <c r="R284" s="12"/>
      <c r="S284" s="12"/>
      <c r="T284" s="12"/>
      <c r="U284" s="12"/>
      <c r="V284" s="12"/>
      <c r="W284" s="7"/>
      <c r="X284" s="12"/>
      <c r="Y284" s="7">
        <f t="shared" si="3"/>
        <v>8</v>
      </c>
      <c r="Z284" s="7"/>
      <c r="AA284" s="7"/>
      <c r="AB284" s="8">
        <f>1/(3.37*10^-6)</f>
        <v>296735.90504451038</v>
      </c>
      <c r="AC284" s="8"/>
      <c r="AD284" s="4"/>
      <c r="AE284" s="4"/>
      <c r="AF284" s="4"/>
      <c r="AG284" s="4"/>
      <c r="AH284" s="9"/>
      <c r="AI284" s="9"/>
      <c r="AJ284" s="9"/>
      <c r="AK284" s="9" t="s">
        <v>30</v>
      </c>
      <c r="AL284" s="10"/>
      <c r="AM284" s="10"/>
      <c r="AN284" s="10"/>
      <c r="AO284" s="10"/>
      <c r="AP284" s="10"/>
      <c r="AQ284" s="11">
        <v>13</v>
      </c>
      <c r="AR284" s="4"/>
      <c r="AS284" s="10"/>
      <c r="AT284" s="10"/>
      <c r="AU284" s="10"/>
      <c r="AV284" s="10"/>
      <c r="AW284" s="10"/>
      <c r="AX284" s="10"/>
      <c r="AY284" s="10"/>
      <c r="AZ284" s="10"/>
      <c r="BA284" s="10"/>
      <c r="BB284" s="10"/>
      <c r="BC284" s="10"/>
      <c r="BD284" s="10"/>
    </row>
    <row r="285" spans="1:56" ht="29" x14ac:dyDescent="0.35">
      <c r="A285" s="4" t="s">
        <v>663</v>
      </c>
      <c r="B285" s="4"/>
      <c r="C285" s="4" t="s">
        <v>46</v>
      </c>
      <c r="D285" s="4" t="s">
        <v>165</v>
      </c>
      <c r="E285" s="5" t="s">
        <v>34</v>
      </c>
      <c r="F285" s="4" t="s">
        <v>661</v>
      </c>
      <c r="G285" s="4" t="s">
        <v>26</v>
      </c>
      <c r="H285" s="4" t="s">
        <v>651</v>
      </c>
      <c r="I285" s="12"/>
      <c r="J285" s="12"/>
      <c r="K285" s="12"/>
      <c r="L285" s="12"/>
      <c r="M285" s="67"/>
      <c r="N285" s="12"/>
      <c r="O285" s="12"/>
      <c r="P285" s="12"/>
      <c r="Q285" s="12"/>
      <c r="R285" s="12"/>
      <c r="S285" s="12"/>
      <c r="T285" s="12"/>
      <c r="U285" s="12"/>
      <c r="V285" s="12"/>
      <c r="W285" s="7"/>
      <c r="X285" s="12"/>
      <c r="Y285" s="7">
        <f t="shared" si="3"/>
        <v>8</v>
      </c>
      <c r="Z285" s="7"/>
      <c r="AA285" s="7"/>
      <c r="AB285" s="8">
        <f>1/(3.37*10^-6)</f>
        <v>296735.90504451038</v>
      </c>
      <c r="AC285" s="8"/>
      <c r="AD285" s="4"/>
      <c r="AE285" s="4"/>
      <c r="AF285" s="4"/>
      <c r="AG285" s="4"/>
      <c r="AH285" s="9"/>
      <c r="AI285" s="9"/>
      <c r="AJ285" s="9"/>
      <c r="AK285" s="9" t="s">
        <v>30</v>
      </c>
      <c r="AL285" s="10"/>
      <c r="AM285" s="10"/>
      <c r="AN285" s="10"/>
      <c r="AO285" s="10"/>
      <c r="AP285" s="10"/>
      <c r="AQ285" s="11">
        <v>13</v>
      </c>
      <c r="AR285" s="4"/>
      <c r="AS285" s="10"/>
      <c r="AT285" s="10"/>
      <c r="AU285" s="10"/>
      <c r="AV285" s="10"/>
      <c r="AW285" s="10"/>
      <c r="AX285" s="10"/>
      <c r="AY285" s="10"/>
      <c r="AZ285" s="10"/>
      <c r="BA285" s="10"/>
      <c r="BB285" s="10"/>
      <c r="BC285" s="10"/>
      <c r="BD285" s="10"/>
    </row>
    <row r="286" spans="1:56" ht="29" x14ac:dyDescent="0.35">
      <c r="A286" s="4" t="s">
        <v>664</v>
      </c>
      <c r="B286" s="4"/>
      <c r="C286" s="4" t="s">
        <v>46</v>
      </c>
      <c r="D286" s="4" t="s">
        <v>165</v>
      </c>
      <c r="E286" s="5" t="s">
        <v>34</v>
      </c>
      <c r="F286" s="4" t="s">
        <v>661</v>
      </c>
      <c r="G286" s="4" t="s">
        <v>26</v>
      </c>
      <c r="H286" s="4" t="s">
        <v>1053</v>
      </c>
      <c r="I286" s="12"/>
      <c r="J286" s="12"/>
      <c r="K286" s="12"/>
      <c r="L286" s="12"/>
      <c r="M286" s="67"/>
      <c r="N286" s="12"/>
      <c r="O286" s="12"/>
      <c r="P286" s="12"/>
      <c r="Q286" s="12"/>
      <c r="R286" s="12"/>
      <c r="S286" s="12"/>
      <c r="T286" s="12"/>
      <c r="U286" s="12"/>
      <c r="V286" s="12"/>
      <c r="W286" s="7"/>
      <c r="X286" s="12"/>
      <c r="Y286" s="7">
        <f t="shared" si="3"/>
        <v>8</v>
      </c>
      <c r="Z286" s="7"/>
      <c r="AA286" s="7"/>
      <c r="AB286" s="8">
        <f>1/(1.39*10^-6)</f>
        <v>719424.46043165482</v>
      </c>
      <c r="AC286" s="8"/>
      <c r="AD286" s="4"/>
      <c r="AE286" s="4"/>
      <c r="AF286" s="4"/>
      <c r="AG286" s="4"/>
      <c r="AH286" s="9"/>
      <c r="AI286" s="9"/>
      <c r="AJ286" s="9"/>
      <c r="AK286" s="9" t="s">
        <v>30</v>
      </c>
      <c r="AL286" s="10"/>
      <c r="AM286" s="10"/>
      <c r="AN286" s="10"/>
      <c r="AO286" s="10"/>
      <c r="AP286" s="10"/>
      <c r="AQ286" s="11">
        <v>13</v>
      </c>
      <c r="AR286" s="4"/>
      <c r="AS286" s="10"/>
      <c r="AT286" s="10"/>
      <c r="AU286" s="10"/>
      <c r="AV286" s="10"/>
      <c r="AW286" s="10"/>
      <c r="AX286" s="10"/>
      <c r="AY286" s="10"/>
      <c r="AZ286" s="10"/>
      <c r="BA286" s="10"/>
      <c r="BB286" s="10"/>
      <c r="BC286" s="10"/>
      <c r="BD286" s="10"/>
    </row>
    <row r="287" spans="1:56" ht="29" x14ac:dyDescent="0.35">
      <c r="A287" s="4" t="s">
        <v>665</v>
      </c>
      <c r="B287" s="4"/>
      <c r="C287" s="4" t="s">
        <v>46</v>
      </c>
      <c r="D287" s="4" t="s">
        <v>165</v>
      </c>
      <c r="E287" s="5" t="s">
        <v>34</v>
      </c>
      <c r="F287" s="4" t="s">
        <v>661</v>
      </c>
      <c r="G287" s="4" t="s">
        <v>26</v>
      </c>
      <c r="H287" s="4" t="s">
        <v>1053</v>
      </c>
      <c r="I287" s="12"/>
      <c r="J287" s="12"/>
      <c r="K287" s="12"/>
      <c r="L287" s="12"/>
      <c r="M287" s="67"/>
      <c r="N287" s="12"/>
      <c r="O287" s="12"/>
      <c r="P287" s="12"/>
      <c r="Q287" s="12"/>
      <c r="R287" s="12"/>
      <c r="S287" s="12"/>
      <c r="T287" s="12"/>
      <c r="U287" s="12"/>
      <c r="V287" s="12"/>
      <c r="W287" s="7"/>
      <c r="X287" s="12"/>
      <c r="Y287" s="7">
        <f t="shared" si="3"/>
        <v>8</v>
      </c>
      <c r="Z287" s="7"/>
      <c r="AA287" s="7"/>
      <c r="AB287" s="8">
        <f>1/(7.29*10^-6)</f>
        <v>137174.21124828534</v>
      </c>
      <c r="AC287" s="8"/>
      <c r="AD287" s="4"/>
      <c r="AE287" s="4"/>
      <c r="AF287" s="4"/>
      <c r="AG287" s="4"/>
      <c r="AH287" s="9"/>
      <c r="AI287" s="9"/>
      <c r="AJ287" s="9"/>
      <c r="AK287" s="9" t="s">
        <v>30</v>
      </c>
      <c r="AL287" s="10"/>
      <c r="AM287" s="10"/>
      <c r="AN287" s="10"/>
      <c r="AO287" s="10"/>
      <c r="AP287" s="10"/>
      <c r="AQ287" s="11">
        <v>13</v>
      </c>
      <c r="AR287" s="4"/>
      <c r="AS287" s="10"/>
      <c r="AT287" s="10"/>
      <c r="AU287" s="10"/>
      <c r="AV287" s="10"/>
      <c r="AW287" s="10"/>
      <c r="AX287" s="10"/>
      <c r="AY287" s="10"/>
      <c r="AZ287" s="10"/>
      <c r="BA287" s="10"/>
      <c r="BB287" s="10"/>
      <c r="BC287" s="10"/>
      <c r="BD287" s="10"/>
    </row>
    <row r="288" spans="1:56" ht="29" x14ac:dyDescent="0.35">
      <c r="A288" s="4" t="s">
        <v>603</v>
      </c>
      <c r="B288" s="4"/>
      <c r="C288" s="4" t="s">
        <v>46</v>
      </c>
      <c r="D288" s="4" t="s">
        <v>165</v>
      </c>
      <c r="E288" s="5" t="s">
        <v>34</v>
      </c>
      <c r="F288" s="4" t="s">
        <v>661</v>
      </c>
      <c r="G288" s="4" t="s">
        <v>26</v>
      </c>
      <c r="H288" s="4" t="s">
        <v>1053</v>
      </c>
      <c r="I288" s="12"/>
      <c r="J288" s="12"/>
      <c r="K288" s="12"/>
      <c r="L288" s="12"/>
      <c r="M288" s="67"/>
      <c r="N288" s="12"/>
      <c r="O288" s="12"/>
      <c r="P288" s="12"/>
      <c r="Q288" s="12"/>
      <c r="R288" s="12"/>
      <c r="S288" s="12"/>
      <c r="T288" s="12"/>
      <c r="U288" s="12"/>
      <c r="V288" s="12"/>
      <c r="W288" s="7"/>
      <c r="X288" s="12"/>
      <c r="Y288" s="7">
        <f t="shared" si="3"/>
        <v>8</v>
      </c>
      <c r="Z288" s="7"/>
      <c r="AA288" s="7"/>
      <c r="AB288" s="8">
        <f>1/(1*10^-5)</f>
        <v>99999.999999999985</v>
      </c>
      <c r="AC288" s="8"/>
      <c r="AD288" s="4"/>
      <c r="AE288" s="4"/>
      <c r="AF288" s="4"/>
      <c r="AG288" s="4"/>
      <c r="AH288" s="9"/>
      <c r="AI288" s="9"/>
      <c r="AJ288" s="9"/>
      <c r="AK288" s="9" t="s">
        <v>30</v>
      </c>
      <c r="AL288" s="10"/>
      <c r="AM288" s="10"/>
      <c r="AN288" s="10"/>
      <c r="AO288" s="10"/>
      <c r="AP288" s="10"/>
      <c r="AQ288" s="11">
        <v>13</v>
      </c>
      <c r="AR288" s="4"/>
      <c r="AS288" s="10"/>
      <c r="AT288" s="10"/>
      <c r="AU288" s="10"/>
      <c r="AV288" s="10"/>
      <c r="AW288" s="10"/>
      <c r="AX288" s="10"/>
      <c r="AY288" s="10"/>
      <c r="AZ288" s="10"/>
      <c r="BA288" s="10"/>
      <c r="BB288" s="10"/>
      <c r="BC288" s="10"/>
      <c r="BD288" s="10"/>
    </row>
    <row r="289" spans="1:56" ht="29" x14ac:dyDescent="0.35">
      <c r="A289" s="4" t="s">
        <v>586</v>
      </c>
      <c r="B289" s="4"/>
      <c r="C289" s="4" t="s">
        <v>46</v>
      </c>
      <c r="D289" s="4" t="s">
        <v>165</v>
      </c>
      <c r="E289" s="5" t="s">
        <v>34</v>
      </c>
      <c r="F289" s="4" t="s">
        <v>661</v>
      </c>
      <c r="G289" s="4" t="s">
        <v>26</v>
      </c>
      <c r="H289" s="4" t="s">
        <v>1053</v>
      </c>
      <c r="I289" s="12"/>
      <c r="J289" s="12"/>
      <c r="K289" s="12"/>
      <c r="L289" s="12"/>
      <c r="M289" s="67"/>
      <c r="N289" s="12"/>
      <c r="O289" s="12"/>
      <c r="P289" s="12"/>
      <c r="Q289" s="12"/>
      <c r="R289" s="12"/>
      <c r="S289" s="12"/>
      <c r="T289" s="12"/>
      <c r="U289" s="12"/>
      <c r="V289" s="12"/>
      <c r="W289" s="7"/>
      <c r="X289" s="12"/>
      <c r="Y289" s="7">
        <f t="shared" si="3"/>
        <v>8</v>
      </c>
      <c r="Z289" s="7"/>
      <c r="AA289" s="7"/>
      <c r="AB289" s="8">
        <f>1/(1*10^-5)</f>
        <v>99999.999999999985</v>
      </c>
      <c r="AC289" s="8"/>
      <c r="AD289" s="4"/>
      <c r="AE289" s="4"/>
      <c r="AF289" s="4"/>
      <c r="AG289" s="4"/>
      <c r="AH289" s="9"/>
      <c r="AI289" s="9"/>
      <c r="AJ289" s="9"/>
      <c r="AK289" s="9" t="s">
        <v>30</v>
      </c>
      <c r="AL289" s="10"/>
      <c r="AM289" s="10"/>
      <c r="AN289" s="10"/>
      <c r="AO289" s="10"/>
      <c r="AP289" s="10"/>
      <c r="AQ289" s="11">
        <v>13</v>
      </c>
      <c r="AR289" s="4"/>
      <c r="AS289" s="10"/>
      <c r="AT289" s="10"/>
      <c r="AU289" s="10"/>
      <c r="AV289" s="10"/>
      <c r="AW289" s="10"/>
      <c r="AX289" s="10"/>
      <c r="AY289" s="10"/>
      <c r="AZ289" s="10"/>
      <c r="BA289" s="10"/>
      <c r="BB289" s="10"/>
      <c r="BC289" s="10"/>
      <c r="BD289" s="10"/>
    </row>
    <row r="290" spans="1:56" ht="29" x14ac:dyDescent="0.35">
      <c r="A290" s="4" t="s">
        <v>587</v>
      </c>
      <c r="B290" s="4"/>
      <c r="C290" s="4" t="s">
        <v>46</v>
      </c>
      <c r="D290" s="4" t="s">
        <v>165</v>
      </c>
      <c r="E290" s="5" t="s">
        <v>34</v>
      </c>
      <c r="F290" s="4" t="s">
        <v>661</v>
      </c>
      <c r="G290" s="4" t="s">
        <v>26</v>
      </c>
      <c r="H290" s="4" t="s">
        <v>1053</v>
      </c>
      <c r="I290" s="12"/>
      <c r="J290" s="12"/>
      <c r="K290" s="12"/>
      <c r="L290" s="12"/>
      <c r="M290" s="67"/>
      <c r="N290" s="12"/>
      <c r="O290" s="12"/>
      <c r="P290" s="12"/>
      <c r="Q290" s="12"/>
      <c r="R290" s="12"/>
      <c r="S290" s="12"/>
      <c r="T290" s="12"/>
      <c r="U290" s="12"/>
      <c r="V290" s="12"/>
      <c r="W290" s="7"/>
      <c r="X290" s="12"/>
      <c r="Y290" s="7">
        <f t="shared" si="3"/>
        <v>8</v>
      </c>
      <c r="Z290" s="7"/>
      <c r="AA290" s="7"/>
      <c r="AB290" s="8">
        <f>1/(1.5*10^-5)</f>
        <v>66666.666666666657</v>
      </c>
      <c r="AC290" s="8"/>
      <c r="AD290" s="4"/>
      <c r="AE290" s="4"/>
      <c r="AF290" s="4"/>
      <c r="AG290" s="4"/>
      <c r="AH290" s="9"/>
      <c r="AI290" s="9"/>
      <c r="AJ290" s="9"/>
      <c r="AK290" s="9" t="s">
        <v>30</v>
      </c>
      <c r="AL290" s="10"/>
      <c r="AM290" s="10"/>
      <c r="AN290" s="10"/>
      <c r="AO290" s="10"/>
      <c r="AP290" s="10"/>
      <c r="AQ290" s="11">
        <v>13</v>
      </c>
      <c r="AR290" s="4"/>
      <c r="AS290" s="10"/>
      <c r="AT290" s="10"/>
      <c r="AU290" s="10"/>
      <c r="AV290" s="10"/>
      <c r="AW290" s="10"/>
      <c r="AX290" s="10"/>
      <c r="AY290" s="10"/>
      <c r="AZ290" s="10"/>
      <c r="BA290" s="10"/>
      <c r="BB290" s="10"/>
      <c r="BC290" s="10"/>
      <c r="BD290" s="10"/>
    </row>
    <row r="291" spans="1:56" ht="29" x14ac:dyDescent="0.35">
      <c r="A291" s="4" t="s">
        <v>590</v>
      </c>
      <c r="B291" s="4"/>
      <c r="C291" s="4" t="s">
        <v>46</v>
      </c>
      <c r="D291" s="4" t="s">
        <v>165</v>
      </c>
      <c r="E291" s="5" t="s">
        <v>34</v>
      </c>
      <c r="F291" s="4" t="s">
        <v>661</v>
      </c>
      <c r="G291" s="4" t="s">
        <v>26</v>
      </c>
      <c r="H291" s="4" t="s">
        <v>666</v>
      </c>
      <c r="I291" s="12"/>
      <c r="J291" s="12"/>
      <c r="K291" s="12"/>
      <c r="L291" s="12"/>
      <c r="M291" s="67"/>
      <c r="N291" s="12"/>
      <c r="O291" s="12"/>
      <c r="P291" s="12"/>
      <c r="Q291" s="12"/>
      <c r="R291" s="12"/>
      <c r="S291" s="12"/>
      <c r="T291" s="12"/>
      <c r="U291" s="12"/>
      <c r="V291" s="12"/>
      <c r="W291" s="7"/>
      <c r="X291" s="12"/>
      <c r="Y291" s="7">
        <f t="shared" si="3"/>
        <v>8</v>
      </c>
      <c r="Z291" s="7"/>
      <c r="AA291" s="7"/>
      <c r="AB291" s="8">
        <f>1/(1*10^-5)</f>
        <v>99999.999999999985</v>
      </c>
      <c r="AC291" s="8"/>
      <c r="AD291" s="4"/>
      <c r="AE291" s="4"/>
      <c r="AF291" s="4"/>
      <c r="AG291" s="4"/>
      <c r="AH291" s="9"/>
      <c r="AI291" s="9"/>
      <c r="AJ291" s="9"/>
      <c r="AK291" s="9" t="s">
        <v>30</v>
      </c>
      <c r="AL291" s="10"/>
      <c r="AM291" s="10"/>
      <c r="AN291" s="10"/>
      <c r="AO291" s="10"/>
      <c r="AP291" s="10"/>
      <c r="AQ291" s="11">
        <v>13</v>
      </c>
      <c r="AR291" s="4"/>
      <c r="AS291" s="10"/>
      <c r="AT291" s="10"/>
      <c r="AU291" s="10"/>
      <c r="AV291" s="10"/>
      <c r="AW291" s="10"/>
      <c r="AX291" s="10"/>
      <c r="AY291" s="10"/>
      <c r="AZ291" s="10"/>
      <c r="BA291" s="10"/>
      <c r="BB291" s="10"/>
      <c r="BC291" s="10"/>
      <c r="BD291" s="10"/>
    </row>
    <row r="292" spans="1:56" ht="29" x14ac:dyDescent="0.35">
      <c r="A292" s="4" t="s">
        <v>618</v>
      </c>
      <c r="B292" s="4"/>
      <c r="C292" s="4" t="s">
        <v>46</v>
      </c>
      <c r="D292" s="4" t="s">
        <v>165</v>
      </c>
      <c r="E292" s="5" t="s">
        <v>34</v>
      </c>
      <c r="F292" s="4" t="s">
        <v>661</v>
      </c>
      <c r="G292" s="4" t="s">
        <v>26</v>
      </c>
      <c r="H292" s="4" t="s">
        <v>637</v>
      </c>
      <c r="I292" s="12"/>
      <c r="J292" s="12"/>
      <c r="K292" s="12"/>
      <c r="L292" s="12"/>
      <c r="M292" s="67"/>
      <c r="N292" s="12"/>
      <c r="O292" s="12"/>
      <c r="P292" s="12"/>
      <c r="Q292" s="12"/>
      <c r="R292" s="12"/>
      <c r="S292" s="12"/>
      <c r="T292" s="12"/>
      <c r="U292" s="12"/>
      <c r="V292" s="12"/>
      <c r="W292" s="7"/>
      <c r="X292" s="12"/>
      <c r="Y292" s="7">
        <f t="shared" si="3"/>
        <v>8</v>
      </c>
      <c r="Z292" s="7"/>
      <c r="AA292" s="7"/>
      <c r="AB292" s="8">
        <f>1/(1*10^-5)</f>
        <v>99999.999999999985</v>
      </c>
      <c r="AC292" s="8"/>
      <c r="AD292" s="4"/>
      <c r="AE292" s="4"/>
      <c r="AF292" s="4"/>
      <c r="AG292" s="4"/>
      <c r="AH292" s="9"/>
      <c r="AI292" s="9"/>
      <c r="AJ292" s="9"/>
      <c r="AK292" s="9" t="s">
        <v>30</v>
      </c>
      <c r="AL292" s="10"/>
      <c r="AM292" s="10"/>
      <c r="AN292" s="10"/>
      <c r="AO292" s="10"/>
      <c r="AP292" s="10"/>
      <c r="AQ292" s="11">
        <v>13</v>
      </c>
      <c r="AR292" s="4"/>
      <c r="AS292" s="10"/>
      <c r="AT292" s="10"/>
      <c r="AU292" s="10"/>
      <c r="AV292" s="10"/>
      <c r="AW292" s="10"/>
      <c r="AX292" s="10"/>
      <c r="AY292" s="10"/>
      <c r="AZ292" s="10"/>
      <c r="BA292" s="10"/>
      <c r="BB292" s="10"/>
      <c r="BC292" s="10"/>
      <c r="BD292" s="10"/>
    </row>
    <row r="293" spans="1:56" ht="29" x14ac:dyDescent="0.35">
      <c r="A293" s="20" t="s">
        <v>593</v>
      </c>
      <c r="B293" s="23"/>
      <c r="C293" s="4" t="s">
        <v>22</v>
      </c>
      <c r="D293" s="4" t="s">
        <v>33</v>
      </c>
      <c r="E293" s="5" t="s">
        <v>34</v>
      </c>
      <c r="F293" s="4" t="s">
        <v>667</v>
      </c>
      <c r="G293" s="4" t="s">
        <v>26</v>
      </c>
      <c r="H293" s="4" t="s">
        <v>1053</v>
      </c>
      <c r="I293" s="12"/>
      <c r="J293" s="12"/>
      <c r="K293" s="12"/>
      <c r="L293" s="12"/>
      <c r="M293" s="67"/>
      <c r="N293" s="12"/>
      <c r="O293" s="12"/>
      <c r="P293" s="12"/>
      <c r="Q293" s="12"/>
      <c r="R293" s="12"/>
      <c r="S293" s="12"/>
      <c r="T293" s="12"/>
      <c r="U293" s="12"/>
      <c r="V293" s="12"/>
      <c r="W293" s="7"/>
      <c r="X293" s="12"/>
      <c r="Y293" s="7">
        <v>8</v>
      </c>
      <c r="Z293" s="7"/>
      <c r="AA293" s="7"/>
      <c r="AB293" s="8">
        <f>1/(5*10^-7)</f>
        <v>2000000</v>
      </c>
      <c r="AC293" s="8"/>
      <c r="AD293" s="4"/>
      <c r="AE293" s="4"/>
      <c r="AF293" s="4"/>
      <c r="AG293" s="4"/>
      <c r="AH293" s="9"/>
      <c r="AI293" s="9"/>
      <c r="AJ293" s="9"/>
      <c r="AK293" s="9" t="s">
        <v>30</v>
      </c>
      <c r="AL293" s="10"/>
      <c r="AM293" s="10"/>
      <c r="AN293" s="10"/>
      <c r="AO293" s="10"/>
      <c r="AP293" s="10"/>
      <c r="AQ293" s="11">
        <v>13</v>
      </c>
      <c r="AR293" s="4"/>
      <c r="AS293" s="10"/>
      <c r="AT293" s="10"/>
      <c r="AU293" s="10"/>
      <c r="AV293" s="10"/>
      <c r="AW293" s="10"/>
      <c r="AX293" s="10"/>
      <c r="AY293" s="10"/>
      <c r="AZ293" s="10"/>
      <c r="BA293" s="10"/>
      <c r="BB293" s="10"/>
      <c r="BC293" s="10"/>
      <c r="BD293" s="10"/>
    </row>
    <row r="294" spans="1:56" ht="29" x14ac:dyDescent="0.35">
      <c r="A294" s="19" t="s">
        <v>81</v>
      </c>
      <c r="B294" s="4"/>
      <c r="C294" s="4" t="s">
        <v>22</v>
      </c>
      <c r="D294" s="4" t="s">
        <v>33</v>
      </c>
      <c r="E294" s="5" t="s">
        <v>34</v>
      </c>
      <c r="F294" s="4" t="s">
        <v>667</v>
      </c>
      <c r="G294" s="4" t="s">
        <v>26</v>
      </c>
      <c r="H294" s="4" t="s">
        <v>1053</v>
      </c>
      <c r="I294" s="12"/>
      <c r="J294" s="12"/>
      <c r="K294" s="12"/>
      <c r="L294" s="12"/>
      <c r="M294" s="67"/>
      <c r="N294" s="12"/>
      <c r="O294" s="12"/>
      <c r="P294" s="12"/>
      <c r="Q294" s="12"/>
      <c r="R294" s="12"/>
      <c r="S294" s="12"/>
      <c r="T294" s="12"/>
      <c r="U294" s="12"/>
      <c r="V294" s="12"/>
      <c r="W294" s="7"/>
      <c r="X294" s="12"/>
      <c r="Y294" s="7">
        <f t="shared" ref="Y294:Y308" si="4">$Y$293</f>
        <v>8</v>
      </c>
      <c r="Z294" s="7"/>
      <c r="AA294" s="7"/>
      <c r="AB294" s="8">
        <f>1/(8*10^-6)</f>
        <v>125000</v>
      </c>
      <c r="AC294" s="8"/>
      <c r="AD294" s="4"/>
      <c r="AE294" s="4"/>
      <c r="AF294" s="4"/>
      <c r="AG294" s="4"/>
      <c r="AH294" s="9"/>
      <c r="AI294" s="9"/>
      <c r="AJ294" s="9"/>
      <c r="AK294" s="9" t="s">
        <v>30</v>
      </c>
      <c r="AL294" s="10"/>
      <c r="AM294" s="10"/>
      <c r="AN294" s="10"/>
      <c r="AO294" s="10"/>
      <c r="AP294" s="10"/>
      <c r="AQ294" s="11">
        <v>13</v>
      </c>
      <c r="AR294" s="4"/>
      <c r="AS294" s="10"/>
      <c r="AT294" s="10"/>
      <c r="AU294" s="10"/>
      <c r="AV294" s="10"/>
      <c r="AW294" s="10"/>
      <c r="AX294" s="10"/>
      <c r="AY294" s="10"/>
      <c r="AZ294" s="10"/>
      <c r="BA294" s="10"/>
      <c r="BB294" s="10"/>
      <c r="BC294" s="10"/>
      <c r="BD294" s="10"/>
    </row>
    <row r="295" spans="1:56" ht="29" x14ac:dyDescent="0.35">
      <c r="A295" s="19" t="s">
        <v>668</v>
      </c>
      <c r="B295" s="4"/>
      <c r="C295" s="4" t="s">
        <v>22</v>
      </c>
      <c r="D295" s="4" t="s">
        <v>33</v>
      </c>
      <c r="E295" s="5" t="s">
        <v>34</v>
      </c>
      <c r="F295" s="4" t="s">
        <v>667</v>
      </c>
      <c r="G295" s="4" t="s">
        <v>26</v>
      </c>
      <c r="H295" s="4" t="s">
        <v>1053</v>
      </c>
      <c r="I295" s="12"/>
      <c r="J295" s="12"/>
      <c r="K295" s="12"/>
      <c r="L295" s="12"/>
      <c r="M295" s="67"/>
      <c r="N295" s="12"/>
      <c r="O295" s="12"/>
      <c r="P295" s="12"/>
      <c r="Q295" s="12"/>
      <c r="R295" s="12"/>
      <c r="S295" s="12"/>
      <c r="T295" s="12"/>
      <c r="U295" s="12"/>
      <c r="V295" s="12"/>
      <c r="W295" s="7"/>
      <c r="X295" s="12"/>
      <c r="Y295" s="7">
        <f t="shared" si="4"/>
        <v>8</v>
      </c>
      <c r="Z295" s="7"/>
      <c r="AA295" s="7"/>
      <c r="AB295" s="8">
        <f>1/(5*10^-7)</f>
        <v>2000000</v>
      </c>
      <c r="AC295" s="8"/>
      <c r="AD295" s="4"/>
      <c r="AE295" s="4"/>
      <c r="AF295" s="4"/>
      <c r="AG295" s="4"/>
      <c r="AH295" s="9"/>
      <c r="AI295" s="9"/>
      <c r="AJ295" s="9"/>
      <c r="AK295" s="9" t="s">
        <v>30</v>
      </c>
      <c r="AL295" s="10"/>
      <c r="AM295" s="10"/>
      <c r="AN295" s="10"/>
      <c r="AO295" s="10"/>
      <c r="AP295" s="10"/>
      <c r="AQ295" s="11">
        <v>13</v>
      </c>
      <c r="AR295" s="4"/>
      <c r="AS295" s="10"/>
      <c r="AT295" s="10"/>
      <c r="AU295" s="10"/>
      <c r="AV295" s="10"/>
      <c r="AW295" s="10"/>
      <c r="AX295" s="10"/>
      <c r="AY295" s="10"/>
      <c r="AZ295" s="10"/>
      <c r="BA295" s="10"/>
      <c r="BB295" s="10"/>
      <c r="BC295" s="10"/>
      <c r="BD295" s="10"/>
    </row>
    <row r="296" spans="1:56" ht="29" x14ac:dyDescent="0.35">
      <c r="A296" s="98" t="s">
        <v>620</v>
      </c>
      <c r="B296" s="325"/>
      <c r="C296" s="4" t="s">
        <v>22</v>
      </c>
      <c r="D296" s="4" t="s">
        <v>33</v>
      </c>
      <c r="E296" s="5" t="s">
        <v>34</v>
      </c>
      <c r="F296" s="4" t="s">
        <v>667</v>
      </c>
      <c r="G296" s="4" t="s">
        <v>26</v>
      </c>
      <c r="H296" s="4" t="s">
        <v>1053</v>
      </c>
      <c r="I296" s="12"/>
      <c r="J296" s="12"/>
      <c r="K296" s="12"/>
      <c r="L296" s="12"/>
      <c r="M296" s="67"/>
      <c r="N296" s="12"/>
      <c r="O296" s="12"/>
      <c r="P296" s="12"/>
      <c r="Q296" s="12"/>
      <c r="R296" s="12"/>
      <c r="S296" s="12"/>
      <c r="T296" s="12"/>
      <c r="U296" s="12"/>
      <c r="V296" s="12"/>
      <c r="W296" s="7"/>
      <c r="X296" s="12"/>
      <c r="Y296" s="7">
        <f t="shared" si="4"/>
        <v>8</v>
      </c>
      <c r="Z296" s="7"/>
      <c r="AA296" s="7"/>
      <c r="AB296" s="8">
        <f>1/(1.7*10^-5)</f>
        <v>58823.529411764706</v>
      </c>
      <c r="AC296" s="8"/>
      <c r="AD296" s="4"/>
      <c r="AE296" s="4"/>
      <c r="AF296" s="4"/>
      <c r="AG296" s="4"/>
      <c r="AH296" s="9"/>
      <c r="AI296" s="9"/>
      <c r="AJ296" s="9"/>
      <c r="AK296" s="9" t="s">
        <v>30</v>
      </c>
      <c r="AL296" s="10"/>
      <c r="AM296" s="10"/>
      <c r="AN296" s="10"/>
      <c r="AO296" s="10"/>
      <c r="AP296" s="10"/>
      <c r="AQ296" s="11">
        <v>13</v>
      </c>
      <c r="AR296" s="4"/>
      <c r="AS296" s="10"/>
      <c r="AT296" s="10"/>
      <c r="AU296" s="10"/>
      <c r="AV296" s="10"/>
      <c r="AW296" s="10"/>
      <c r="AX296" s="10"/>
      <c r="AY296" s="10"/>
      <c r="AZ296" s="10"/>
      <c r="BA296" s="10"/>
      <c r="BB296" s="10"/>
      <c r="BC296" s="10"/>
      <c r="BD296" s="10"/>
    </row>
    <row r="297" spans="1:56" ht="29" x14ac:dyDescent="0.35">
      <c r="A297" s="20" t="s">
        <v>626</v>
      </c>
      <c r="B297" s="23"/>
      <c r="C297" s="4" t="s">
        <v>22</v>
      </c>
      <c r="D297" s="4" t="s">
        <v>33</v>
      </c>
      <c r="E297" s="5" t="s">
        <v>34</v>
      </c>
      <c r="F297" s="4" t="s">
        <v>667</v>
      </c>
      <c r="G297" s="4" t="s">
        <v>26</v>
      </c>
      <c r="H297" s="4" t="s">
        <v>637</v>
      </c>
      <c r="I297" s="12"/>
      <c r="J297" s="12"/>
      <c r="K297" s="12"/>
      <c r="L297" s="12"/>
      <c r="M297" s="67"/>
      <c r="N297" s="12"/>
      <c r="O297" s="12"/>
      <c r="P297" s="12"/>
      <c r="Q297" s="12"/>
      <c r="R297" s="12"/>
      <c r="S297" s="12"/>
      <c r="T297" s="12"/>
      <c r="U297" s="12"/>
      <c r="V297" s="12"/>
      <c r="W297" s="7"/>
      <c r="X297" s="12"/>
      <c r="Y297" s="7">
        <f t="shared" si="4"/>
        <v>8</v>
      </c>
      <c r="Z297" s="7"/>
      <c r="AA297" s="7"/>
      <c r="AB297" s="8">
        <f>1/(1*10^-5)</f>
        <v>99999.999999999985</v>
      </c>
      <c r="AC297" s="8"/>
      <c r="AD297" s="4"/>
      <c r="AE297" s="4"/>
      <c r="AF297" s="4"/>
      <c r="AG297" s="4"/>
      <c r="AH297" s="9"/>
      <c r="AI297" s="9"/>
      <c r="AJ297" s="9"/>
      <c r="AK297" s="9" t="s">
        <v>30</v>
      </c>
      <c r="AL297" s="10"/>
      <c r="AM297" s="10"/>
      <c r="AN297" s="10"/>
      <c r="AO297" s="10"/>
      <c r="AP297" s="10"/>
      <c r="AQ297" s="11">
        <v>13</v>
      </c>
      <c r="AR297" s="4"/>
      <c r="AS297" s="10"/>
      <c r="AT297" s="10"/>
      <c r="AU297" s="10"/>
      <c r="AV297" s="10"/>
      <c r="AW297" s="10"/>
      <c r="AX297" s="10"/>
      <c r="AY297" s="10"/>
      <c r="AZ297" s="10"/>
      <c r="BA297" s="10"/>
      <c r="BB297" s="10"/>
      <c r="BC297" s="10"/>
      <c r="BD297" s="10"/>
    </row>
    <row r="298" spans="1:56" ht="29" x14ac:dyDescent="0.35">
      <c r="A298" s="98" t="s">
        <v>600</v>
      </c>
      <c r="B298" s="325"/>
      <c r="C298" s="4" t="s">
        <v>22</v>
      </c>
      <c r="D298" s="4" t="s">
        <v>33</v>
      </c>
      <c r="E298" s="5" t="s">
        <v>34</v>
      </c>
      <c r="F298" s="4" t="s">
        <v>667</v>
      </c>
      <c r="G298" s="4" t="s">
        <v>26</v>
      </c>
      <c r="H298" s="4" t="s">
        <v>635</v>
      </c>
      <c r="I298" s="12"/>
      <c r="J298" s="12"/>
      <c r="K298" s="12"/>
      <c r="L298" s="12"/>
      <c r="M298" s="67"/>
      <c r="N298" s="12"/>
      <c r="O298" s="12"/>
      <c r="P298" s="12"/>
      <c r="Q298" s="12"/>
      <c r="R298" s="12"/>
      <c r="S298" s="12"/>
      <c r="T298" s="12"/>
      <c r="U298" s="12"/>
      <c r="V298" s="12"/>
      <c r="W298" s="7"/>
      <c r="X298" s="12"/>
      <c r="Y298" s="7">
        <f t="shared" si="4"/>
        <v>8</v>
      </c>
      <c r="Z298" s="7"/>
      <c r="AA298" s="7"/>
      <c r="AB298" s="8">
        <f>1/(1*10^-5)</f>
        <v>99999.999999999985</v>
      </c>
      <c r="AC298" s="8"/>
      <c r="AD298" s="4"/>
      <c r="AE298" s="4"/>
      <c r="AF298" s="4"/>
      <c r="AG298" s="4"/>
      <c r="AH298" s="9"/>
      <c r="AI298" s="9"/>
      <c r="AJ298" s="9"/>
      <c r="AK298" s="9" t="s">
        <v>30</v>
      </c>
      <c r="AL298" s="10"/>
      <c r="AM298" s="10"/>
      <c r="AN298" s="10"/>
      <c r="AO298" s="10"/>
      <c r="AP298" s="10"/>
      <c r="AQ298" s="11">
        <v>13</v>
      </c>
      <c r="AR298" s="4"/>
      <c r="AS298" s="10"/>
      <c r="AT298" s="10"/>
      <c r="AU298" s="10"/>
      <c r="AV298" s="10"/>
      <c r="AW298" s="10"/>
      <c r="AX298" s="10"/>
      <c r="AY298" s="10"/>
      <c r="AZ298" s="10"/>
      <c r="BA298" s="10"/>
      <c r="BB298" s="10"/>
      <c r="BC298" s="10"/>
      <c r="BD298" s="10"/>
    </row>
    <row r="299" spans="1:56" ht="29" x14ac:dyDescent="0.35">
      <c r="A299" s="19" t="s">
        <v>627</v>
      </c>
      <c r="B299" s="4"/>
      <c r="C299" s="4" t="s">
        <v>22</v>
      </c>
      <c r="D299" s="4" t="s">
        <v>33</v>
      </c>
      <c r="E299" s="5" t="s">
        <v>34</v>
      </c>
      <c r="F299" s="4" t="s">
        <v>667</v>
      </c>
      <c r="G299" s="4" t="s">
        <v>26</v>
      </c>
      <c r="H299" s="4" t="s">
        <v>1053</v>
      </c>
      <c r="I299" s="12"/>
      <c r="J299" s="12"/>
      <c r="K299" s="12"/>
      <c r="L299" s="12"/>
      <c r="M299" s="67"/>
      <c r="N299" s="12"/>
      <c r="O299" s="12"/>
      <c r="P299" s="12"/>
      <c r="Q299" s="12"/>
      <c r="R299" s="12"/>
      <c r="S299" s="12"/>
      <c r="T299" s="12"/>
      <c r="U299" s="12"/>
      <c r="V299" s="12"/>
      <c r="W299" s="7"/>
      <c r="X299" s="12"/>
      <c r="Y299" s="7">
        <f t="shared" si="4"/>
        <v>8</v>
      </c>
      <c r="Z299" s="7"/>
      <c r="AA299" s="7"/>
      <c r="AB299" s="8">
        <f>1/(1*10^-5)</f>
        <v>99999.999999999985</v>
      </c>
      <c r="AC299" s="8"/>
      <c r="AD299" s="4"/>
      <c r="AE299" s="4"/>
      <c r="AF299" s="4"/>
      <c r="AG299" s="4"/>
      <c r="AH299" s="9"/>
      <c r="AI299" s="9"/>
      <c r="AJ299" s="9"/>
      <c r="AK299" s="9" t="s">
        <v>30</v>
      </c>
      <c r="AL299" s="10"/>
      <c r="AM299" s="10"/>
      <c r="AN299" s="10"/>
      <c r="AO299" s="10"/>
      <c r="AP299" s="10"/>
      <c r="AQ299" s="11">
        <v>13</v>
      </c>
      <c r="AR299" s="4"/>
      <c r="AS299" s="10"/>
      <c r="AT299" s="10"/>
      <c r="AU299" s="10"/>
      <c r="AV299" s="10"/>
      <c r="AW299" s="10"/>
      <c r="AX299" s="10"/>
      <c r="AY299" s="10"/>
      <c r="AZ299" s="10"/>
      <c r="BA299" s="10"/>
      <c r="BB299" s="10"/>
      <c r="BC299" s="10"/>
      <c r="BD299" s="10"/>
    </row>
    <row r="300" spans="1:56" ht="29" x14ac:dyDescent="0.35">
      <c r="A300" s="98" t="s">
        <v>629</v>
      </c>
      <c r="B300" s="325"/>
      <c r="C300" s="4" t="s">
        <v>22</v>
      </c>
      <c r="D300" s="4" t="s">
        <v>33</v>
      </c>
      <c r="E300" s="5" t="s">
        <v>34</v>
      </c>
      <c r="F300" s="4" t="s">
        <v>667</v>
      </c>
      <c r="G300" s="4" t="s">
        <v>26</v>
      </c>
      <c r="H300" s="4" t="s">
        <v>637</v>
      </c>
      <c r="I300" s="12"/>
      <c r="J300" s="12"/>
      <c r="K300" s="12"/>
      <c r="L300" s="12"/>
      <c r="M300" s="67"/>
      <c r="N300" s="12"/>
      <c r="O300" s="12"/>
      <c r="P300" s="12"/>
      <c r="Q300" s="12"/>
      <c r="R300" s="12"/>
      <c r="S300" s="12"/>
      <c r="T300" s="12"/>
      <c r="U300" s="12"/>
      <c r="V300" s="12"/>
      <c r="W300" s="7"/>
      <c r="X300" s="12"/>
      <c r="Y300" s="7">
        <f t="shared" si="4"/>
        <v>8</v>
      </c>
      <c r="Z300" s="7"/>
      <c r="AA300" s="7"/>
      <c r="AB300" s="8">
        <f>1/(1*10^-5)</f>
        <v>99999.999999999985</v>
      </c>
      <c r="AC300" s="8"/>
      <c r="AD300" s="4"/>
      <c r="AE300" s="4"/>
      <c r="AF300" s="4"/>
      <c r="AG300" s="4"/>
      <c r="AH300" s="9"/>
      <c r="AI300" s="9"/>
      <c r="AJ300" s="9"/>
      <c r="AK300" s="9" t="s">
        <v>30</v>
      </c>
      <c r="AL300" s="10"/>
      <c r="AM300" s="10"/>
      <c r="AN300" s="10"/>
      <c r="AO300" s="10"/>
      <c r="AP300" s="10"/>
      <c r="AQ300" s="11">
        <v>13</v>
      </c>
      <c r="AR300" s="4"/>
      <c r="AS300" s="10"/>
      <c r="AT300" s="10"/>
      <c r="AU300" s="10"/>
      <c r="AV300" s="10"/>
      <c r="AW300" s="10"/>
      <c r="AX300" s="10"/>
      <c r="AY300" s="10"/>
      <c r="AZ300" s="10"/>
      <c r="BA300" s="10"/>
      <c r="BB300" s="10"/>
      <c r="BC300" s="10"/>
      <c r="BD300" s="10"/>
    </row>
    <row r="301" spans="1:56" ht="29" x14ac:dyDescent="0.35">
      <c r="A301" s="19" t="s">
        <v>669</v>
      </c>
      <c r="B301" s="4"/>
      <c r="C301" s="4" t="s">
        <v>22</v>
      </c>
      <c r="D301" s="4" t="s">
        <v>33</v>
      </c>
      <c r="E301" s="5" t="s">
        <v>34</v>
      </c>
      <c r="F301" s="4" t="s">
        <v>667</v>
      </c>
      <c r="G301" s="4" t="s">
        <v>26</v>
      </c>
      <c r="H301" s="4" t="s">
        <v>637</v>
      </c>
      <c r="I301" s="12"/>
      <c r="J301" s="12"/>
      <c r="K301" s="12"/>
      <c r="L301" s="12"/>
      <c r="M301" s="67"/>
      <c r="N301" s="12"/>
      <c r="O301" s="12"/>
      <c r="P301" s="12"/>
      <c r="Q301" s="12"/>
      <c r="R301" s="12"/>
      <c r="S301" s="12"/>
      <c r="T301" s="12"/>
      <c r="U301" s="12"/>
      <c r="V301" s="12"/>
      <c r="W301" s="7"/>
      <c r="X301" s="12"/>
      <c r="Y301" s="7">
        <f t="shared" si="4"/>
        <v>8</v>
      </c>
      <c r="Z301" s="7"/>
      <c r="AA301" s="7"/>
      <c r="AB301" s="8">
        <f>1/(5*10^-7)</f>
        <v>2000000</v>
      </c>
      <c r="AC301" s="8"/>
      <c r="AD301" s="4"/>
      <c r="AE301" s="4"/>
      <c r="AF301" s="4"/>
      <c r="AG301" s="4"/>
      <c r="AH301" s="9"/>
      <c r="AI301" s="9"/>
      <c r="AJ301" s="9"/>
      <c r="AK301" s="9" t="s">
        <v>30</v>
      </c>
      <c r="AL301" s="10"/>
      <c r="AM301" s="10"/>
      <c r="AN301" s="10"/>
      <c r="AO301" s="10"/>
      <c r="AP301" s="10"/>
      <c r="AQ301" s="11">
        <v>13</v>
      </c>
      <c r="AR301" s="4"/>
      <c r="AS301" s="10"/>
      <c r="AT301" s="10"/>
      <c r="AU301" s="10"/>
      <c r="AV301" s="10"/>
      <c r="AW301" s="10"/>
      <c r="AX301" s="10"/>
      <c r="AY301" s="10"/>
      <c r="AZ301" s="10"/>
      <c r="BA301" s="10"/>
      <c r="BB301" s="10"/>
      <c r="BC301" s="10"/>
      <c r="BD301" s="10"/>
    </row>
    <row r="302" spans="1:56" ht="29" x14ac:dyDescent="0.35">
      <c r="A302" s="98" t="s">
        <v>603</v>
      </c>
      <c r="B302" s="325"/>
      <c r="C302" s="4" t="s">
        <v>22</v>
      </c>
      <c r="D302" s="4" t="s">
        <v>33</v>
      </c>
      <c r="E302" s="5" t="s">
        <v>34</v>
      </c>
      <c r="F302" s="4" t="s">
        <v>667</v>
      </c>
      <c r="G302" s="4" t="s">
        <v>26</v>
      </c>
      <c r="H302" s="4" t="s">
        <v>1053</v>
      </c>
      <c r="I302" s="12"/>
      <c r="J302" s="12"/>
      <c r="K302" s="12"/>
      <c r="L302" s="12"/>
      <c r="M302" s="67"/>
      <c r="N302" s="12"/>
      <c r="O302" s="12"/>
      <c r="P302" s="12"/>
      <c r="Q302" s="12"/>
      <c r="R302" s="12"/>
      <c r="S302" s="12"/>
      <c r="T302" s="12"/>
      <c r="U302" s="12"/>
      <c r="V302" s="12"/>
      <c r="W302" s="7"/>
      <c r="X302" s="12"/>
      <c r="Y302" s="7">
        <f t="shared" si="4"/>
        <v>8</v>
      </c>
      <c r="Z302" s="7"/>
      <c r="AA302" s="7"/>
      <c r="AB302" s="8">
        <f>1/(1*10^-5)</f>
        <v>99999.999999999985</v>
      </c>
      <c r="AC302" s="8"/>
      <c r="AD302" s="4"/>
      <c r="AE302" s="4"/>
      <c r="AF302" s="4"/>
      <c r="AG302" s="4"/>
      <c r="AH302" s="9"/>
      <c r="AI302" s="9"/>
      <c r="AJ302" s="9"/>
      <c r="AK302" s="9" t="s">
        <v>30</v>
      </c>
      <c r="AL302" s="10"/>
      <c r="AM302" s="10"/>
      <c r="AN302" s="10"/>
      <c r="AO302" s="10"/>
      <c r="AP302" s="10"/>
      <c r="AQ302" s="11">
        <v>13</v>
      </c>
      <c r="AR302" s="4"/>
      <c r="AS302" s="10"/>
      <c r="AT302" s="10"/>
      <c r="AU302" s="10"/>
      <c r="AV302" s="10"/>
      <c r="AW302" s="10"/>
      <c r="AX302" s="10"/>
      <c r="AY302" s="10"/>
      <c r="AZ302" s="10"/>
      <c r="BA302" s="10"/>
      <c r="BB302" s="10"/>
      <c r="BC302" s="10"/>
      <c r="BD302" s="10"/>
    </row>
    <row r="303" spans="1:56" ht="29" x14ac:dyDescent="0.35">
      <c r="A303" s="19" t="s">
        <v>586</v>
      </c>
      <c r="B303" s="4"/>
      <c r="C303" s="4" t="s">
        <v>22</v>
      </c>
      <c r="D303" s="4" t="s">
        <v>33</v>
      </c>
      <c r="E303" s="5" t="s">
        <v>34</v>
      </c>
      <c r="F303" s="4" t="s">
        <v>667</v>
      </c>
      <c r="G303" s="4" t="s">
        <v>26</v>
      </c>
      <c r="H303" s="4" t="s">
        <v>639</v>
      </c>
      <c r="I303" s="12"/>
      <c r="J303" s="12"/>
      <c r="K303" s="12"/>
      <c r="L303" s="12"/>
      <c r="M303" s="67"/>
      <c r="N303" s="12"/>
      <c r="O303" s="12"/>
      <c r="P303" s="12"/>
      <c r="Q303" s="12"/>
      <c r="R303" s="12"/>
      <c r="S303" s="12"/>
      <c r="T303" s="12"/>
      <c r="U303" s="12"/>
      <c r="V303" s="12"/>
      <c r="W303" s="7"/>
      <c r="X303" s="12"/>
      <c r="Y303" s="7">
        <f t="shared" si="4"/>
        <v>8</v>
      </c>
      <c r="Z303" s="7"/>
      <c r="AA303" s="7"/>
      <c r="AB303" s="8">
        <f>1/(1*10^-5)</f>
        <v>99999.999999999985</v>
      </c>
      <c r="AC303" s="8"/>
      <c r="AD303" s="4"/>
      <c r="AE303" s="4"/>
      <c r="AF303" s="4"/>
      <c r="AG303" s="4"/>
      <c r="AH303" s="9"/>
      <c r="AI303" s="9"/>
      <c r="AJ303" s="9"/>
      <c r="AK303" s="9" t="s">
        <v>30</v>
      </c>
      <c r="AL303" s="10"/>
      <c r="AM303" s="10"/>
      <c r="AN303" s="10"/>
      <c r="AO303" s="10"/>
      <c r="AP303" s="10"/>
      <c r="AQ303" s="11">
        <v>13</v>
      </c>
      <c r="AR303" s="4"/>
      <c r="AS303" s="10"/>
      <c r="AT303" s="10"/>
      <c r="AU303" s="10"/>
      <c r="AV303" s="10"/>
      <c r="AW303" s="10"/>
      <c r="AX303" s="10"/>
      <c r="AY303" s="10"/>
      <c r="AZ303" s="10"/>
      <c r="BA303" s="10"/>
      <c r="BB303" s="10"/>
      <c r="BC303" s="10"/>
      <c r="BD303" s="10"/>
    </row>
    <row r="304" spans="1:56" ht="29" x14ac:dyDescent="0.35">
      <c r="A304" s="98" t="s">
        <v>587</v>
      </c>
      <c r="B304" s="325"/>
      <c r="C304" s="4" t="s">
        <v>22</v>
      </c>
      <c r="D304" s="4" t="s">
        <v>33</v>
      </c>
      <c r="E304" s="5" t="s">
        <v>34</v>
      </c>
      <c r="F304" s="4" t="s">
        <v>667</v>
      </c>
      <c r="G304" s="4" t="s">
        <v>26</v>
      </c>
      <c r="H304" s="4" t="s">
        <v>1053</v>
      </c>
      <c r="I304" s="12"/>
      <c r="J304" s="12"/>
      <c r="K304" s="12"/>
      <c r="L304" s="12"/>
      <c r="M304" s="67"/>
      <c r="N304" s="12"/>
      <c r="O304" s="12"/>
      <c r="P304" s="12"/>
      <c r="Q304" s="12"/>
      <c r="R304" s="12"/>
      <c r="S304" s="12"/>
      <c r="T304" s="12"/>
      <c r="U304" s="12"/>
      <c r="V304" s="12"/>
      <c r="W304" s="7"/>
      <c r="X304" s="12"/>
      <c r="Y304" s="7">
        <f t="shared" si="4"/>
        <v>8</v>
      </c>
      <c r="Z304" s="7"/>
      <c r="AA304" s="7"/>
      <c r="AB304" s="8">
        <f>1/(1.5*10^-5)</f>
        <v>66666.666666666657</v>
      </c>
      <c r="AC304" s="8"/>
      <c r="AD304" s="4"/>
      <c r="AE304" s="4"/>
      <c r="AF304" s="4"/>
      <c r="AG304" s="4"/>
      <c r="AH304" s="9"/>
      <c r="AI304" s="9"/>
      <c r="AJ304" s="9"/>
      <c r="AK304" s="9" t="s">
        <v>30</v>
      </c>
      <c r="AL304" s="10"/>
      <c r="AM304" s="10"/>
      <c r="AN304" s="10"/>
      <c r="AO304" s="10"/>
      <c r="AP304" s="10"/>
      <c r="AQ304" s="11">
        <v>13</v>
      </c>
      <c r="AR304" s="4"/>
      <c r="AS304" s="10"/>
      <c r="AT304" s="10"/>
      <c r="AU304" s="10"/>
      <c r="AV304" s="10"/>
      <c r="AW304" s="10"/>
      <c r="AX304" s="10"/>
      <c r="AY304" s="10"/>
      <c r="AZ304" s="10"/>
      <c r="BA304" s="10"/>
      <c r="BB304" s="10"/>
      <c r="BC304" s="10"/>
      <c r="BD304" s="10"/>
    </row>
    <row r="305" spans="1:56" ht="29" x14ac:dyDescent="0.35">
      <c r="A305" s="20" t="s">
        <v>670</v>
      </c>
      <c r="B305" s="23"/>
      <c r="C305" s="4" t="s">
        <v>22</v>
      </c>
      <c r="D305" s="4" t="s">
        <v>33</v>
      </c>
      <c r="E305" s="5" t="s">
        <v>34</v>
      </c>
      <c r="F305" s="4" t="s">
        <v>667</v>
      </c>
      <c r="G305" s="4" t="s">
        <v>26</v>
      </c>
      <c r="H305" s="65" t="s">
        <v>1058</v>
      </c>
      <c r="I305" s="12">
        <v>5.5</v>
      </c>
      <c r="J305" s="12">
        <v>5.5</v>
      </c>
      <c r="K305" s="12"/>
      <c r="L305" s="12">
        <v>1.0937499999999999E-2</v>
      </c>
      <c r="M305" s="67">
        <v>0.01</v>
      </c>
      <c r="N305" s="12"/>
      <c r="O305" s="12"/>
      <c r="P305" s="12"/>
      <c r="Q305" s="12"/>
      <c r="R305" s="12"/>
      <c r="S305" s="12"/>
      <c r="T305" s="12"/>
      <c r="U305" s="12"/>
      <c r="V305" s="12"/>
      <c r="W305" s="7"/>
      <c r="X305" s="12"/>
      <c r="Y305" s="7">
        <f t="shared" si="4"/>
        <v>8</v>
      </c>
      <c r="Z305" s="7"/>
      <c r="AA305" s="7"/>
      <c r="AB305" s="8">
        <f>1/(2*10^-5)</f>
        <v>49999.999999999993</v>
      </c>
      <c r="AC305" s="8"/>
      <c r="AD305" s="4"/>
      <c r="AE305" s="4"/>
      <c r="AF305" s="4"/>
      <c r="AG305" s="4"/>
      <c r="AH305" s="9"/>
      <c r="AI305" s="9"/>
      <c r="AJ305" s="9"/>
      <c r="AK305" s="9" t="s">
        <v>30</v>
      </c>
      <c r="AL305" s="10"/>
      <c r="AM305" s="10"/>
      <c r="AN305" s="10"/>
      <c r="AO305" s="10"/>
      <c r="AP305" s="10"/>
      <c r="AQ305" s="11" t="s">
        <v>671</v>
      </c>
      <c r="AR305" s="4"/>
      <c r="AS305" s="10"/>
      <c r="AT305" s="10"/>
      <c r="AU305" s="10"/>
      <c r="AV305" s="10"/>
      <c r="AW305" s="10"/>
      <c r="AX305" s="10"/>
      <c r="AY305" s="10"/>
      <c r="AZ305" s="10"/>
      <c r="BA305" s="10"/>
      <c r="BB305" s="10"/>
      <c r="BC305" s="10"/>
      <c r="BD305" s="10"/>
    </row>
    <row r="306" spans="1:56" ht="29" x14ac:dyDescent="0.35">
      <c r="A306" s="19" t="s">
        <v>590</v>
      </c>
      <c r="B306" s="4"/>
      <c r="C306" s="4" t="s">
        <v>22</v>
      </c>
      <c r="D306" s="4" t="s">
        <v>33</v>
      </c>
      <c r="E306" s="5" t="s">
        <v>34</v>
      </c>
      <c r="F306" s="4" t="s">
        <v>667</v>
      </c>
      <c r="G306" s="4" t="s">
        <v>26</v>
      </c>
      <c r="H306" s="4" t="s">
        <v>651</v>
      </c>
      <c r="I306" s="12"/>
      <c r="J306" s="12"/>
      <c r="K306" s="12"/>
      <c r="L306" s="12"/>
      <c r="M306" s="67"/>
      <c r="N306" s="12"/>
      <c r="O306" s="12"/>
      <c r="P306" s="12"/>
      <c r="Q306" s="12"/>
      <c r="R306" s="12"/>
      <c r="S306" s="12"/>
      <c r="T306" s="12"/>
      <c r="U306" s="12"/>
      <c r="V306" s="12"/>
      <c r="W306" s="7"/>
      <c r="X306" s="12"/>
      <c r="Y306" s="7">
        <f t="shared" si="4"/>
        <v>8</v>
      </c>
      <c r="Z306" s="7"/>
      <c r="AA306" s="7"/>
      <c r="AB306" s="8">
        <f>1/(1*10^-5)</f>
        <v>99999.999999999985</v>
      </c>
      <c r="AC306" s="8"/>
      <c r="AD306" s="4"/>
      <c r="AE306" s="4"/>
      <c r="AF306" s="4"/>
      <c r="AG306" s="4"/>
      <c r="AH306" s="9"/>
      <c r="AI306" s="9"/>
      <c r="AJ306" s="9"/>
      <c r="AK306" s="9" t="s">
        <v>30</v>
      </c>
      <c r="AL306" s="10"/>
      <c r="AM306" s="10"/>
      <c r="AN306" s="10"/>
      <c r="AO306" s="10"/>
      <c r="AP306" s="10"/>
      <c r="AQ306" s="11">
        <v>13</v>
      </c>
      <c r="AR306" s="4"/>
      <c r="AS306" s="10"/>
      <c r="AT306" s="10"/>
      <c r="AU306" s="10"/>
      <c r="AV306" s="10"/>
      <c r="AW306" s="10"/>
      <c r="AX306" s="10"/>
      <c r="AY306" s="10"/>
      <c r="AZ306" s="10"/>
      <c r="BA306" s="10"/>
      <c r="BB306" s="10"/>
      <c r="BC306" s="10"/>
      <c r="BD306" s="10"/>
    </row>
    <row r="307" spans="1:56" ht="29" x14ac:dyDescent="0.35">
      <c r="A307" s="20" t="s">
        <v>618</v>
      </c>
      <c r="B307" s="23"/>
      <c r="C307" s="4" t="s">
        <v>22</v>
      </c>
      <c r="D307" s="4" t="s">
        <v>33</v>
      </c>
      <c r="E307" s="5" t="s">
        <v>34</v>
      </c>
      <c r="F307" s="4" t="s">
        <v>667</v>
      </c>
      <c r="G307" s="4" t="s">
        <v>26</v>
      </c>
      <c r="H307" s="4" t="s">
        <v>639</v>
      </c>
      <c r="I307" s="12"/>
      <c r="J307" s="12"/>
      <c r="K307" s="12"/>
      <c r="L307" s="12"/>
      <c r="M307" s="67"/>
      <c r="N307" s="12"/>
      <c r="O307" s="12"/>
      <c r="P307" s="12"/>
      <c r="Q307" s="12"/>
      <c r="R307" s="12"/>
      <c r="S307" s="12"/>
      <c r="T307" s="12"/>
      <c r="U307" s="12"/>
      <c r="V307" s="12"/>
      <c r="W307" s="7"/>
      <c r="X307" s="12"/>
      <c r="Y307" s="7">
        <f t="shared" si="4"/>
        <v>8</v>
      </c>
      <c r="Z307" s="7"/>
      <c r="AA307" s="7"/>
      <c r="AB307" s="8">
        <f>1/(1*10^-5)</f>
        <v>99999.999999999985</v>
      </c>
      <c r="AC307" s="8"/>
      <c r="AD307" s="4"/>
      <c r="AE307" s="4"/>
      <c r="AF307" s="4"/>
      <c r="AG307" s="4"/>
      <c r="AH307" s="9"/>
      <c r="AI307" s="9"/>
      <c r="AJ307" s="9"/>
      <c r="AK307" s="9" t="s">
        <v>30</v>
      </c>
      <c r="AL307" s="10"/>
      <c r="AM307" s="10"/>
      <c r="AN307" s="10"/>
      <c r="AO307" s="10"/>
      <c r="AP307" s="10"/>
      <c r="AQ307" s="11">
        <v>13</v>
      </c>
      <c r="AR307" s="4"/>
      <c r="AS307" s="10"/>
      <c r="AT307" s="10"/>
      <c r="AU307" s="10"/>
      <c r="AV307" s="10"/>
      <c r="AW307" s="10"/>
      <c r="AX307" s="10"/>
      <c r="AY307" s="10"/>
      <c r="AZ307" s="10"/>
      <c r="BA307" s="10"/>
      <c r="BB307" s="10"/>
      <c r="BC307" s="10"/>
      <c r="BD307" s="10"/>
    </row>
    <row r="308" spans="1:56" ht="29" x14ac:dyDescent="0.35">
      <c r="A308" s="4" t="s">
        <v>631</v>
      </c>
      <c r="B308" s="4"/>
      <c r="C308" s="4" t="s">
        <v>22</v>
      </c>
      <c r="D308" s="4" t="s">
        <v>33</v>
      </c>
      <c r="E308" s="5" t="s">
        <v>34</v>
      </c>
      <c r="F308" s="4" t="s">
        <v>667</v>
      </c>
      <c r="G308" s="4" t="s">
        <v>26</v>
      </c>
      <c r="H308" s="4" t="s">
        <v>637</v>
      </c>
      <c r="I308" s="12"/>
      <c r="J308" s="12"/>
      <c r="K308" s="12"/>
      <c r="L308" s="12"/>
      <c r="M308" s="67"/>
      <c r="N308" s="12"/>
      <c r="O308" s="12"/>
      <c r="P308" s="12"/>
      <c r="Q308" s="12"/>
      <c r="R308" s="12"/>
      <c r="S308" s="12"/>
      <c r="T308" s="12"/>
      <c r="U308" s="12"/>
      <c r="V308" s="12"/>
      <c r="W308" s="7"/>
      <c r="X308" s="12"/>
      <c r="Y308" s="7">
        <f t="shared" si="4"/>
        <v>8</v>
      </c>
      <c r="Z308" s="7"/>
      <c r="AA308" s="7"/>
      <c r="AB308" s="8">
        <f>1/(5.99*10^-6)</f>
        <v>166944.9081803005</v>
      </c>
      <c r="AC308" s="8"/>
      <c r="AD308" s="4"/>
      <c r="AE308" s="4"/>
      <c r="AF308" s="4"/>
      <c r="AG308" s="4"/>
      <c r="AH308" s="9"/>
      <c r="AI308" s="9"/>
      <c r="AJ308" s="9"/>
      <c r="AK308" s="9" t="s">
        <v>30</v>
      </c>
      <c r="AL308" s="10"/>
      <c r="AM308" s="10"/>
      <c r="AN308" s="10"/>
      <c r="AO308" s="10"/>
      <c r="AP308" s="10"/>
      <c r="AQ308" s="11">
        <v>13</v>
      </c>
      <c r="AR308" s="4"/>
      <c r="AS308" s="10"/>
      <c r="AT308" s="10"/>
      <c r="AU308" s="10"/>
      <c r="AV308" s="10"/>
      <c r="AW308" s="10"/>
      <c r="AX308" s="10"/>
      <c r="AY308" s="10"/>
      <c r="AZ308" s="10"/>
      <c r="BA308" s="10"/>
      <c r="BB308" s="10"/>
      <c r="BC308" s="10"/>
      <c r="BD308" s="10"/>
    </row>
    <row r="309" spans="1:56" ht="29" x14ac:dyDescent="0.35">
      <c r="A309" s="4" t="s">
        <v>593</v>
      </c>
      <c r="B309" s="4"/>
      <c r="C309" s="4" t="s">
        <v>22</v>
      </c>
      <c r="D309" s="4" t="s">
        <v>33</v>
      </c>
      <c r="E309" s="5" t="s">
        <v>34</v>
      </c>
      <c r="F309" s="4" t="s">
        <v>672</v>
      </c>
      <c r="G309" s="4" t="s">
        <v>26</v>
      </c>
      <c r="H309" s="4" t="s">
        <v>1053</v>
      </c>
      <c r="I309" s="12"/>
      <c r="J309" s="12"/>
      <c r="K309" s="12"/>
      <c r="L309" s="12"/>
      <c r="M309" s="67"/>
      <c r="N309" s="12"/>
      <c r="O309" s="12"/>
      <c r="P309" s="12"/>
      <c r="Q309" s="12"/>
      <c r="R309" s="12"/>
      <c r="S309" s="12"/>
      <c r="T309" s="12"/>
      <c r="U309" s="12"/>
      <c r="V309" s="12"/>
      <c r="W309" s="7"/>
      <c r="X309" s="12"/>
      <c r="Y309" s="7">
        <v>6</v>
      </c>
      <c r="Z309" s="7"/>
      <c r="AA309" s="7"/>
      <c r="AB309" s="8">
        <f>1/(5*10^-7)</f>
        <v>2000000</v>
      </c>
      <c r="AC309" s="8"/>
      <c r="AD309" s="4"/>
      <c r="AE309" s="4"/>
      <c r="AF309" s="4"/>
      <c r="AG309" s="4"/>
      <c r="AH309" s="9"/>
      <c r="AI309" s="9"/>
      <c r="AJ309" s="9"/>
      <c r="AK309" s="9" t="s">
        <v>30</v>
      </c>
      <c r="AL309" s="10"/>
      <c r="AM309" s="10"/>
      <c r="AN309" s="10"/>
      <c r="AO309" s="10"/>
      <c r="AP309" s="10"/>
      <c r="AQ309" s="11">
        <v>13</v>
      </c>
      <c r="AR309" s="4"/>
      <c r="AS309" s="10"/>
      <c r="AT309" s="10"/>
      <c r="AU309" s="10"/>
      <c r="AV309" s="10"/>
      <c r="AW309" s="10"/>
      <c r="AX309" s="10"/>
      <c r="AY309" s="10"/>
      <c r="AZ309" s="10"/>
      <c r="BA309" s="10"/>
      <c r="BB309" s="10"/>
      <c r="BC309" s="10"/>
      <c r="BD309" s="10"/>
    </row>
    <row r="310" spans="1:56" ht="29" x14ac:dyDescent="0.35">
      <c r="A310" s="4" t="s">
        <v>673</v>
      </c>
      <c r="B310" s="4"/>
      <c r="C310" s="4" t="s">
        <v>22</v>
      </c>
      <c r="D310" s="4" t="s">
        <v>33</v>
      </c>
      <c r="E310" s="5" t="s">
        <v>34</v>
      </c>
      <c r="F310" s="4" t="s">
        <v>672</v>
      </c>
      <c r="G310" s="4" t="s">
        <v>26</v>
      </c>
      <c r="H310" s="4" t="s">
        <v>637</v>
      </c>
      <c r="I310" s="12"/>
      <c r="J310" s="12"/>
      <c r="K310" s="12"/>
      <c r="L310" s="12"/>
      <c r="M310" s="67"/>
      <c r="N310" s="12"/>
      <c r="O310" s="12"/>
      <c r="P310" s="12"/>
      <c r="Q310" s="12"/>
      <c r="R310" s="12"/>
      <c r="S310" s="12"/>
      <c r="T310" s="12"/>
      <c r="U310" s="12"/>
      <c r="V310" s="12"/>
      <c r="W310" s="7"/>
      <c r="X310" s="12"/>
      <c r="Y310" s="7">
        <f t="shared" ref="Y310:Y325" si="5">$Y$309</f>
        <v>6</v>
      </c>
      <c r="Z310" s="7"/>
      <c r="AA310" s="7"/>
      <c r="AB310" s="8">
        <f>1/(2.5*10^-5)</f>
        <v>40000</v>
      </c>
      <c r="AC310" s="8"/>
      <c r="AD310" s="4"/>
      <c r="AE310" s="4"/>
      <c r="AF310" s="4"/>
      <c r="AG310" s="4"/>
      <c r="AH310" s="9"/>
      <c r="AI310" s="9"/>
      <c r="AJ310" s="9"/>
      <c r="AK310" s="9" t="s">
        <v>30</v>
      </c>
      <c r="AL310" s="10"/>
      <c r="AM310" s="10"/>
      <c r="AN310" s="10"/>
      <c r="AO310" s="10"/>
      <c r="AP310" s="10"/>
      <c r="AQ310" s="11">
        <v>13</v>
      </c>
      <c r="AR310" s="4"/>
      <c r="AS310" s="10"/>
      <c r="AT310" s="10"/>
      <c r="AU310" s="10"/>
      <c r="AV310" s="10"/>
      <c r="AW310" s="10"/>
      <c r="AX310" s="10"/>
      <c r="AY310" s="10"/>
      <c r="AZ310" s="10"/>
      <c r="BA310" s="10"/>
      <c r="BB310" s="10"/>
      <c r="BC310" s="10"/>
      <c r="BD310" s="10"/>
    </row>
    <row r="311" spans="1:56" ht="29" x14ac:dyDescent="0.35">
      <c r="A311" s="4" t="s">
        <v>596</v>
      </c>
      <c r="B311" s="4"/>
      <c r="C311" s="4" t="s">
        <v>22</v>
      </c>
      <c r="D311" s="4" t="s">
        <v>33</v>
      </c>
      <c r="E311" s="5" t="s">
        <v>34</v>
      </c>
      <c r="F311" s="4" t="s">
        <v>672</v>
      </c>
      <c r="G311" s="4" t="s">
        <v>26</v>
      </c>
      <c r="H311" s="4" t="s">
        <v>637</v>
      </c>
      <c r="I311" s="12"/>
      <c r="J311" s="12"/>
      <c r="K311" s="12"/>
      <c r="L311" s="12"/>
      <c r="M311" s="67"/>
      <c r="N311" s="12"/>
      <c r="O311" s="12"/>
      <c r="P311" s="12"/>
      <c r="Q311" s="12"/>
      <c r="R311" s="12"/>
      <c r="S311" s="12"/>
      <c r="T311" s="12"/>
      <c r="U311" s="12"/>
      <c r="V311" s="12"/>
      <c r="W311" s="7"/>
      <c r="X311" s="12"/>
      <c r="Y311" s="7">
        <f t="shared" si="5"/>
        <v>6</v>
      </c>
      <c r="Z311" s="7"/>
      <c r="AA311" s="7"/>
      <c r="AB311" s="8">
        <f>1/(1*10^-5)</f>
        <v>99999.999999999985</v>
      </c>
      <c r="AC311" s="8"/>
      <c r="AD311" s="4"/>
      <c r="AE311" s="4"/>
      <c r="AF311" s="4"/>
      <c r="AG311" s="4"/>
      <c r="AH311" s="9"/>
      <c r="AI311" s="9"/>
      <c r="AJ311" s="9"/>
      <c r="AK311" s="9" t="s">
        <v>30</v>
      </c>
      <c r="AL311" s="10"/>
      <c r="AM311" s="10"/>
      <c r="AN311" s="10"/>
      <c r="AO311" s="10"/>
      <c r="AP311" s="10"/>
      <c r="AQ311" s="11">
        <v>13</v>
      </c>
      <c r="AR311" s="4"/>
      <c r="AS311" s="10"/>
      <c r="AT311" s="10"/>
      <c r="AU311" s="10"/>
      <c r="AV311" s="10"/>
      <c r="AW311" s="10"/>
      <c r="AX311" s="10"/>
      <c r="AY311" s="10"/>
      <c r="AZ311" s="10"/>
      <c r="BA311" s="10"/>
      <c r="BB311" s="10"/>
      <c r="BC311" s="10"/>
      <c r="BD311" s="10"/>
    </row>
    <row r="312" spans="1:56" ht="29" x14ac:dyDescent="0.35">
      <c r="A312" s="4" t="s">
        <v>624</v>
      </c>
      <c r="B312" s="4"/>
      <c r="C312" s="4" t="s">
        <v>22</v>
      </c>
      <c r="D312" s="4" t="s">
        <v>33</v>
      </c>
      <c r="E312" s="5" t="s">
        <v>34</v>
      </c>
      <c r="F312" s="4" t="s">
        <v>672</v>
      </c>
      <c r="G312" s="4" t="s">
        <v>26</v>
      </c>
      <c r="H312" s="4" t="s">
        <v>1053</v>
      </c>
      <c r="I312" s="12"/>
      <c r="J312" s="12"/>
      <c r="K312" s="12"/>
      <c r="L312" s="12"/>
      <c r="M312" s="67"/>
      <c r="N312" s="12"/>
      <c r="O312" s="12"/>
      <c r="P312" s="12"/>
      <c r="Q312" s="12"/>
      <c r="R312" s="12"/>
      <c r="S312" s="12"/>
      <c r="T312" s="12"/>
      <c r="U312" s="12"/>
      <c r="V312" s="12"/>
      <c r="W312" s="7"/>
      <c r="X312" s="12"/>
      <c r="Y312" s="7">
        <f t="shared" si="5"/>
        <v>6</v>
      </c>
      <c r="Z312" s="7"/>
      <c r="AA312" s="7"/>
      <c r="AB312" s="8">
        <f>1/(1.5*10^-5)</f>
        <v>66666.666666666657</v>
      </c>
      <c r="AC312" s="8"/>
      <c r="AD312" s="4"/>
      <c r="AE312" s="4"/>
      <c r="AF312" s="4"/>
      <c r="AG312" s="4"/>
      <c r="AH312" s="9"/>
      <c r="AI312" s="9"/>
      <c r="AJ312" s="9"/>
      <c r="AK312" s="9" t="s">
        <v>30</v>
      </c>
      <c r="AL312" s="10"/>
      <c r="AM312" s="10"/>
      <c r="AN312" s="10"/>
      <c r="AO312" s="10"/>
      <c r="AP312" s="10"/>
      <c r="AQ312" s="11">
        <v>13</v>
      </c>
      <c r="AR312" s="4"/>
      <c r="AS312" s="10"/>
      <c r="AT312" s="10"/>
      <c r="AU312" s="10"/>
      <c r="AV312" s="10"/>
      <c r="AW312" s="10"/>
      <c r="AX312" s="10"/>
      <c r="AY312" s="10"/>
      <c r="AZ312" s="10"/>
      <c r="BA312" s="10"/>
      <c r="BB312" s="10"/>
      <c r="BC312" s="10"/>
      <c r="BD312" s="10"/>
    </row>
    <row r="313" spans="1:56" ht="29" x14ac:dyDescent="0.35">
      <c r="A313" s="4" t="s">
        <v>620</v>
      </c>
      <c r="B313" s="4"/>
      <c r="C313" s="4" t="s">
        <v>22</v>
      </c>
      <c r="D313" s="4" t="s">
        <v>33</v>
      </c>
      <c r="E313" s="5" t="s">
        <v>34</v>
      </c>
      <c r="F313" s="4" t="s">
        <v>672</v>
      </c>
      <c r="G313" s="4" t="s">
        <v>26</v>
      </c>
      <c r="H313" s="4" t="s">
        <v>1053</v>
      </c>
      <c r="I313" s="12"/>
      <c r="J313" s="12"/>
      <c r="K313" s="12"/>
      <c r="L313" s="12"/>
      <c r="M313" s="67"/>
      <c r="N313" s="12"/>
      <c r="O313" s="12"/>
      <c r="P313" s="12"/>
      <c r="Q313" s="12"/>
      <c r="R313" s="12"/>
      <c r="S313" s="12"/>
      <c r="T313" s="12"/>
      <c r="U313" s="12"/>
      <c r="V313" s="12"/>
      <c r="W313" s="7"/>
      <c r="X313" s="12"/>
      <c r="Y313" s="7">
        <f t="shared" si="5"/>
        <v>6</v>
      </c>
      <c r="Z313" s="7"/>
      <c r="AA313" s="7"/>
      <c r="AB313" s="8">
        <f>1/(1.7*10^-5)</f>
        <v>58823.529411764706</v>
      </c>
      <c r="AC313" s="8"/>
      <c r="AD313" s="4"/>
      <c r="AE313" s="4"/>
      <c r="AF313" s="4"/>
      <c r="AG313" s="4"/>
      <c r="AH313" s="9"/>
      <c r="AI313" s="9"/>
      <c r="AJ313" s="9"/>
      <c r="AK313" s="9" t="s">
        <v>30</v>
      </c>
      <c r="AL313" s="10"/>
      <c r="AM313" s="10"/>
      <c r="AN313" s="10"/>
      <c r="AO313" s="10"/>
      <c r="AP313" s="10"/>
      <c r="AQ313" s="11">
        <v>13</v>
      </c>
      <c r="AR313" s="4"/>
      <c r="AS313" s="10"/>
      <c r="AT313" s="10"/>
      <c r="AU313" s="10"/>
      <c r="AV313" s="10"/>
      <c r="AW313" s="10"/>
      <c r="AX313" s="10"/>
      <c r="AY313" s="10"/>
      <c r="AZ313" s="10"/>
      <c r="BA313" s="10"/>
      <c r="BB313" s="10"/>
      <c r="BC313" s="10"/>
      <c r="BD313" s="10"/>
    </row>
    <row r="314" spans="1:56" ht="29" x14ac:dyDescent="0.35">
      <c r="A314" s="4" t="s">
        <v>674</v>
      </c>
      <c r="B314" s="4"/>
      <c r="C314" s="4" t="s">
        <v>22</v>
      </c>
      <c r="D314" s="4" t="s">
        <v>33</v>
      </c>
      <c r="E314" s="5" t="s">
        <v>34</v>
      </c>
      <c r="F314" s="4" t="s">
        <v>672</v>
      </c>
      <c r="G314" s="4" t="s">
        <v>26</v>
      </c>
      <c r="H314" s="4" t="s">
        <v>675</v>
      </c>
      <c r="I314" s="12"/>
      <c r="J314" s="12"/>
      <c r="K314" s="12"/>
      <c r="L314" s="12"/>
      <c r="M314" s="67"/>
      <c r="N314" s="12"/>
      <c r="O314" s="12"/>
      <c r="P314" s="12"/>
      <c r="Q314" s="12"/>
      <c r="R314" s="12"/>
      <c r="S314" s="12"/>
      <c r="T314" s="12"/>
      <c r="U314" s="12"/>
      <c r="V314" s="12"/>
      <c r="W314" s="7"/>
      <c r="X314" s="12"/>
      <c r="Y314" s="7">
        <f t="shared" si="5"/>
        <v>6</v>
      </c>
      <c r="Z314" s="7"/>
      <c r="AA314" s="7"/>
      <c r="AB314" s="8">
        <f t="shared" ref="AB314:AB321" si="6">1/(1*10^-5)</f>
        <v>99999.999999999985</v>
      </c>
      <c r="AC314" s="8"/>
      <c r="AD314" s="4"/>
      <c r="AE314" s="4"/>
      <c r="AF314" s="4"/>
      <c r="AG314" s="4"/>
      <c r="AH314" s="9"/>
      <c r="AI314" s="9"/>
      <c r="AJ314" s="9"/>
      <c r="AK314" s="9" t="s">
        <v>30</v>
      </c>
      <c r="AL314" s="10"/>
      <c r="AM314" s="10"/>
      <c r="AN314" s="10"/>
      <c r="AO314" s="10"/>
      <c r="AP314" s="10"/>
      <c r="AQ314" s="11">
        <v>13</v>
      </c>
      <c r="AR314" s="4"/>
      <c r="AS314" s="10"/>
      <c r="AT314" s="10"/>
      <c r="AU314" s="10"/>
      <c r="AV314" s="10"/>
      <c r="AW314" s="10"/>
      <c r="AX314" s="10"/>
      <c r="AY314" s="10"/>
      <c r="AZ314" s="10"/>
      <c r="BA314" s="10"/>
      <c r="BB314" s="10"/>
      <c r="BC314" s="10"/>
      <c r="BD314" s="10"/>
    </row>
    <row r="315" spans="1:56" ht="29" x14ac:dyDescent="0.35">
      <c r="A315" s="4" t="s">
        <v>626</v>
      </c>
      <c r="B315" s="4"/>
      <c r="C315" s="4" t="s">
        <v>22</v>
      </c>
      <c r="D315" s="4" t="s">
        <v>33</v>
      </c>
      <c r="E315" s="5" t="s">
        <v>34</v>
      </c>
      <c r="F315" s="4" t="s">
        <v>672</v>
      </c>
      <c r="G315" s="4" t="s">
        <v>26</v>
      </c>
      <c r="H315" s="4" t="s">
        <v>637</v>
      </c>
      <c r="I315" s="12"/>
      <c r="J315" s="12"/>
      <c r="K315" s="12"/>
      <c r="L315" s="12"/>
      <c r="M315" s="67"/>
      <c r="N315" s="12"/>
      <c r="O315" s="12"/>
      <c r="P315" s="12"/>
      <c r="Q315" s="12"/>
      <c r="R315" s="12"/>
      <c r="S315" s="12"/>
      <c r="T315" s="12"/>
      <c r="U315" s="12"/>
      <c r="V315" s="12"/>
      <c r="W315" s="7"/>
      <c r="X315" s="12"/>
      <c r="Y315" s="7">
        <f t="shared" si="5"/>
        <v>6</v>
      </c>
      <c r="Z315" s="7"/>
      <c r="AA315" s="7"/>
      <c r="AB315" s="8">
        <f t="shared" si="6"/>
        <v>99999.999999999985</v>
      </c>
      <c r="AC315" s="8"/>
      <c r="AD315" s="4"/>
      <c r="AE315" s="4"/>
      <c r="AF315" s="4"/>
      <c r="AG315" s="4"/>
      <c r="AH315" s="9"/>
      <c r="AI315" s="9"/>
      <c r="AJ315" s="9"/>
      <c r="AK315" s="9" t="s">
        <v>30</v>
      </c>
      <c r="AL315" s="10"/>
      <c r="AM315" s="10"/>
      <c r="AN315" s="10"/>
      <c r="AO315" s="10"/>
      <c r="AP315" s="10"/>
      <c r="AQ315" s="11">
        <v>13</v>
      </c>
      <c r="AR315" s="4"/>
      <c r="AS315" s="10"/>
      <c r="AT315" s="10"/>
      <c r="AU315" s="10"/>
      <c r="AV315" s="10"/>
      <c r="AW315" s="10"/>
      <c r="AX315" s="10"/>
      <c r="AY315" s="10"/>
      <c r="AZ315" s="10"/>
      <c r="BA315" s="10"/>
      <c r="BB315" s="10"/>
      <c r="BC315" s="10"/>
      <c r="BD315" s="10"/>
    </row>
    <row r="316" spans="1:56" ht="29" x14ac:dyDescent="0.35">
      <c r="A316" s="4" t="s">
        <v>676</v>
      </c>
      <c r="B316" s="4"/>
      <c r="C316" s="4" t="s">
        <v>22</v>
      </c>
      <c r="D316" s="4" t="s">
        <v>33</v>
      </c>
      <c r="E316" s="5" t="s">
        <v>34</v>
      </c>
      <c r="F316" s="4" t="s">
        <v>672</v>
      </c>
      <c r="G316" s="4" t="s">
        <v>26</v>
      </c>
      <c r="H316" s="4" t="s">
        <v>1053</v>
      </c>
      <c r="I316" s="12"/>
      <c r="J316" s="12"/>
      <c r="K316" s="12"/>
      <c r="L316" s="12"/>
      <c r="M316" s="67"/>
      <c r="N316" s="12"/>
      <c r="O316" s="12"/>
      <c r="P316" s="12"/>
      <c r="Q316" s="12"/>
      <c r="R316" s="12"/>
      <c r="S316" s="12"/>
      <c r="T316" s="12"/>
      <c r="U316" s="12"/>
      <c r="V316" s="12"/>
      <c r="W316" s="7"/>
      <c r="X316" s="12"/>
      <c r="Y316" s="7">
        <f t="shared" si="5"/>
        <v>6</v>
      </c>
      <c r="Z316" s="7"/>
      <c r="AA316" s="7"/>
      <c r="AB316" s="8">
        <f t="shared" si="6"/>
        <v>99999.999999999985</v>
      </c>
      <c r="AC316" s="8"/>
      <c r="AD316" s="4"/>
      <c r="AE316" s="4"/>
      <c r="AF316" s="4"/>
      <c r="AG316" s="4"/>
      <c r="AH316" s="9"/>
      <c r="AI316" s="9"/>
      <c r="AJ316" s="9"/>
      <c r="AK316" s="9" t="s">
        <v>30</v>
      </c>
      <c r="AL316" s="10"/>
      <c r="AM316" s="10"/>
      <c r="AN316" s="10"/>
      <c r="AO316" s="10"/>
      <c r="AP316" s="10"/>
      <c r="AQ316" s="11">
        <v>13</v>
      </c>
      <c r="AR316" s="4"/>
      <c r="AS316" s="10"/>
      <c r="AT316" s="10"/>
      <c r="AU316" s="10"/>
      <c r="AV316" s="10"/>
      <c r="AW316" s="10"/>
      <c r="AX316" s="10"/>
      <c r="AY316" s="10"/>
      <c r="AZ316" s="10"/>
      <c r="BA316" s="10"/>
      <c r="BB316" s="10"/>
      <c r="BC316" s="10"/>
      <c r="BD316" s="10"/>
    </row>
    <row r="317" spans="1:56" ht="29" x14ac:dyDescent="0.35">
      <c r="A317" s="4" t="s">
        <v>677</v>
      </c>
      <c r="B317" s="4"/>
      <c r="C317" s="4" t="s">
        <v>22</v>
      </c>
      <c r="D317" s="4" t="s">
        <v>33</v>
      </c>
      <c r="E317" s="5" t="s">
        <v>34</v>
      </c>
      <c r="F317" s="4" t="s">
        <v>672</v>
      </c>
      <c r="G317" s="4" t="s">
        <v>26</v>
      </c>
      <c r="H317" s="4" t="s">
        <v>675</v>
      </c>
      <c r="I317" s="12"/>
      <c r="J317" s="12"/>
      <c r="K317" s="12"/>
      <c r="L317" s="12"/>
      <c r="M317" s="67"/>
      <c r="N317" s="12"/>
      <c r="O317" s="12"/>
      <c r="P317" s="12"/>
      <c r="Q317" s="12"/>
      <c r="R317" s="12"/>
      <c r="S317" s="12"/>
      <c r="T317" s="12"/>
      <c r="U317" s="12"/>
      <c r="V317" s="12"/>
      <c r="W317" s="7"/>
      <c r="X317" s="12"/>
      <c r="Y317" s="7">
        <f t="shared" si="5"/>
        <v>6</v>
      </c>
      <c r="Z317" s="7"/>
      <c r="AA317" s="7"/>
      <c r="AB317" s="8">
        <f t="shared" si="6"/>
        <v>99999.999999999985</v>
      </c>
      <c r="AC317" s="8"/>
      <c r="AD317" s="4"/>
      <c r="AE317" s="4"/>
      <c r="AF317" s="4"/>
      <c r="AG317" s="4"/>
      <c r="AH317" s="9"/>
      <c r="AI317" s="9"/>
      <c r="AJ317" s="9"/>
      <c r="AK317" s="9" t="s">
        <v>30</v>
      </c>
      <c r="AL317" s="10"/>
      <c r="AM317" s="10"/>
      <c r="AN317" s="10"/>
      <c r="AO317" s="10"/>
      <c r="AP317" s="10"/>
      <c r="AQ317" s="11">
        <v>13</v>
      </c>
      <c r="AR317" s="4"/>
      <c r="AS317" s="10"/>
      <c r="AT317" s="10"/>
      <c r="AU317" s="10"/>
      <c r="AV317" s="10"/>
      <c r="AW317" s="10"/>
      <c r="AX317" s="10"/>
      <c r="AY317" s="10"/>
      <c r="AZ317" s="10"/>
      <c r="BA317" s="10"/>
      <c r="BB317" s="10"/>
      <c r="BC317" s="10"/>
      <c r="BD317" s="10"/>
    </row>
    <row r="318" spans="1:56" ht="29" x14ac:dyDescent="0.35">
      <c r="A318" s="4" t="s">
        <v>627</v>
      </c>
      <c r="B318" s="4"/>
      <c r="C318" s="4" t="s">
        <v>22</v>
      </c>
      <c r="D318" s="4" t="s">
        <v>33</v>
      </c>
      <c r="E318" s="5" t="s">
        <v>34</v>
      </c>
      <c r="F318" s="4" t="s">
        <v>672</v>
      </c>
      <c r="G318" s="4" t="s">
        <v>26</v>
      </c>
      <c r="H318" s="4" t="s">
        <v>637</v>
      </c>
      <c r="I318" s="12"/>
      <c r="J318" s="12"/>
      <c r="K318" s="12"/>
      <c r="L318" s="12"/>
      <c r="M318" s="67"/>
      <c r="N318" s="12"/>
      <c r="O318" s="12"/>
      <c r="P318" s="12"/>
      <c r="Q318" s="12"/>
      <c r="R318" s="12"/>
      <c r="S318" s="12"/>
      <c r="T318" s="12"/>
      <c r="U318" s="12"/>
      <c r="V318" s="12"/>
      <c r="W318" s="7"/>
      <c r="X318" s="12"/>
      <c r="Y318" s="7">
        <f t="shared" si="5"/>
        <v>6</v>
      </c>
      <c r="Z318" s="7"/>
      <c r="AA318" s="7"/>
      <c r="AB318" s="8">
        <f t="shared" si="6"/>
        <v>99999.999999999985</v>
      </c>
      <c r="AC318" s="8"/>
      <c r="AD318" s="4"/>
      <c r="AE318" s="4"/>
      <c r="AF318" s="4"/>
      <c r="AG318" s="4"/>
      <c r="AH318" s="9"/>
      <c r="AI318" s="9"/>
      <c r="AJ318" s="9"/>
      <c r="AK318" s="9" t="s">
        <v>30</v>
      </c>
      <c r="AL318" s="10"/>
      <c r="AM318" s="10"/>
      <c r="AN318" s="10"/>
      <c r="AO318" s="10"/>
      <c r="AP318" s="10"/>
      <c r="AQ318" s="11">
        <v>13</v>
      </c>
      <c r="AR318" s="4"/>
      <c r="AS318" s="10"/>
      <c r="AT318" s="10"/>
      <c r="AU318" s="10"/>
      <c r="AV318" s="10"/>
      <c r="AW318" s="10"/>
      <c r="AX318" s="10"/>
      <c r="AY318" s="10"/>
      <c r="AZ318" s="10"/>
      <c r="BA318" s="10"/>
      <c r="BB318" s="10"/>
      <c r="BC318" s="10"/>
      <c r="BD318" s="10"/>
    </row>
    <row r="319" spans="1:56" ht="29" x14ac:dyDescent="0.35">
      <c r="A319" s="4" t="s">
        <v>629</v>
      </c>
      <c r="B319" s="4"/>
      <c r="C319" s="4" t="s">
        <v>22</v>
      </c>
      <c r="D319" s="4" t="s">
        <v>33</v>
      </c>
      <c r="E319" s="5" t="s">
        <v>34</v>
      </c>
      <c r="F319" s="4" t="s">
        <v>672</v>
      </c>
      <c r="G319" s="4" t="s">
        <v>26</v>
      </c>
      <c r="H319" s="4" t="s">
        <v>637</v>
      </c>
      <c r="I319" s="12"/>
      <c r="J319" s="12"/>
      <c r="K319" s="12"/>
      <c r="L319" s="12"/>
      <c r="M319" s="67"/>
      <c r="N319" s="12"/>
      <c r="O319" s="12"/>
      <c r="P319" s="12"/>
      <c r="Q319" s="12"/>
      <c r="R319" s="12"/>
      <c r="S319" s="12"/>
      <c r="T319" s="12"/>
      <c r="U319" s="12"/>
      <c r="V319" s="12"/>
      <c r="W319" s="7"/>
      <c r="X319" s="12"/>
      <c r="Y319" s="7">
        <f t="shared" si="5"/>
        <v>6</v>
      </c>
      <c r="Z319" s="7"/>
      <c r="AA319" s="7"/>
      <c r="AB319" s="8">
        <f t="shared" si="6"/>
        <v>99999.999999999985</v>
      </c>
      <c r="AC319" s="8"/>
      <c r="AD319" s="4"/>
      <c r="AE319" s="4"/>
      <c r="AF319" s="4"/>
      <c r="AG319" s="4"/>
      <c r="AH319" s="9"/>
      <c r="AI319" s="9"/>
      <c r="AJ319" s="9"/>
      <c r="AK319" s="9" t="s">
        <v>30</v>
      </c>
      <c r="AL319" s="10"/>
      <c r="AM319" s="10"/>
      <c r="AN319" s="10"/>
      <c r="AO319" s="10"/>
      <c r="AP319" s="10"/>
      <c r="AQ319" s="11">
        <v>13</v>
      </c>
      <c r="AR319" s="4"/>
      <c r="AS319" s="10"/>
      <c r="AT319" s="10"/>
      <c r="AU319" s="10"/>
      <c r="AV319" s="10"/>
      <c r="AW319" s="10"/>
      <c r="AX319" s="10"/>
      <c r="AY319" s="10"/>
      <c r="AZ319" s="10"/>
      <c r="BA319" s="10"/>
      <c r="BB319" s="10"/>
      <c r="BC319" s="10"/>
      <c r="BD319" s="10"/>
    </row>
    <row r="320" spans="1:56" ht="29" x14ac:dyDescent="0.35">
      <c r="A320" s="4" t="s">
        <v>603</v>
      </c>
      <c r="B320" s="4"/>
      <c r="C320" s="4" t="s">
        <v>22</v>
      </c>
      <c r="D320" s="4" t="s">
        <v>33</v>
      </c>
      <c r="E320" s="5" t="s">
        <v>34</v>
      </c>
      <c r="F320" s="4" t="s">
        <v>672</v>
      </c>
      <c r="G320" s="4" t="s">
        <v>26</v>
      </c>
      <c r="H320" s="4" t="s">
        <v>637</v>
      </c>
      <c r="I320" s="12"/>
      <c r="J320" s="12"/>
      <c r="K320" s="12"/>
      <c r="L320" s="12"/>
      <c r="M320" s="67"/>
      <c r="N320" s="12"/>
      <c r="O320" s="12"/>
      <c r="P320" s="12"/>
      <c r="Q320" s="12"/>
      <c r="R320" s="12"/>
      <c r="S320" s="12"/>
      <c r="T320" s="12"/>
      <c r="U320" s="12"/>
      <c r="V320" s="12"/>
      <c r="W320" s="7"/>
      <c r="X320" s="12"/>
      <c r="Y320" s="7">
        <f t="shared" si="5"/>
        <v>6</v>
      </c>
      <c r="Z320" s="7"/>
      <c r="AA320" s="7"/>
      <c r="AB320" s="8">
        <f t="shared" si="6"/>
        <v>99999.999999999985</v>
      </c>
      <c r="AC320" s="8"/>
      <c r="AD320" s="4"/>
      <c r="AE320" s="4"/>
      <c r="AF320" s="4"/>
      <c r="AG320" s="4"/>
      <c r="AH320" s="9"/>
      <c r="AI320" s="9"/>
      <c r="AJ320" s="9"/>
      <c r="AK320" s="9" t="s">
        <v>30</v>
      </c>
      <c r="AL320" s="10"/>
      <c r="AM320" s="10"/>
      <c r="AN320" s="10"/>
      <c r="AO320" s="10"/>
      <c r="AP320" s="10"/>
      <c r="AQ320" s="11">
        <v>13</v>
      </c>
      <c r="AR320" s="4"/>
      <c r="AS320" s="10"/>
      <c r="AT320" s="10"/>
      <c r="AU320" s="10"/>
      <c r="AV320" s="10"/>
      <c r="AW320" s="10"/>
      <c r="AX320" s="10"/>
      <c r="AY320" s="10"/>
      <c r="AZ320" s="10"/>
      <c r="BA320" s="10"/>
      <c r="BB320" s="10"/>
      <c r="BC320" s="10"/>
      <c r="BD320" s="10"/>
    </row>
    <row r="321" spans="1:56" ht="29" x14ac:dyDescent="0.35">
      <c r="A321" s="4" t="s">
        <v>586</v>
      </c>
      <c r="B321" s="4"/>
      <c r="C321" s="4" t="s">
        <v>22</v>
      </c>
      <c r="D321" s="4" t="s">
        <v>33</v>
      </c>
      <c r="E321" s="5" t="s">
        <v>34</v>
      </c>
      <c r="F321" s="4" t="s">
        <v>672</v>
      </c>
      <c r="G321" s="4" t="s">
        <v>26</v>
      </c>
      <c r="H321" s="4" t="s">
        <v>635</v>
      </c>
      <c r="I321" s="12"/>
      <c r="J321" s="12"/>
      <c r="K321" s="12"/>
      <c r="L321" s="12"/>
      <c r="M321" s="67"/>
      <c r="N321" s="12"/>
      <c r="O321" s="12"/>
      <c r="P321" s="12"/>
      <c r="Q321" s="12"/>
      <c r="R321" s="12"/>
      <c r="S321" s="12"/>
      <c r="T321" s="12"/>
      <c r="U321" s="12"/>
      <c r="V321" s="12"/>
      <c r="W321" s="7"/>
      <c r="X321" s="12"/>
      <c r="Y321" s="7">
        <f t="shared" si="5"/>
        <v>6</v>
      </c>
      <c r="Z321" s="7"/>
      <c r="AA321" s="7"/>
      <c r="AB321" s="8">
        <f t="shared" si="6"/>
        <v>99999.999999999985</v>
      </c>
      <c r="AC321" s="8"/>
      <c r="AD321" s="4"/>
      <c r="AE321" s="4"/>
      <c r="AF321" s="4"/>
      <c r="AG321" s="4"/>
      <c r="AH321" s="9"/>
      <c r="AI321" s="9"/>
      <c r="AJ321" s="9"/>
      <c r="AK321" s="9" t="s">
        <v>30</v>
      </c>
      <c r="AL321" s="10"/>
      <c r="AM321" s="10"/>
      <c r="AN321" s="10"/>
      <c r="AO321" s="10"/>
      <c r="AP321" s="10"/>
      <c r="AQ321" s="11">
        <v>13</v>
      </c>
      <c r="AR321" s="4"/>
      <c r="AS321" s="10"/>
      <c r="AT321" s="10"/>
      <c r="AU321" s="10"/>
      <c r="AV321" s="10"/>
      <c r="AW321" s="10"/>
      <c r="AX321" s="10"/>
      <c r="AY321" s="10"/>
      <c r="AZ321" s="10"/>
      <c r="BA321" s="10"/>
      <c r="BB321" s="10"/>
      <c r="BC321" s="10"/>
      <c r="BD321" s="10"/>
    </row>
    <row r="322" spans="1:56" ht="29" x14ac:dyDescent="0.35">
      <c r="A322" s="4" t="s">
        <v>587</v>
      </c>
      <c r="B322" s="4"/>
      <c r="C322" s="4" t="s">
        <v>22</v>
      </c>
      <c r="D322" s="4" t="s">
        <v>33</v>
      </c>
      <c r="E322" s="5" t="s">
        <v>34</v>
      </c>
      <c r="F322" s="4" t="s">
        <v>672</v>
      </c>
      <c r="G322" s="4" t="s">
        <v>26</v>
      </c>
      <c r="H322" s="4" t="s">
        <v>1053</v>
      </c>
      <c r="I322" s="12"/>
      <c r="J322" s="12"/>
      <c r="K322" s="12"/>
      <c r="L322" s="12"/>
      <c r="M322" s="67"/>
      <c r="N322" s="12"/>
      <c r="O322" s="12"/>
      <c r="P322" s="12"/>
      <c r="Q322" s="12"/>
      <c r="R322" s="12"/>
      <c r="S322" s="12"/>
      <c r="T322" s="12"/>
      <c r="U322" s="12"/>
      <c r="V322" s="12"/>
      <c r="W322" s="7"/>
      <c r="X322" s="12"/>
      <c r="Y322" s="7">
        <f t="shared" si="5"/>
        <v>6</v>
      </c>
      <c r="Z322" s="7"/>
      <c r="AA322" s="7"/>
      <c r="AB322" s="8">
        <f>1/(1.5*10^-5)</f>
        <v>66666.666666666657</v>
      </c>
      <c r="AC322" s="8"/>
      <c r="AD322" s="4"/>
      <c r="AE322" s="4"/>
      <c r="AF322" s="4"/>
      <c r="AG322" s="4"/>
      <c r="AH322" s="9"/>
      <c r="AI322" s="9"/>
      <c r="AJ322" s="9"/>
      <c r="AK322" s="9" t="s">
        <v>30</v>
      </c>
      <c r="AL322" s="10"/>
      <c r="AM322" s="10"/>
      <c r="AN322" s="10"/>
      <c r="AO322" s="10"/>
      <c r="AP322" s="10"/>
      <c r="AQ322" s="11">
        <v>13</v>
      </c>
      <c r="AR322" s="4"/>
      <c r="AS322" s="10"/>
      <c r="AT322" s="10"/>
      <c r="AU322" s="10"/>
      <c r="AV322" s="10"/>
      <c r="AW322" s="10"/>
      <c r="AX322" s="10"/>
      <c r="AY322" s="10"/>
      <c r="AZ322" s="10"/>
      <c r="BA322" s="10"/>
      <c r="BB322" s="10"/>
      <c r="BC322" s="10"/>
      <c r="BD322" s="10"/>
    </row>
    <row r="323" spans="1:56" ht="29" x14ac:dyDescent="0.35">
      <c r="A323" s="4" t="s">
        <v>590</v>
      </c>
      <c r="B323" s="4"/>
      <c r="C323" s="4" t="s">
        <v>22</v>
      </c>
      <c r="D323" s="4" t="s">
        <v>33</v>
      </c>
      <c r="E323" s="5" t="s">
        <v>34</v>
      </c>
      <c r="F323" s="4" t="s">
        <v>672</v>
      </c>
      <c r="G323" s="4" t="s">
        <v>26</v>
      </c>
      <c r="H323" s="4" t="s">
        <v>651</v>
      </c>
      <c r="I323" s="12"/>
      <c r="J323" s="12"/>
      <c r="K323" s="12"/>
      <c r="L323" s="12"/>
      <c r="M323" s="67"/>
      <c r="N323" s="12"/>
      <c r="O323" s="12"/>
      <c r="P323" s="12"/>
      <c r="Q323" s="12"/>
      <c r="R323" s="12"/>
      <c r="S323" s="12"/>
      <c r="T323" s="12"/>
      <c r="U323" s="12"/>
      <c r="V323" s="12"/>
      <c r="W323" s="7"/>
      <c r="X323" s="12"/>
      <c r="Y323" s="7">
        <f t="shared" si="5"/>
        <v>6</v>
      </c>
      <c r="Z323" s="7"/>
      <c r="AA323" s="7"/>
      <c r="AB323" s="8">
        <f>1/(1*10^-5)</f>
        <v>99999.999999999985</v>
      </c>
      <c r="AC323" s="8"/>
      <c r="AD323" s="4"/>
      <c r="AE323" s="4"/>
      <c r="AF323" s="4"/>
      <c r="AG323" s="4"/>
      <c r="AH323" s="9"/>
      <c r="AI323" s="9"/>
      <c r="AJ323" s="9"/>
      <c r="AK323" s="9" t="s">
        <v>30</v>
      </c>
      <c r="AL323" s="10"/>
      <c r="AM323" s="10"/>
      <c r="AN323" s="10"/>
      <c r="AO323" s="10"/>
      <c r="AP323" s="10"/>
      <c r="AQ323" s="11">
        <v>13</v>
      </c>
      <c r="AR323" s="4"/>
      <c r="AS323" s="10"/>
      <c r="AT323" s="10"/>
      <c r="AU323" s="10"/>
      <c r="AV323" s="10"/>
      <c r="AW323" s="10"/>
      <c r="AX323" s="10"/>
      <c r="AY323" s="10"/>
      <c r="AZ323" s="10"/>
      <c r="BA323" s="10"/>
      <c r="BB323" s="10"/>
      <c r="BC323" s="10"/>
      <c r="BD323" s="10"/>
    </row>
    <row r="324" spans="1:56" ht="29" x14ac:dyDescent="0.35">
      <c r="A324" s="4" t="s">
        <v>618</v>
      </c>
      <c r="B324" s="4"/>
      <c r="C324" s="4" t="s">
        <v>22</v>
      </c>
      <c r="D324" s="4" t="s">
        <v>33</v>
      </c>
      <c r="E324" s="5" t="s">
        <v>34</v>
      </c>
      <c r="F324" s="4" t="s">
        <v>672</v>
      </c>
      <c r="G324" s="4" t="s">
        <v>26</v>
      </c>
      <c r="H324" s="4" t="s">
        <v>675</v>
      </c>
      <c r="I324" s="12"/>
      <c r="J324" s="12"/>
      <c r="K324" s="12"/>
      <c r="L324" s="12"/>
      <c r="M324" s="67"/>
      <c r="N324" s="12"/>
      <c r="O324" s="12"/>
      <c r="P324" s="12"/>
      <c r="Q324" s="12"/>
      <c r="R324" s="12"/>
      <c r="S324" s="12"/>
      <c r="T324" s="12"/>
      <c r="U324" s="12"/>
      <c r="V324" s="12"/>
      <c r="W324" s="7"/>
      <c r="X324" s="12"/>
      <c r="Y324" s="7">
        <f t="shared" si="5"/>
        <v>6</v>
      </c>
      <c r="Z324" s="7"/>
      <c r="AA324" s="7"/>
      <c r="AB324" s="8">
        <f>1/(1*10^-5)</f>
        <v>99999.999999999985</v>
      </c>
      <c r="AC324" s="8"/>
      <c r="AD324" s="4"/>
      <c r="AE324" s="4"/>
      <c r="AF324" s="4"/>
      <c r="AG324" s="4"/>
      <c r="AH324" s="9"/>
      <c r="AI324" s="9"/>
      <c r="AJ324" s="9"/>
      <c r="AK324" s="9" t="s">
        <v>30</v>
      </c>
      <c r="AL324" s="10"/>
      <c r="AM324" s="10"/>
      <c r="AN324" s="10"/>
      <c r="AO324" s="10"/>
      <c r="AP324" s="10"/>
      <c r="AQ324" s="11">
        <v>13</v>
      </c>
      <c r="AR324" s="4"/>
      <c r="AS324" s="10"/>
      <c r="AT324" s="10"/>
      <c r="AU324" s="10"/>
      <c r="AV324" s="10"/>
      <c r="AW324" s="10"/>
      <c r="AX324" s="10"/>
      <c r="AY324" s="10"/>
      <c r="AZ324" s="10"/>
      <c r="BA324" s="10"/>
      <c r="BB324" s="10"/>
      <c r="BC324" s="10"/>
      <c r="BD324" s="10"/>
    </row>
    <row r="325" spans="1:56" ht="29" x14ac:dyDescent="0.35">
      <c r="A325" s="4" t="s">
        <v>631</v>
      </c>
      <c r="B325" s="4"/>
      <c r="C325" s="4" t="s">
        <v>22</v>
      </c>
      <c r="D325" s="4" t="s">
        <v>33</v>
      </c>
      <c r="E325" s="5" t="s">
        <v>34</v>
      </c>
      <c r="F325" s="4" t="s">
        <v>672</v>
      </c>
      <c r="G325" s="4" t="s">
        <v>26</v>
      </c>
      <c r="H325" s="4" t="s">
        <v>637</v>
      </c>
      <c r="I325" s="12"/>
      <c r="J325" s="12"/>
      <c r="K325" s="12"/>
      <c r="L325" s="12"/>
      <c r="M325" s="67"/>
      <c r="N325" s="12"/>
      <c r="O325" s="12"/>
      <c r="P325" s="12"/>
      <c r="Q325" s="12"/>
      <c r="R325" s="12"/>
      <c r="S325" s="12"/>
      <c r="T325" s="12"/>
      <c r="U325" s="12"/>
      <c r="V325" s="12"/>
      <c r="W325" s="7"/>
      <c r="X325" s="12"/>
      <c r="Y325" s="7">
        <f t="shared" si="5"/>
        <v>6</v>
      </c>
      <c r="Z325" s="7"/>
      <c r="AA325" s="7"/>
      <c r="AB325" s="8">
        <f>1/(5.99*10^-6)</f>
        <v>166944.9081803005</v>
      </c>
      <c r="AC325" s="8"/>
      <c r="AD325" s="4"/>
      <c r="AE325" s="4"/>
      <c r="AF325" s="4"/>
      <c r="AG325" s="4"/>
      <c r="AH325" s="9"/>
      <c r="AI325" s="9"/>
      <c r="AJ325" s="9"/>
      <c r="AK325" s="9" t="s">
        <v>30</v>
      </c>
      <c r="AL325" s="10"/>
      <c r="AM325" s="10"/>
      <c r="AN325" s="10"/>
      <c r="AO325" s="10"/>
      <c r="AP325" s="10"/>
      <c r="AQ325" s="11">
        <v>13</v>
      </c>
      <c r="AR325" s="4"/>
      <c r="AS325" s="10"/>
      <c r="AT325" s="10"/>
      <c r="AU325" s="10"/>
      <c r="AV325" s="10"/>
      <c r="AW325" s="10"/>
      <c r="AX325" s="10"/>
      <c r="AY325" s="10"/>
      <c r="AZ325" s="10"/>
      <c r="BA325" s="10"/>
      <c r="BB325" s="10"/>
      <c r="BC325" s="10"/>
      <c r="BD325" s="10"/>
    </row>
    <row r="326" spans="1:56" ht="87" x14ac:dyDescent="0.35">
      <c r="A326" s="4" t="s">
        <v>678</v>
      </c>
      <c r="B326" s="4"/>
      <c r="C326" s="4" t="s">
        <v>139</v>
      </c>
      <c r="D326" s="4" t="s">
        <v>23</v>
      </c>
      <c r="E326" s="5" t="s">
        <v>34</v>
      </c>
      <c r="F326" s="4"/>
      <c r="G326" s="4" t="s">
        <v>35</v>
      </c>
      <c r="H326" s="65" t="s">
        <v>1059</v>
      </c>
      <c r="I326" s="12">
        <v>154</v>
      </c>
      <c r="J326" s="12">
        <v>154</v>
      </c>
      <c r="K326" s="12"/>
      <c r="L326" s="12">
        <v>0.8</v>
      </c>
      <c r="M326" s="67">
        <v>0.8</v>
      </c>
      <c r="N326" s="12"/>
      <c r="O326" s="12">
        <v>98.44</v>
      </c>
      <c r="P326" s="12">
        <v>98.44</v>
      </c>
      <c r="Q326" s="12"/>
      <c r="R326" s="12">
        <v>448.54</v>
      </c>
      <c r="S326" s="12">
        <v>448.54</v>
      </c>
      <c r="T326" s="12"/>
      <c r="U326" s="12">
        <v>95.48</v>
      </c>
      <c r="V326" s="12">
        <v>95.48</v>
      </c>
      <c r="W326" s="7"/>
      <c r="X326" s="12"/>
      <c r="Y326" s="7">
        <v>3</v>
      </c>
      <c r="Z326" s="7"/>
      <c r="AA326" s="7"/>
      <c r="AB326" s="8"/>
      <c r="AC326" s="7"/>
      <c r="AD326" s="4"/>
      <c r="AE326" s="4"/>
      <c r="AF326" s="4"/>
      <c r="AG326" s="4"/>
      <c r="AH326" s="9"/>
      <c r="AI326" s="9"/>
      <c r="AJ326" s="9"/>
      <c r="AK326" s="9" t="s">
        <v>30</v>
      </c>
      <c r="AL326" s="10"/>
      <c r="AM326" s="10"/>
      <c r="AN326" s="10"/>
      <c r="AO326" s="10"/>
      <c r="AP326" s="10"/>
      <c r="AQ326" s="11" t="s">
        <v>679</v>
      </c>
      <c r="AR326" s="4"/>
      <c r="AS326" s="10" t="s">
        <v>879</v>
      </c>
      <c r="AT326" s="10"/>
      <c r="AU326" s="10"/>
      <c r="AV326" s="10"/>
      <c r="AW326" s="10"/>
      <c r="AX326" s="10"/>
      <c r="AY326" s="10"/>
      <c r="AZ326" s="10"/>
      <c r="BA326" s="10"/>
      <c r="BB326" s="10"/>
      <c r="BC326" s="10"/>
      <c r="BD326" s="10"/>
    </row>
    <row r="327" spans="1:56" ht="29" x14ac:dyDescent="0.35">
      <c r="A327" s="4" t="s">
        <v>81</v>
      </c>
      <c r="B327" s="4"/>
      <c r="C327" s="4" t="s">
        <v>139</v>
      </c>
      <c r="D327" s="4" t="s">
        <v>23</v>
      </c>
      <c r="E327" s="5" t="s">
        <v>34</v>
      </c>
      <c r="F327" s="4" t="s">
        <v>678</v>
      </c>
      <c r="G327" s="4" t="s">
        <v>26</v>
      </c>
      <c r="H327" s="4" t="s">
        <v>1053</v>
      </c>
      <c r="I327" s="12"/>
      <c r="J327" s="12"/>
      <c r="K327" s="12"/>
      <c r="L327" s="12"/>
      <c r="M327" s="67"/>
      <c r="N327" s="12"/>
      <c r="O327" s="12"/>
      <c r="P327" s="12"/>
      <c r="Q327" s="12"/>
      <c r="R327" s="12"/>
      <c r="S327" s="12"/>
      <c r="T327" s="12"/>
      <c r="U327" s="12"/>
      <c r="V327" s="12"/>
      <c r="W327" s="7"/>
      <c r="X327" s="12"/>
      <c r="Y327" s="7"/>
      <c r="Z327" s="7"/>
      <c r="AA327" s="7"/>
      <c r="AB327" s="8">
        <f>1/(8*10^-6)</f>
        <v>125000</v>
      </c>
      <c r="AC327" s="7"/>
      <c r="AD327" s="4"/>
      <c r="AE327" s="4"/>
      <c r="AF327" s="4"/>
      <c r="AG327" s="4"/>
      <c r="AH327" s="9"/>
      <c r="AI327" s="9"/>
      <c r="AJ327" s="9"/>
      <c r="AK327" s="9" t="s">
        <v>30</v>
      </c>
      <c r="AL327" s="10"/>
      <c r="AM327" s="10"/>
      <c r="AN327" s="10"/>
      <c r="AO327" s="10"/>
      <c r="AP327" s="10"/>
      <c r="AQ327" s="11">
        <v>13</v>
      </c>
      <c r="AR327" s="4"/>
      <c r="AS327" s="10"/>
      <c r="AT327" s="10"/>
      <c r="AU327" s="10"/>
      <c r="AV327" s="10"/>
      <c r="AW327" s="10"/>
      <c r="AX327" s="10"/>
      <c r="AY327" s="10"/>
      <c r="AZ327" s="10"/>
      <c r="BA327" s="10"/>
      <c r="BB327" s="10"/>
      <c r="BC327" s="10"/>
      <c r="BD327" s="10"/>
    </row>
    <row r="328" spans="1:56" ht="29" x14ac:dyDescent="0.35">
      <c r="A328" s="4" t="s">
        <v>668</v>
      </c>
      <c r="B328" s="4"/>
      <c r="C328" s="4" t="s">
        <v>139</v>
      </c>
      <c r="D328" s="4" t="s">
        <v>23</v>
      </c>
      <c r="E328" s="5" t="s">
        <v>34</v>
      </c>
      <c r="F328" s="4" t="s">
        <v>678</v>
      </c>
      <c r="G328" s="4" t="s">
        <v>26</v>
      </c>
      <c r="H328" s="4" t="s">
        <v>1053</v>
      </c>
      <c r="I328" s="12"/>
      <c r="J328" s="12"/>
      <c r="K328" s="12"/>
      <c r="L328" s="12"/>
      <c r="M328" s="67"/>
      <c r="N328" s="12"/>
      <c r="O328" s="12"/>
      <c r="P328" s="12"/>
      <c r="Q328" s="12"/>
      <c r="R328" s="12"/>
      <c r="S328" s="12"/>
      <c r="T328" s="12"/>
      <c r="U328" s="12"/>
      <c r="V328" s="12"/>
      <c r="W328" s="7"/>
      <c r="X328" s="12"/>
      <c r="Y328" s="7"/>
      <c r="Z328" s="7"/>
      <c r="AA328" s="7"/>
      <c r="AB328" s="8">
        <f>1/(5*10^-7)</f>
        <v>2000000</v>
      </c>
      <c r="AC328" s="7"/>
      <c r="AD328" s="4"/>
      <c r="AE328" s="4"/>
      <c r="AF328" s="4"/>
      <c r="AG328" s="4"/>
      <c r="AH328" s="9"/>
      <c r="AI328" s="9"/>
      <c r="AJ328" s="9"/>
      <c r="AK328" s="9" t="s">
        <v>30</v>
      </c>
      <c r="AL328" s="10"/>
      <c r="AM328" s="10"/>
      <c r="AN328" s="10"/>
      <c r="AO328" s="10"/>
      <c r="AP328" s="10"/>
      <c r="AQ328" s="11">
        <v>13</v>
      </c>
      <c r="AR328" s="4"/>
      <c r="AS328" s="10"/>
      <c r="AT328" s="10"/>
      <c r="AU328" s="10"/>
      <c r="AV328" s="10"/>
      <c r="AW328" s="10"/>
      <c r="AX328" s="10"/>
      <c r="AY328" s="10"/>
      <c r="AZ328" s="10"/>
      <c r="BA328" s="10"/>
      <c r="BB328" s="10"/>
      <c r="BC328" s="10"/>
      <c r="BD328" s="10"/>
    </row>
    <row r="329" spans="1:56" ht="29" x14ac:dyDescent="0.35">
      <c r="A329" s="4" t="s">
        <v>680</v>
      </c>
      <c r="B329" s="4"/>
      <c r="C329" s="4" t="s">
        <v>139</v>
      </c>
      <c r="D329" s="4" t="s">
        <v>23</v>
      </c>
      <c r="E329" s="5" t="s">
        <v>34</v>
      </c>
      <c r="F329" s="4" t="s">
        <v>678</v>
      </c>
      <c r="G329" s="4" t="s">
        <v>26</v>
      </c>
      <c r="H329" s="4" t="s">
        <v>637</v>
      </c>
      <c r="I329" s="12"/>
      <c r="J329" s="12"/>
      <c r="K329" s="12"/>
      <c r="L329" s="12"/>
      <c r="M329" s="67"/>
      <c r="N329" s="12"/>
      <c r="O329" s="12"/>
      <c r="P329" s="12"/>
      <c r="Q329" s="12"/>
      <c r="R329" s="12"/>
      <c r="S329" s="12"/>
      <c r="T329" s="12"/>
      <c r="U329" s="12"/>
      <c r="V329" s="12"/>
      <c r="W329" s="7"/>
      <c r="X329" s="12"/>
      <c r="Y329" s="7"/>
      <c r="Z329" s="7"/>
      <c r="AA329" s="7"/>
      <c r="AB329" s="8">
        <f>1/(2.5*10^-5)</f>
        <v>40000</v>
      </c>
      <c r="AC329" s="7"/>
      <c r="AD329" s="4"/>
      <c r="AE329" s="4"/>
      <c r="AF329" s="4"/>
      <c r="AG329" s="4"/>
      <c r="AH329" s="9"/>
      <c r="AI329" s="9"/>
      <c r="AJ329" s="9"/>
      <c r="AK329" s="9" t="s">
        <v>30</v>
      </c>
      <c r="AL329" s="10"/>
      <c r="AM329" s="10"/>
      <c r="AN329" s="10"/>
      <c r="AO329" s="10"/>
      <c r="AP329" s="10"/>
      <c r="AQ329" s="11">
        <v>13</v>
      </c>
      <c r="AR329" s="4"/>
      <c r="AS329" s="10"/>
      <c r="AT329" s="10"/>
      <c r="AU329" s="10"/>
      <c r="AV329" s="10"/>
      <c r="AW329" s="10"/>
      <c r="AX329" s="10"/>
      <c r="AY329" s="10"/>
      <c r="AZ329" s="10"/>
      <c r="BA329" s="10"/>
      <c r="BB329" s="10"/>
      <c r="BC329" s="10"/>
      <c r="BD329" s="10"/>
    </row>
    <row r="330" spans="1:56" ht="29" x14ac:dyDescent="0.35">
      <c r="A330" s="4" t="s">
        <v>596</v>
      </c>
      <c r="B330" s="4"/>
      <c r="C330" s="4" t="s">
        <v>139</v>
      </c>
      <c r="D330" s="4" t="s">
        <v>23</v>
      </c>
      <c r="E330" s="5" t="s">
        <v>34</v>
      </c>
      <c r="F330" s="4" t="s">
        <v>678</v>
      </c>
      <c r="G330" s="4" t="s">
        <v>26</v>
      </c>
      <c r="H330" s="4" t="s">
        <v>1053</v>
      </c>
      <c r="I330" s="12"/>
      <c r="J330" s="12"/>
      <c r="K330" s="12"/>
      <c r="L330" s="12"/>
      <c r="M330" s="67"/>
      <c r="N330" s="12"/>
      <c r="O330" s="12"/>
      <c r="P330" s="12"/>
      <c r="Q330" s="12"/>
      <c r="R330" s="12"/>
      <c r="S330" s="12"/>
      <c r="T330" s="12"/>
      <c r="U330" s="12"/>
      <c r="V330" s="12"/>
      <c r="W330" s="7"/>
      <c r="X330" s="12"/>
      <c r="Y330" s="7"/>
      <c r="Z330" s="7"/>
      <c r="AA330" s="7"/>
      <c r="AB330" s="8">
        <f t="shared" ref="AB330:AB335" si="7">1/(10^-5)</f>
        <v>99999.999999999985</v>
      </c>
      <c r="AC330" s="7"/>
      <c r="AD330" s="4"/>
      <c r="AE330" s="4"/>
      <c r="AF330" s="4"/>
      <c r="AG330" s="4"/>
      <c r="AH330" s="9"/>
      <c r="AI330" s="9"/>
      <c r="AJ330" s="9"/>
      <c r="AK330" s="9" t="s">
        <v>30</v>
      </c>
      <c r="AL330" s="10"/>
      <c r="AM330" s="10"/>
      <c r="AN330" s="10"/>
      <c r="AO330" s="10"/>
      <c r="AP330" s="10"/>
      <c r="AQ330" s="11">
        <v>13</v>
      </c>
      <c r="AR330" s="4"/>
      <c r="AS330" s="10"/>
      <c r="AT330" s="10"/>
      <c r="AU330" s="10"/>
      <c r="AV330" s="10"/>
      <c r="AW330" s="10"/>
      <c r="AX330" s="10"/>
      <c r="AY330" s="10"/>
      <c r="AZ330" s="10"/>
      <c r="BA330" s="10"/>
      <c r="BB330" s="10"/>
      <c r="BC330" s="10"/>
      <c r="BD330" s="10"/>
    </row>
    <row r="331" spans="1:56" ht="29" x14ac:dyDescent="0.35">
      <c r="A331" s="4" t="s">
        <v>626</v>
      </c>
      <c r="B331" s="4"/>
      <c r="C331" s="4" t="s">
        <v>139</v>
      </c>
      <c r="D331" s="4" t="s">
        <v>23</v>
      </c>
      <c r="E331" s="5" t="s">
        <v>34</v>
      </c>
      <c r="F331" s="4" t="s">
        <v>678</v>
      </c>
      <c r="G331" s="4" t="s">
        <v>26</v>
      </c>
      <c r="H331" s="4" t="s">
        <v>651</v>
      </c>
      <c r="I331" s="12"/>
      <c r="J331" s="12"/>
      <c r="K331" s="12"/>
      <c r="L331" s="12"/>
      <c r="M331" s="67"/>
      <c r="N331" s="12"/>
      <c r="O331" s="12"/>
      <c r="P331" s="12"/>
      <c r="Q331" s="12"/>
      <c r="R331" s="12"/>
      <c r="S331" s="12"/>
      <c r="T331" s="12"/>
      <c r="U331" s="12"/>
      <c r="V331" s="12"/>
      <c r="W331" s="7"/>
      <c r="X331" s="12"/>
      <c r="Y331" s="7"/>
      <c r="Z331" s="7"/>
      <c r="AA331" s="7"/>
      <c r="AB331" s="8">
        <f t="shared" si="7"/>
        <v>99999.999999999985</v>
      </c>
      <c r="AC331" s="7"/>
      <c r="AD331" s="4"/>
      <c r="AE331" s="4"/>
      <c r="AF331" s="4"/>
      <c r="AG331" s="4"/>
      <c r="AH331" s="9"/>
      <c r="AI331" s="9"/>
      <c r="AJ331" s="9"/>
      <c r="AK331" s="9" t="s">
        <v>30</v>
      </c>
      <c r="AL331" s="10"/>
      <c r="AM331" s="10"/>
      <c r="AN331" s="10"/>
      <c r="AO331" s="10"/>
      <c r="AP331" s="10"/>
      <c r="AQ331" s="11">
        <v>13</v>
      </c>
      <c r="AR331" s="4"/>
      <c r="AS331" s="10"/>
      <c r="AT331" s="10"/>
      <c r="AU331" s="10"/>
      <c r="AV331" s="10"/>
      <c r="AW331" s="10"/>
      <c r="AX331" s="10"/>
      <c r="AY331" s="10"/>
      <c r="AZ331" s="10"/>
      <c r="BA331" s="10"/>
      <c r="BB331" s="10"/>
      <c r="BC331" s="10"/>
      <c r="BD331" s="10"/>
    </row>
    <row r="332" spans="1:56" ht="29" x14ac:dyDescent="0.35">
      <c r="A332" s="4" t="s">
        <v>600</v>
      </c>
      <c r="B332" s="4"/>
      <c r="C332" s="4" t="s">
        <v>139</v>
      </c>
      <c r="D332" s="4" t="s">
        <v>23</v>
      </c>
      <c r="E332" s="5" t="s">
        <v>34</v>
      </c>
      <c r="F332" s="4" t="s">
        <v>678</v>
      </c>
      <c r="G332" s="4" t="s">
        <v>26</v>
      </c>
      <c r="H332" s="4" t="s">
        <v>637</v>
      </c>
      <c r="I332" s="12"/>
      <c r="J332" s="12"/>
      <c r="K332" s="12"/>
      <c r="L332" s="12"/>
      <c r="M332" s="67"/>
      <c r="N332" s="12"/>
      <c r="O332" s="12"/>
      <c r="P332" s="12"/>
      <c r="Q332" s="12"/>
      <c r="R332" s="12"/>
      <c r="S332" s="12"/>
      <c r="T332" s="12"/>
      <c r="U332" s="12"/>
      <c r="V332" s="12"/>
      <c r="W332" s="7"/>
      <c r="X332" s="12"/>
      <c r="Y332" s="7"/>
      <c r="Z332" s="7"/>
      <c r="AA332" s="7"/>
      <c r="AB332" s="8">
        <f t="shared" si="7"/>
        <v>99999.999999999985</v>
      </c>
      <c r="AC332" s="7"/>
      <c r="AD332" s="4"/>
      <c r="AE332" s="4"/>
      <c r="AF332" s="4"/>
      <c r="AG332" s="4"/>
      <c r="AH332" s="9"/>
      <c r="AI332" s="9"/>
      <c r="AJ332" s="9"/>
      <c r="AK332" s="9" t="s">
        <v>30</v>
      </c>
      <c r="AL332" s="10"/>
      <c r="AM332" s="10"/>
      <c r="AN332" s="10"/>
      <c r="AO332" s="10"/>
      <c r="AP332" s="10"/>
      <c r="AQ332" s="11">
        <v>13</v>
      </c>
      <c r="AR332" s="4"/>
      <c r="AS332" s="10"/>
      <c r="AT332" s="10"/>
      <c r="AU332" s="10"/>
      <c r="AV332" s="10"/>
      <c r="AW332" s="10"/>
      <c r="AX332" s="10"/>
      <c r="AY332" s="10"/>
      <c r="AZ332" s="10"/>
      <c r="BA332" s="10"/>
      <c r="BB332" s="10"/>
      <c r="BC332" s="10"/>
      <c r="BD332" s="10"/>
    </row>
    <row r="333" spans="1:56" ht="29" x14ac:dyDescent="0.35">
      <c r="A333" s="4" t="s">
        <v>627</v>
      </c>
      <c r="B333" s="4"/>
      <c r="C333" s="4" t="s">
        <v>139</v>
      </c>
      <c r="D333" s="4" t="s">
        <v>23</v>
      </c>
      <c r="E333" s="5" t="s">
        <v>34</v>
      </c>
      <c r="F333" s="4" t="s">
        <v>678</v>
      </c>
      <c r="G333" s="4" t="s">
        <v>26</v>
      </c>
      <c r="H333" s="4" t="s">
        <v>637</v>
      </c>
      <c r="I333" s="12"/>
      <c r="J333" s="12"/>
      <c r="K333" s="12"/>
      <c r="L333" s="12"/>
      <c r="M333" s="67"/>
      <c r="N333" s="12"/>
      <c r="O333" s="12"/>
      <c r="P333" s="12"/>
      <c r="Q333" s="12"/>
      <c r="R333" s="12"/>
      <c r="S333" s="12"/>
      <c r="T333" s="12"/>
      <c r="U333" s="12"/>
      <c r="V333" s="12"/>
      <c r="W333" s="7"/>
      <c r="X333" s="12"/>
      <c r="Y333" s="7"/>
      <c r="Z333" s="7"/>
      <c r="AA333" s="7"/>
      <c r="AB333" s="8">
        <f t="shared" si="7"/>
        <v>99999.999999999985</v>
      </c>
      <c r="AC333" s="7"/>
      <c r="AD333" s="4"/>
      <c r="AE333" s="4"/>
      <c r="AF333" s="4"/>
      <c r="AG333" s="4"/>
      <c r="AH333" s="9"/>
      <c r="AI333" s="9"/>
      <c r="AJ333" s="9"/>
      <c r="AK333" s="9" t="s">
        <v>30</v>
      </c>
      <c r="AL333" s="10"/>
      <c r="AM333" s="10"/>
      <c r="AN333" s="10"/>
      <c r="AO333" s="10"/>
      <c r="AP333" s="10"/>
      <c r="AQ333" s="11">
        <v>13</v>
      </c>
      <c r="AR333" s="4"/>
      <c r="AS333" s="10"/>
      <c r="AT333" s="10"/>
      <c r="AU333" s="10"/>
      <c r="AV333" s="10"/>
      <c r="AW333" s="10"/>
      <c r="AX333" s="10"/>
      <c r="AY333" s="10"/>
      <c r="AZ333" s="10"/>
      <c r="BA333" s="10"/>
      <c r="BB333" s="10"/>
      <c r="BC333" s="10"/>
      <c r="BD333" s="10"/>
    </row>
    <row r="334" spans="1:56" ht="29" x14ac:dyDescent="0.35">
      <c r="A334" s="4" t="s">
        <v>586</v>
      </c>
      <c r="B334" s="4"/>
      <c r="C334" s="4" t="s">
        <v>139</v>
      </c>
      <c r="D334" s="4" t="s">
        <v>23</v>
      </c>
      <c r="E334" s="5" t="s">
        <v>34</v>
      </c>
      <c r="F334" s="4" t="s">
        <v>678</v>
      </c>
      <c r="G334" s="4" t="s">
        <v>26</v>
      </c>
      <c r="H334" s="4" t="s">
        <v>638</v>
      </c>
      <c r="I334" s="12"/>
      <c r="J334" s="12"/>
      <c r="K334" s="12"/>
      <c r="L334" s="12"/>
      <c r="M334" s="67"/>
      <c r="N334" s="12"/>
      <c r="O334" s="12"/>
      <c r="P334" s="12"/>
      <c r="Q334" s="12"/>
      <c r="R334" s="12"/>
      <c r="S334" s="12"/>
      <c r="T334" s="12"/>
      <c r="U334" s="12"/>
      <c r="V334" s="12"/>
      <c r="W334" s="7"/>
      <c r="X334" s="12"/>
      <c r="Y334" s="7"/>
      <c r="Z334" s="7"/>
      <c r="AA334" s="7"/>
      <c r="AB334" s="8">
        <f t="shared" si="7"/>
        <v>99999.999999999985</v>
      </c>
      <c r="AC334" s="7"/>
      <c r="AD334" s="4"/>
      <c r="AE334" s="4"/>
      <c r="AF334" s="4"/>
      <c r="AG334" s="4"/>
      <c r="AH334" s="9"/>
      <c r="AI334" s="9"/>
      <c r="AJ334" s="9"/>
      <c r="AK334" s="9" t="s">
        <v>30</v>
      </c>
      <c r="AL334" s="10"/>
      <c r="AM334" s="10"/>
      <c r="AN334" s="10"/>
      <c r="AO334" s="10"/>
      <c r="AP334" s="10"/>
      <c r="AQ334" s="11">
        <v>13</v>
      </c>
      <c r="AR334" s="4"/>
      <c r="AS334" s="10"/>
      <c r="AT334" s="10"/>
      <c r="AU334" s="10"/>
      <c r="AV334" s="10"/>
      <c r="AW334" s="10"/>
      <c r="AX334" s="10"/>
      <c r="AY334" s="10"/>
      <c r="AZ334" s="10"/>
      <c r="BA334" s="10"/>
      <c r="BB334" s="10"/>
      <c r="BC334" s="10"/>
      <c r="BD334" s="10"/>
    </row>
    <row r="335" spans="1:56" ht="29" x14ac:dyDescent="0.35">
      <c r="A335" s="4" t="s">
        <v>590</v>
      </c>
      <c r="B335" s="4"/>
      <c r="C335" s="4" t="s">
        <v>139</v>
      </c>
      <c r="D335" s="4" t="s">
        <v>23</v>
      </c>
      <c r="E335" s="5" t="s">
        <v>34</v>
      </c>
      <c r="F335" s="4" t="s">
        <v>678</v>
      </c>
      <c r="G335" s="4" t="s">
        <v>26</v>
      </c>
      <c r="H335" s="4" t="s">
        <v>651</v>
      </c>
      <c r="I335" s="12"/>
      <c r="J335" s="12"/>
      <c r="K335" s="12"/>
      <c r="L335" s="12"/>
      <c r="M335" s="67"/>
      <c r="N335" s="12"/>
      <c r="O335" s="12"/>
      <c r="P335" s="12"/>
      <c r="Q335" s="12"/>
      <c r="R335" s="12"/>
      <c r="S335" s="12"/>
      <c r="T335" s="12"/>
      <c r="U335" s="12"/>
      <c r="V335" s="12"/>
      <c r="W335" s="7"/>
      <c r="X335" s="12"/>
      <c r="Y335" s="7"/>
      <c r="Z335" s="7"/>
      <c r="AA335" s="7"/>
      <c r="AB335" s="8">
        <f t="shared" si="7"/>
        <v>99999.999999999985</v>
      </c>
      <c r="AC335" s="7"/>
      <c r="AD335" s="4"/>
      <c r="AE335" s="4"/>
      <c r="AF335" s="4"/>
      <c r="AG335" s="4"/>
      <c r="AH335" s="9"/>
      <c r="AI335" s="9"/>
      <c r="AJ335" s="9"/>
      <c r="AK335" s="9" t="s">
        <v>30</v>
      </c>
      <c r="AL335" s="10"/>
      <c r="AM335" s="10"/>
      <c r="AN335" s="10"/>
      <c r="AO335" s="10"/>
      <c r="AP335" s="10"/>
      <c r="AQ335" s="11">
        <v>13</v>
      </c>
      <c r="AR335" s="4"/>
      <c r="AS335" s="10"/>
      <c r="AT335" s="10"/>
      <c r="AU335" s="10"/>
      <c r="AV335" s="10"/>
      <c r="AW335" s="10"/>
      <c r="AX335" s="10"/>
      <c r="AY335" s="10"/>
      <c r="AZ335" s="10"/>
      <c r="BA335" s="10"/>
      <c r="BB335" s="10"/>
      <c r="BC335" s="10"/>
      <c r="BD335" s="10"/>
    </row>
    <row r="336" spans="1:56" ht="29" x14ac:dyDescent="0.35">
      <c r="A336" s="4" t="s">
        <v>591</v>
      </c>
      <c r="B336" s="4"/>
      <c r="C336" s="4" t="s">
        <v>139</v>
      </c>
      <c r="D336" s="4" t="s">
        <v>23</v>
      </c>
      <c r="E336" s="5" t="s">
        <v>34</v>
      </c>
      <c r="F336" s="4" t="s">
        <v>678</v>
      </c>
      <c r="G336" s="4" t="s">
        <v>26</v>
      </c>
      <c r="H336" s="4" t="s">
        <v>1053</v>
      </c>
      <c r="I336" s="12"/>
      <c r="J336" s="12"/>
      <c r="K336" s="12"/>
      <c r="L336" s="12"/>
      <c r="M336" s="67"/>
      <c r="N336" s="12"/>
      <c r="O336" s="12"/>
      <c r="P336" s="12"/>
      <c r="Q336" s="12"/>
      <c r="R336" s="12"/>
      <c r="S336" s="12"/>
      <c r="T336" s="12"/>
      <c r="U336" s="12"/>
      <c r="V336" s="12"/>
      <c r="W336" s="7"/>
      <c r="X336" s="12"/>
      <c r="Y336" s="7"/>
      <c r="Z336" s="7"/>
      <c r="AA336" s="7"/>
      <c r="AB336" s="8">
        <f>1/(6*10^-6)</f>
        <v>166666.66666666666</v>
      </c>
      <c r="AC336" s="8"/>
      <c r="AD336" s="4"/>
      <c r="AE336" s="4"/>
      <c r="AF336" s="4"/>
      <c r="AG336" s="4"/>
      <c r="AH336" s="9"/>
      <c r="AI336" s="9"/>
      <c r="AJ336" s="9"/>
      <c r="AK336" s="9" t="s">
        <v>30</v>
      </c>
      <c r="AL336" s="10"/>
      <c r="AM336" s="10"/>
      <c r="AN336" s="10"/>
      <c r="AO336" s="10"/>
      <c r="AP336" s="10"/>
      <c r="AQ336" s="11">
        <v>13</v>
      </c>
      <c r="AR336" s="4"/>
      <c r="AS336" s="10"/>
      <c r="AT336" s="10"/>
      <c r="AU336" s="10"/>
      <c r="AV336" s="10"/>
      <c r="AW336" s="10"/>
      <c r="AX336" s="10"/>
      <c r="AY336" s="10"/>
      <c r="AZ336" s="10"/>
      <c r="BA336" s="10"/>
      <c r="BB336" s="10"/>
      <c r="BC336" s="10"/>
      <c r="BD336" s="10"/>
    </row>
    <row r="337" spans="1:56" ht="29" x14ac:dyDescent="0.35">
      <c r="A337" s="4" t="s">
        <v>618</v>
      </c>
      <c r="B337" s="4"/>
      <c r="C337" s="4" t="s">
        <v>139</v>
      </c>
      <c r="D337" s="4" t="s">
        <v>23</v>
      </c>
      <c r="E337" s="5" t="s">
        <v>34</v>
      </c>
      <c r="F337" s="4" t="s">
        <v>678</v>
      </c>
      <c r="G337" s="4" t="s">
        <v>26</v>
      </c>
      <c r="H337" s="4" t="s">
        <v>635</v>
      </c>
      <c r="I337" s="12"/>
      <c r="J337" s="12"/>
      <c r="K337" s="12"/>
      <c r="L337" s="12"/>
      <c r="M337" s="67"/>
      <c r="N337" s="12"/>
      <c r="O337" s="12"/>
      <c r="P337" s="12"/>
      <c r="Q337" s="12"/>
      <c r="R337" s="12"/>
      <c r="S337" s="12"/>
      <c r="T337" s="12"/>
      <c r="U337" s="12"/>
      <c r="V337" s="12"/>
      <c r="W337" s="7"/>
      <c r="X337" s="12"/>
      <c r="Y337" s="7"/>
      <c r="Z337" s="7"/>
      <c r="AA337" s="7"/>
      <c r="AB337" s="8">
        <f>1/(10^-5)</f>
        <v>99999.999999999985</v>
      </c>
      <c r="AC337" s="7"/>
      <c r="AD337" s="4"/>
      <c r="AE337" s="4"/>
      <c r="AF337" s="4"/>
      <c r="AG337" s="4"/>
      <c r="AH337" s="9"/>
      <c r="AI337" s="9"/>
      <c r="AJ337" s="9"/>
      <c r="AK337" s="9" t="s">
        <v>30</v>
      </c>
      <c r="AL337" s="10"/>
      <c r="AM337" s="10"/>
      <c r="AN337" s="10"/>
      <c r="AO337" s="10"/>
      <c r="AP337" s="10"/>
      <c r="AQ337" s="11">
        <v>13</v>
      </c>
      <c r="AR337" s="4"/>
      <c r="AS337" s="10"/>
      <c r="AT337" s="10"/>
      <c r="AU337" s="10"/>
      <c r="AV337" s="10"/>
      <c r="AW337" s="10"/>
      <c r="AX337" s="10"/>
      <c r="AY337" s="10"/>
      <c r="AZ337" s="10"/>
      <c r="BA337" s="10"/>
      <c r="BB337" s="10"/>
      <c r="BC337" s="10"/>
      <c r="BD337" s="10"/>
    </row>
    <row r="338" spans="1:56" ht="29" x14ac:dyDescent="0.35">
      <c r="A338" s="4" t="s">
        <v>681</v>
      </c>
      <c r="B338" s="4"/>
      <c r="C338" s="4" t="s">
        <v>528</v>
      </c>
      <c r="D338" s="4" t="s">
        <v>23</v>
      </c>
      <c r="E338" s="5" t="s">
        <v>34</v>
      </c>
      <c r="F338" s="4"/>
      <c r="G338" s="4" t="s">
        <v>26</v>
      </c>
      <c r="H338" s="4" t="s">
        <v>682</v>
      </c>
      <c r="I338" s="12">
        <v>106</v>
      </c>
      <c r="J338" s="12">
        <v>106</v>
      </c>
      <c r="K338" s="12"/>
      <c r="L338" s="12">
        <v>0.1</v>
      </c>
      <c r="M338" s="67"/>
      <c r="N338" s="12"/>
      <c r="O338" s="12"/>
      <c r="P338" s="12"/>
      <c r="Q338" s="12"/>
      <c r="R338" s="12"/>
      <c r="S338" s="12"/>
      <c r="T338" s="12"/>
      <c r="U338" s="12"/>
      <c r="V338" s="12"/>
      <c r="W338" s="7"/>
      <c r="X338" s="12"/>
      <c r="Y338" s="7"/>
      <c r="Z338" s="7"/>
      <c r="AA338" s="7"/>
      <c r="AB338" s="8"/>
      <c r="AC338" s="7"/>
      <c r="AD338" s="4"/>
      <c r="AE338" s="4"/>
      <c r="AF338" s="4"/>
      <c r="AG338" s="4"/>
      <c r="AH338" s="9"/>
      <c r="AI338" s="9"/>
      <c r="AJ338" s="9"/>
      <c r="AK338" s="9" t="s">
        <v>30</v>
      </c>
      <c r="AL338" s="10"/>
      <c r="AM338" s="10"/>
      <c r="AN338" s="10"/>
      <c r="AO338" s="10"/>
      <c r="AP338" s="10"/>
      <c r="AQ338" s="11">
        <v>9</v>
      </c>
      <c r="AR338" s="4"/>
      <c r="AS338" s="10"/>
      <c r="AT338" s="10"/>
      <c r="AU338" s="10"/>
      <c r="AV338" s="10"/>
      <c r="AW338" s="10"/>
      <c r="AX338" s="10"/>
      <c r="AY338" s="10"/>
      <c r="AZ338" s="10"/>
      <c r="BA338" s="10"/>
      <c r="BB338" s="10"/>
      <c r="BC338" s="10"/>
      <c r="BD338" s="10"/>
    </row>
    <row r="339" spans="1:56" ht="29" x14ac:dyDescent="0.35">
      <c r="A339" s="4" t="s">
        <v>683</v>
      </c>
      <c r="B339" s="4"/>
      <c r="C339" s="4" t="s">
        <v>528</v>
      </c>
      <c r="D339" s="4" t="s">
        <v>23</v>
      </c>
      <c r="E339" s="5" t="s">
        <v>34</v>
      </c>
      <c r="F339" s="4"/>
      <c r="G339" s="4" t="s">
        <v>26</v>
      </c>
      <c r="H339" s="4" t="s">
        <v>684</v>
      </c>
      <c r="I339" s="12">
        <v>34</v>
      </c>
      <c r="J339" s="12">
        <v>34</v>
      </c>
      <c r="K339" s="12"/>
      <c r="L339" s="12">
        <v>0.04</v>
      </c>
      <c r="M339" s="67"/>
      <c r="N339" s="12"/>
      <c r="O339" s="12"/>
      <c r="P339" s="12"/>
      <c r="Q339" s="12"/>
      <c r="R339" s="12"/>
      <c r="S339" s="12"/>
      <c r="T339" s="12"/>
      <c r="U339" s="12"/>
      <c r="V339" s="12"/>
      <c r="W339" s="7"/>
      <c r="X339" s="12"/>
      <c r="Y339" s="7"/>
      <c r="Z339" s="7"/>
      <c r="AA339" s="7"/>
      <c r="AB339" s="8"/>
      <c r="AC339" s="7"/>
      <c r="AD339" s="4"/>
      <c r="AE339" s="4"/>
      <c r="AF339" s="4"/>
      <c r="AG339" s="4"/>
      <c r="AH339" s="9"/>
      <c r="AI339" s="9"/>
      <c r="AJ339" s="9"/>
      <c r="AK339" s="9" t="s">
        <v>30</v>
      </c>
      <c r="AL339" s="10"/>
      <c r="AM339" s="10"/>
      <c r="AN339" s="10"/>
      <c r="AO339" s="10"/>
      <c r="AP339" s="10"/>
      <c r="AQ339" s="11">
        <v>9</v>
      </c>
      <c r="AR339" s="4"/>
      <c r="AS339" s="10"/>
      <c r="AT339" s="10"/>
      <c r="AU339" s="10"/>
      <c r="AV339" s="10"/>
      <c r="AW339" s="10"/>
      <c r="AX339" s="10"/>
      <c r="AY339" s="10"/>
      <c r="AZ339" s="10"/>
      <c r="BA339" s="10"/>
      <c r="BB339" s="10"/>
      <c r="BC339" s="10"/>
      <c r="BD339" s="10"/>
    </row>
    <row r="340" spans="1:56" ht="43.5" x14ac:dyDescent="0.35">
      <c r="A340" s="4" t="s">
        <v>1060</v>
      </c>
      <c r="B340" s="4"/>
      <c r="C340" s="4" t="s">
        <v>528</v>
      </c>
      <c r="D340" s="4" t="s">
        <v>23</v>
      </c>
      <c r="E340" s="5" t="s">
        <v>34</v>
      </c>
      <c r="F340" s="4"/>
      <c r="G340" s="4" t="s">
        <v>26</v>
      </c>
      <c r="H340" s="65" t="s">
        <v>1061</v>
      </c>
      <c r="I340" s="12" t="s">
        <v>841</v>
      </c>
      <c r="J340" s="12">
        <v>163.19999999999999</v>
      </c>
      <c r="K340" s="12"/>
      <c r="L340" s="12" t="s">
        <v>842</v>
      </c>
      <c r="M340" s="67">
        <v>0.59</v>
      </c>
      <c r="N340" s="12"/>
      <c r="O340" s="12"/>
      <c r="P340" s="12"/>
      <c r="Q340" s="12"/>
      <c r="R340" s="12"/>
      <c r="S340" s="12"/>
      <c r="T340" s="12"/>
      <c r="U340" s="12"/>
      <c r="V340" s="12"/>
      <c r="W340" s="7"/>
      <c r="X340" s="12"/>
      <c r="Y340" s="7"/>
      <c r="Z340" s="7"/>
      <c r="AA340" s="7"/>
      <c r="AB340" s="8"/>
      <c r="AC340" s="7"/>
      <c r="AD340" s="4"/>
      <c r="AE340" s="4"/>
      <c r="AF340" s="4"/>
      <c r="AG340" s="4"/>
      <c r="AH340" s="9"/>
      <c r="AI340" s="9"/>
      <c r="AJ340" s="9"/>
      <c r="AK340" s="9" t="s">
        <v>30</v>
      </c>
      <c r="AL340" s="10"/>
      <c r="AM340" s="10"/>
      <c r="AN340" s="10"/>
      <c r="AO340" s="10"/>
      <c r="AP340" s="10"/>
      <c r="AQ340" s="11"/>
      <c r="AR340" s="4"/>
      <c r="AS340" s="10"/>
      <c r="AT340" s="10"/>
      <c r="AU340" s="10"/>
      <c r="AV340" s="10"/>
      <c r="AW340" s="10"/>
      <c r="AX340" s="10"/>
      <c r="AY340" s="10"/>
      <c r="AZ340" s="10"/>
      <c r="BA340" s="10"/>
      <c r="BB340" s="10"/>
      <c r="BC340" s="10"/>
      <c r="BD340" s="10"/>
    </row>
    <row r="341" spans="1:56" ht="29" x14ac:dyDescent="0.35">
      <c r="A341" s="4" t="s">
        <v>685</v>
      </c>
      <c r="B341" s="4"/>
      <c r="C341" s="4"/>
      <c r="D341" s="4" t="s">
        <v>23</v>
      </c>
      <c r="E341" s="5" t="s">
        <v>34</v>
      </c>
      <c r="F341" s="4"/>
      <c r="G341" s="4" t="s">
        <v>26</v>
      </c>
      <c r="H341" s="65" t="s">
        <v>1062</v>
      </c>
      <c r="I341" s="12"/>
      <c r="J341" s="12"/>
      <c r="K341" s="12"/>
      <c r="L341" s="12"/>
      <c r="M341" s="67"/>
      <c r="N341" s="12"/>
      <c r="O341" s="12"/>
      <c r="P341" s="12"/>
      <c r="Q341" s="12"/>
      <c r="R341" s="12">
        <v>0</v>
      </c>
      <c r="S341" s="12"/>
      <c r="T341" s="12"/>
      <c r="U341" s="12"/>
      <c r="V341" s="12"/>
      <c r="W341" s="7"/>
      <c r="X341" s="12"/>
      <c r="Y341" s="7"/>
      <c r="Z341" s="7"/>
      <c r="AA341" s="7"/>
      <c r="AB341" s="8"/>
      <c r="AC341" s="7"/>
      <c r="AD341" s="4"/>
      <c r="AE341" s="4"/>
      <c r="AF341" s="4"/>
      <c r="AG341" s="4"/>
      <c r="AH341" s="9"/>
      <c r="AI341" s="9"/>
      <c r="AJ341" s="9"/>
      <c r="AK341" s="9" t="s">
        <v>30</v>
      </c>
      <c r="AL341" s="10"/>
      <c r="AM341" s="10"/>
      <c r="AN341" s="10"/>
      <c r="AO341" s="10"/>
      <c r="AP341" s="10"/>
      <c r="AQ341" s="11">
        <v>33</v>
      </c>
      <c r="AR341" s="4" t="s">
        <v>32</v>
      </c>
      <c r="AS341" s="10"/>
      <c r="AT341" s="10"/>
      <c r="AU341" s="10"/>
      <c r="AV341" s="10"/>
      <c r="AW341" s="10"/>
      <c r="AX341" s="10"/>
      <c r="AY341" s="10"/>
      <c r="AZ341" s="10"/>
      <c r="BA341" s="10"/>
      <c r="BB341" s="10"/>
      <c r="BC341" s="10">
        <v>922</v>
      </c>
      <c r="BD341" s="10">
        <v>8274</v>
      </c>
    </row>
    <row r="342" spans="1:56" ht="29" x14ac:dyDescent="0.35">
      <c r="A342" s="4" t="s">
        <v>686</v>
      </c>
      <c r="B342" s="4"/>
      <c r="C342" s="4"/>
      <c r="D342" s="4" t="s">
        <v>23</v>
      </c>
      <c r="E342" s="5" t="s">
        <v>34</v>
      </c>
      <c r="F342" s="4"/>
      <c r="G342" s="4" t="s">
        <v>26</v>
      </c>
      <c r="H342" s="4" t="s">
        <v>1063</v>
      </c>
      <c r="I342" s="12"/>
      <c r="J342" s="12"/>
      <c r="K342" s="12"/>
      <c r="L342" s="12"/>
      <c r="M342" s="67"/>
      <c r="N342" s="12"/>
      <c r="O342" s="12"/>
      <c r="P342" s="12"/>
      <c r="Q342" s="12"/>
      <c r="R342" s="12">
        <v>0</v>
      </c>
      <c r="S342" s="12"/>
      <c r="T342" s="12"/>
      <c r="U342" s="12"/>
      <c r="V342" s="12"/>
      <c r="W342" s="7"/>
      <c r="X342" s="12"/>
      <c r="Y342" s="7"/>
      <c r="Z342" s="7"/>
      <c r="AA342" s="7"/>
      <c r="AB342" s="8"/>
      <c r="AC342" s="7"/>
      <c r="AD342" s="4"/>
      <c r="AE342" s="4"/>
      <c r="AF342" s="4"/>
      <c r="AG342" s="4"/>
      <c r="AH342" s="9"/>
      <c r="AI342" s="9"/>
      <c r="AJ342" s="9"/>
      <c r="AK342" s="9" t="s">
        <v>30</v>
      </c>
      <c r="AL342" s="10"/>
      <c r="AM342" s="10"/>
      <c r="AN342" s="10"/>
      <c r="AO342" s="10"/>
      <c r="AP342" s="10"/>
      <c r="AQ342" s="11">
        <v>33</v>
      </c>
      <c r="AR342" s="4" t="s">
        <v>32</v>
      </c>
      <c r="AS342" s="10"/>
      <c r="AT342" s="10"/>
      <c r="AU342" s="10"/>
      <c r="AV342" s="10"/>
      <c r="AW342" s="10"/>
      <c r="AX342" s="10"/>
      <c r="AY342" s="10"/>
      <c r="AZ342" s="10"/>
      <c r="BA342" s="10"/>
      <c r="BB342" s="10"/>
      <c r="BC342" s="10" t="s">
        <v>687</v>
      </c>
      <c r="BD342" s="10">
        <v>1724</v>
      </c>
    </row>
    <row r="343" spans="1:56" ht="116" x14ac:dyDescent="0.35">
      <c r="A343" s="4" t="s">
        <v>688</v>
      </c>
      <c r="B343" s="4" t="s">
        <v>1493</v>
      </c>
      <c r="C343" s="4" t="s">
        <v>22</v>
      </c>
      <c r="D343" s="4" t="s">
        <v>33</v>
      </c>
      <c r="E343" s="5" t="s">
        <v>34</v>
      </c>
      <c r="F343" s="4"/>
      <c r="G343" s="4" t="s">
        <v>35</v>
      </c>
      <c r="H343" s="65" t="s">
        <v>689</v>
      </c>
      <c r="I343" s="12" t="s">
        <v>1064</v>
      </c>
      <c r="J343" s="12">
        <v>80</v>
      </c>
      <c r="K343" s="12"/>
      <c r="L343" s="12" t="s">
        <v>1065</v>
      </c>
      <c r="M343" s="67">
        <v>0.15</v>
      </c>
      <c r="N343" s="12"/>
      <c r="O343" s="12"/>
      <c r="P343" s="12"/>
      <c r="Q343" s="12"/>
      <c r="R343" s="12" t="s">
        <v>690</v>
      </c>
      <c r="S343" s="12">
        <v>122</v>
      </c>
      <c r="T343" s="12"/>
      <c r="U343" s="12">
        <v>64</v>
      </c>
      <c r="V343" s="12">
        <v>64</v>
      </c>
      <c r="W343" s="7"/>
      <c r="X343" s="12"/>
      <c r="Y343" s="7" t="s">
        <v>691</v>
      </c>
      <c r="Z343" s="7">
        <v>3</v>
      </c>
      <c r="AA343" s="7">
        <v>0.5</v>
      </c>
      <c r="AB343" s="8"/>
      <c r="AC343" s="7"/>
      <c r="AD343" s="4"/>
      <c r="AE343" s="4"/>
      <c r="AF343" s="4"/>
      <c r="AG343" s="4"/>
      <c r="AH343" s="9"/>
      <c r="AI343" s="9"/>
      <c r="AJ343" s="9"/>
      <c r="AK343" s="9"/>
      <c r="AL343" s="10"/>
      <c r="AM343" s="10"/>
      <c r="AN343" s="10"/>
      <c r="AO343" s="10"/>
      <c r="AP343" s="10"/>
      <c r="AQ343" s="11">
        <v>34</v>
      </c>
      <c r="AR343" s="4"/>
      <c r="AS343" s="515"/>
      <c r="AT343" s="10" t="s">
        <v>1081</v>
      </c>
      <c r="AU343" s="10"/>
      <c r="AV343" s="10"/>
      <c r="AW343" s="10"/>
      <c r="AX343" s="10"/>
      <c r="AY343" s="10"/>
      <c r="AZ343" s="10"/>
      <c r="BA343" s="10"/>
      <c r="BB343" s="10"/>
      <c r="BC343" s="10"/>
      <c r="BD343" s="10"/>
    </row>
    <row r="344" spans="1:56" ht="43.5" x14ac:dyDescent="0.35">
      <c r="A344" s="4" t="s">
        <v>692</v>
      </c>
      <c r="B344" s="4" t="s">
        <v>1494</v>
      </c>
      <c r="C344" s="29" t="s">
        <v>22</v>
      </c>
      <c r="D344" s="30" t="s">
        <v>33</v>
      </c>
      <c r="E344" s="31" t="s">
        <v>34</v>
      </c>
      <c r="F344" s="30"/>
      <c r="G344" s="30" t="s">
        <v>35</v>
      </c>
      <c r="H344" s="65" t="s">
        <v>1066</v>
      </c>
      <c r="I344" s="12" t="s">
        <v>759</v>
      </c>
      <c r="J344" s="12">
        <f>114.3/4*0.75</f>
        <v>21.431249999999999</v>
      </c>
      <c r="K344" s="12">
        <v>0.75</v>
      </c>
      <c r="L344" s="12" t="s">
        <v>760</v>
      </c>
      <c r="M344" s="67">
        <f>0.197/4*0.75</f>
        <v>3.6937499999999998E-2</v>
      </c>
      <c r="N344" s="12">
        <v>0.75</v>
      </c>
      <c r="O344" s="12" t="s">
        <v>693</v>
      </c>
      <c r="P344" s="12">
        <f>566/4</f>
        <v>141.5</v>
      </c>
      <c r="Q344" s="12">
        <v>0.75</v>
      </c>
      <c r="R344" s="12" t="s">
        <v>694</v>
      </c>
      <c r="S344" s="12">
        <f>763/4</f>
        <v>190.75</v>
      </c>
      <c r="T344" s="12">
        <v>0.75</v>
      </c>
      <c r="U344" s="12">
        <v>17.145</v>
      </c>
      <c r="V344" s="12">
        <v>17.145</v>
      </c>
      <c r="W344" s="7"/>
      <c r="X344" s="12"/>
      <c r="Y344" s="7">
        <v>4</v>
      </c>
      <c r="Z344" s="7">
        <v>4</v>
      </c>
      <c r="AA344" s="7">
        <v>0.75</v>
      </c>
      <c r="AB344" s="8"/>
      <c r="AC344" s="7"/>
      <c r="AD344" s="4"/>
      <c r="AE344" s="4"/>
      <c r="AF344" s="4"/>
      <c r="AG344" s="4"/>
      <c r="AH344" s="9"/>
      <c r="AI344" s="9"/>
      <c r="AJ344" s="9"/>
      <c r="AK344" s="9" t="s">
        <v>697</v>
      </c>
      <c r="AL344" s="10"/>
      <c r="AM344" s="10"/>
      <c r="AN344" s="10"/>
      <c r="AO344" s="10"/>
      <c r="AP344" s="10"/>
      <c r="AQ344" s="11" t="s">
        <v>698</v>
      </c>
      <c r="AR344" s="4"/>
      <c r="AS344" s="22"/>
      <c r="AT344" s="10" t="s">
        <v>1081</v>
      </c>
      <c r="AU344" s="10"/>
      <c r="AV344" s="10"/>
      <c r="AW344" s="10"/>
      <c r="AX344" s="10"/>
      <c r="AY344" s="10"/>
      <c r="AZ344" s="10"/>
      <c r="BA344" s="10"/>
      <c r="BB344" s="10"/>
      <c r="BC344" s="10" t="s">
        <v>695</v>
      </c>
      <c r="BD344" s="10" t="s">
        <v>696</v>
      </c>
    </row>
    <row r="345" spans="1:56" ht="43.5" x14ac:dyDescent="0.35">
      <c r="A345" s="4" t="s">
        <v>699</v>
      </c>
      <c r="B345" s="4" t="s">
        <v>1495</v>
      </c>
      <c r="C345" s="23" t="s">
        <v>139</v>
      </c>
      <c r="D345" s="23" t="s">
        <v>23</v>
      </c>
      <c r="E345" s="24" t="s">
        <v>34</v>
      </c>
      <c r="F345" s="23"/>
      <c r="G345" s="23" t="s">
        <v>35</v>
      </c>
      <c r="H345" s="4" t="s">
        <v>1067</v>
      </c>
      <c r="I345" s="12">
        <v>50</v>
      </c>
      <c r="J345" s="12">
        <v>50</v>
      </c>
      <c r="K345" s="12"/>
      <c r="L345" s="12">
        <v>0.2</v>
      </c>
      <c r="M345" s="67">
        <v>0.2</v>
      </c>
      <c r="N345" s="12"/>
      <c r="O345" s="12"/>
      <c r="P345" s="12"/>
      <c r="Q345" s="12"/>
      <c r="R345" s="12">
        <v>800</v>
      </c>
      <c r="S345" s="12">
        <v>800</v>
      </c>
      <c r="T345" s="12"/>
      <c r="U345" s="12">
        <v>31</v>
      </c>
      <c r="V345" s="12">
        <v>31</v>
      </c>
      <c r="W345" s="7"/>
      <c r="X345" s="12"/>
      <c r="Y345" s="7">
        <v>4</v>
      </c>
      <c r="Z345" s="7">
        <v>4</v>
      </c>
      <c r="AA345" s="7">
        <v>0.75</v>
      </c>
      <c r="AB345" s="8"/>
      <c r="AC345" s="7"/>
      <c r="AD345" s="4"/>
      <c r="AE345" s="4"/>
      <c r="AF345" s="4"/>
      <c r="AG345" s="4"/>
      <c r="AH345" s="9"/>
      <c r="AI345" s="9"/>
      <c r="AJ345" s="9"/>
      <c r="AK345" s="9" t="s">
        <v>700</v>
      </c>
      <c r="AL345" s="10"/>
      <c r="AM345" s="10"/>
      <c r="AN345" s="10"/>
      <c r="AO345" s="10"/>
      <c r="AP345" s="10"/>
      <c r="AQ345" s="11">
        <v>34</v>
      </c>
      <c r="AR345" s="4"/>
      <c r="AS345" s="70" t="s">
        <v>879</v>
      </c>
      <c r="AT345" s="10"/>
      <c r="AU345" s="10"/>
      <c r="AV345" s="10"/>
      <c r="AW345" s="10"/>
      <c r="AX345" s="10"/>
      <c r="AY345" s="10"/>
      <c r="AZ345" s="10"/>
      <c r="BA345" s="10"/>
      <c r="BB345" s="10"/>
      <c r="BC345" s="10"/>
      <c r="BD345" s="10"/>
    </row>
    <row r="346" spans="1:56" ht="29" x14ac:dyDescent="0.35">
      <c r="A346" s="4" t="s">
        <v>701</v>
      </c>
      <c r="B346" s="4" t="s">
        <v>1496</v>
      </c>
      <c r="C346" s="4" t="s">
        <v>46</v>
      </c>
      <c r="D346" s="4" t="s">
        <v>47</v>
      </c>
      <c r="E346" s="5" t="s">
        <v>34</v>
      </c>
      <c r="F346" s="4"/>
      <c r="G346" s="4" t="s">
        <v>35</v>
      </c>
      <c r="H346" s="4" t="s">
        <v>1068</v>
      </c>
      <c r="I346" s="12"/>
      <c r="J346" s="12"/>
      <c r="K346" s="12"/>
      <c r="L346" s="12"/>
      <c r="M346" s="67"/>
      <c r="N346" s="12"/>
      <c r="O346" s="12"/>
      <c r="P346" s="12"/>
      <c r="Q346" s="12"/>
      <c r="R346" s="12"/>
      <c r="S346" s="12"/>
      <c r="T346" s="12"/>
      <c r="U346" s="12"/>
      <c r="V346" s="12"/>
      <c r="W346" s="7"/>
      <c r="X346" s="12"/>
      <c r="Y346" s="7">
        <v>4</v>
      </c>
      <c r="Z346" s="7">
        <v>4</v>
      </c>
      <c r="AA346" s="7">
        <v>0.75</v>
      </c>
      <c r="AB346" s="8"/>
      <c r="AC346" s="7"/>
      <c r="AD346" s="4"/>
      <c r="AE346" s="4"/>
      <c r="AF346" s="4"/>
      <c r="AG346" s="4"/>
      <c r="AH346" s="9"/>
      <c r="AI346" s="9"/>
      <c r="AJ346" s="9"/>
      <c r="AK346" s="9"/>
      <c r="AL346" s="10"/>
      <c r="AM346" s="10"/>
      <c r="AN346" s="10"/>
      <c r="AO346" s="10"/>
      <c r="AP346" s="10"/>
      <c r="AQ346" s="11">
        <v>55</v>
      </c>
      <c r="AR346" s="25"/>
      <c r="AS346" s="10"/>
      <c r="AT346" s="10" t="s">
        <v>860</v>
      </c>
      <c r="AU346" s="10"/>
      <c r="AV346" s="10"/>
      <c r="AW346" s="10"/>
      <c r="AX346" s="10"/>
      <c r="AY346" s="10"/>
      <c r="AZ346" s="10"/>
      <c r="BA346" s="10"/>
      <c r="BB346" s="10"/>
      <c r="BC346" s="10"/>
      <c r="BD346" s="10"/>
    </row>
    <row r="347" spans="1:56" ht="43.5" x14ac:dyDescent="0.35">
      <c r="A347" s="4" t="s">
        <v>702</v>
      </c>
      <c r="B347" s="4" t="s">
        <v>1497</v>
      </c>
      <c r="C347" s="4" t="s">
        <v>46</v>
      </c>
      <c r="D347" s="4" t="s">
        <v>165</v>
      </c>
      <c r="E347" s="5" t="s">
        <v>34</v>
      </c>
      <c r="F347" s="4"/>
      <c r="G347" s="4" t="s">
        <v>35</v>
      </c>
      <c r="H347" s="4" t="s">
        <v>1069</v>
      </c>
      <c r="I347" s="12"/>
      <c r="J347" s="12"/>
      <c r="K347" s="12"/>
      <c r="L347" s="12"/>
      <c r="M347" s="67"/>
      <c r="N347" s="12"/>
      <c r="O347" s="12"/>
      <c r="P347" s="12"/>
      <c r="Q347" s="12"/>
      <c r="R347" s="12"/>
      <c r="S347" s="12"/>
      <c r="T347" s="12"/>
      <c r="U347" s="12"/>
      <c r="V347" s="12"/>
      <c r="W347" s="7"/>
      <c r="X347" s="12"/>
      <c r="Y347" s="7"/>
      <c r="Z347" s="7">
        <v>3</v>
      </c>
      <c r="AA347" s="7">
        <v>0.5</v>
      </c>
      <c r="AB347" s="8"/>
      <c r="AC347" s="7"/>
      <c r="AD347" s="4"/>
      <c r="AE347" s="4"/>
      <c r="AF347" s="4"/>
      <c r="AG347" s="4"/>
      <c r="AH347" s="9"/>
      <c r="AI347" s="9"/>
      <c r="AJ347" s="9"/>
      <c r="AK347" s="9"/>
      <c r="AL347" s="10"/>
      <c r="AM347" s="10"/>
      <c r="AN347" s="10"/>
      <c r="AO347" s="10"/>
      <c r="AP347" s="10"/>
      <c r="AQ347" s="11"/>
      <c r="AR347" s="25"/>
      <c r="AS347" s="10"/>
      <c r="AT347" s="10" t="s">
        <v>879</v>
      </c>
      <c r="AU347" s="10"/>
      <c r="AV347" s="10"/>
      <c r="AW347" s="10"/>
      <c r="AX347" s="10"/>
      <c r="AY347" s="10"/>
      <c r="AZ347" s="10"/>
      <c r="BA347" s="10"/>
      <c r="BB347" s="10"/>
      <c r="BC347" s="10"/>
      <c r="BD347" s="10"/>
    </row>
    <row r="348" spans="1:56" ht="116" x14ac:dyDescent="0.35">
      <c r="A348" s="4" t="s">
        <v>703</v>
      </c>
      <c r="B348" s="4" t="s">
        <v>1498</v>
      </c>
      <c r="C348" s="4" t="s">
        <v>46</v>
      </c>
      <c r="D348" s="4" t="s">
        <v>165</v>
      </c>
      <c r="E348" s="5" t="s">
        <v>24</v>
      </c>
      <c r="F348" s="4"/>
      <c r="G348" s="4" t="s">
        <v>35</v>
      </c>
      <c r="H348" s="65" t="s">
        <v>1070</v>
      </c>
      <c r="I348" s="12"/>
      <c r="J348" s="12"/>
      <c r="K348" s="12"/>
      <c r="L348" s="12"/>
      <c r="M348" s="67"/>
      <c r="N348" s="12"/>
      <c r="O348" s="12"/>
      <c r="P348" s="12"/>
      <c r="Q348" s="12"/>
      <c r="R348" s="12"/>
      <c r="S348" s="12"/>
      <c r="T348" s="12"/>
      <c r="U348" s="12"/>
      <c r="V348" s="12"/>
      <c r="W348" s="7"/>
      <c r="X348" s="12"/>
      <c r="Y348" s="26" t="s">
        <v>704</v>
      </c>
      <c r="Z348" s="7"/>
      <c r="AA348" s="7"/>
      <c r="AB348" s="8"/>
      <c r="AC348" s="7"/>
      <c r="AD348" s="4"/>
      <c r="AE348" s="4"/>
      <c r="AF348" s="4"/>
      <c r="AG348" s="4"/>
      <c r="AH348" s="9"/>
      <c r="AI348" s="9"/>
      <c r="AJ348" s="9"/>
      <c r="AK348" s="9"/>
      <c r="AL348" s="10"/>
      <c r="AM348" s="10"/>
      <c r="AN348" s="10"/>
      <c r="AO348" s="10"/>
      <c r="AP348" s="10"/>
      <c r="AQ348" s="11"/>
      <c r="AR348" s="25"/>
      <c r="AS348" s="10"/>
      <c r="AT348" s="10" t="s">
        <v>879</v>
      </c>
      <c r="AU348" s="10"/>
      <c r="AV348" s="10"/>
      <c r="AW348" s="10"/>
      <c r="AX348" s="10"/>
      <c r="AY348" s="10"/>
      <c r="AZ348" s="10"/>
      <c r="BA348" s="10"/>
      <c r="BB348" s="10"/>
      <c r="BC348" s="10"/>
      <c r="BD348" s="10"/>
    </row>
    <row r="349" spans="1:56" ht="29" x14ac:dyDescent="0.35">
      <c r="A349" s="4" t="s">
        <v>705</v>
      </c>
      <c r="B349" s="4" t="s">
        <v>1499</v>
      </c>
      <c r="C349" s="4" t="s">
        <v>139</v>
      </c>
      <c r="D349" s="4" t="s">
        <v>23</v>
      </c>
      <c r="E349" s="5" t="s">
        <v>34</v>
      </c>
      <c r="F349" s="4"/>
      <c r="G349" s="4" t="s">
        <v>35</v>
      </c>
      <c r="H349" s="4"/>
      <c r="I349" s="12"/>
      <c r="J349" s="12"/>
      <c r="K349" s="12"/>
      <c r="L349" s="12"/>
      <c r="M349" s="67"/>
      <c r="N349" s="12"/>
      <c r="O349" s="12"/>
      <c r="P349" s="12"/>
      <c r="Q349" s="12"/>
      <c r="R349" s="12"/>
      <c r="S349" s="12"/>
      <c r="T349" s="12"/>
      <c r="U349" s="12"/>
      <c r="V349" s="12"/>
      <c r="W349" s="7"/>
      <c r="X349" s="12"/>
      <c r="Y349" s="7" t="s">
        <v>706</v>
      </c>
      <c r="Z349" s="7"/>
      <c r="AA349" s="7"/>
      <c r="AB349" s="8"/>
      <c r="AC349" s="7"/>
      <c r="AD349" s="4"/>
      <c r="AE349" s="4"/>
      <c r="AF349" s="4"/>
      <c r="AG349" s="4"/>
      <c r="AH349" s="9"/>
      <c r="AI349" s="9"/>
      <c r="AJ349" s="9"/>
      <c r="AK349" s="9"/>
      <c r="AL349" s="10"/>
      <c r="AM349" s="10"/>
      <c r="AN349" s="10"/>
      <c r="AO349" s="10"/>
      <c r="AP349" s="10"/>
      <c r="AQ349" s="11"/>
      <c r="AR349" s="25"/>
      <c r="AS349" s="10"/>
      <c r="AT349" s="10"/>
      <c r="AU349" s="10"/>
      <c r="AV349" s="10"/>
      <c r="AW349" s="10"/>
      <c r="AX349" s="10"/>
      <c r="AY349" s="10"/>
      <c r="AZ349" s="10"/>
      <c r="BA349" s="10"/>
      <c r="BB349" s="10"/>
      <c r="BC349" s="10"/>
      <c r="BD349" s="10"/>
    </row>
    <row r="350" spans="1:56" ht="72.5" x14ac:dyDescent="0.35">
      <c r="A350" s="4" t="s">
        <v>707</v>
      </c>
      <c r="B350" s="4" t="s">
        <v>1500</v>
      </c>
      <c r="C350" s="4" t="s">
        <v>22</v>
      </c>
      <c r="D350" s="4" t="s">
        <v>33</v>
      </c>
      <c r="E350" s="5" t="s">
        <v>34</v>
      </c>
      <c r="F350" s="4" t="s">
        <v>708</v>
      </c>
      <c r="G350" s="4" t="s">
        <v>35</v>
      </c>
      <c r="H350" s="65" t="s">
        <v>1071</v>
      </c>
      <c r="I350" s="12" t="s">
        <v>715</v>
      </c>
      <c r="J350" s="12"/>
      <c r="K350" s="12">
        <v>0.75</v>
      </c>
      <c r="L350" s="12" t="s">
        <v>716</v>
      </c>
      <c r="M350" s="67">
        <v>0.1048</v>
      </c>
      <c r="N350" s="12">
        <v>0.75</v>
      </c>
      <c r="O350" s="12" t="s">
        <v>709</v>
      </c>
      <c r="P350" s="12">
        <v>0</v>
      </c>
      <c r="Q350" s="12">
        <v>0.75</v>
      </c>
      <c r="R350" s="12" t="s">
        <v>710</v>
      </c>
      <c r="S350" s="12">
        <v>0</v>
      </c>
      <c r="T350" s="12">
        <v>0.75</v>
      </c>
      <c r="U350" s="12"/>
      <c r="V350" s="12"/>
      <c r="W350" s="7"/>
      <c r="X350" s="12"/>
      <c r="Y350" s="7"/>
      <c r="Z350" s="7">
        <v>8</v>
      </c>
      <c r="AA350" s="7">
        <v>0.5</v>
      </c>
      <c r="AB350" s="7">
        <v>17000</v>
      </c>
      <c r="AC350" s="7">
        <v>0.5</v>
      </c>
      <c r="AD350" s="4" t="s">
        <v>711</v>
      </c>
      <c r="AE350" s="4">
        <v>0</v>
      </c>
      <c r="AF350" s="4"/>
      <c r="AG350" s="4">
        <v>0.25</v>
      </c>
      <c r="AH350" s="9"/>
      <c r="AI350" s="9"/>
      <c r="AJ350" s="9"/>
      <c r="AK350" s="9"/>
      <c r="AL350" s="10"/>
      <c r="AM350" s="10"/>
      <c r="AN350" s="10"/>
      <c r="AO350" s="10"/>
      <c r="AP350" s="10"/>
      <c r="AQ350" s="11" t="s">
        <v>712</v>
      </c>
      <c r="AR350" s="25"/>
      <c r="AS350" s="10"/>
      <c r="AT350" s="10" t="s">
        <v>1081</v>
      </c>
      <c r="AU350" s="10"/>
      <c r="AV350" s="10"/>
      <c r="AW350" s="10"/>
      <c r="AX350" s="10"/>
      <c r="AY350" s="10"/>
      <c r="AZ350" s="10"/>
      <c r="BA350" s="10"/>
      <c r="BB350" s="10"/>
      <c r="BC350" s="10"/>
      <c r="BD350" s="10"/>
    </row>
    <row r="351" spans="1:56" ht="29" x14ac:dyDescent="0.35">
      <c r="A351" s="4" t="s">
        <v>713</v>
      </c>
      <c r="B351" s="4"/>
      <c r="C351" s="4" t="s">
        <v>70</v>
      </c>
      <c r="D351" s="4" t="s">
        <v>23</v>
      </c>
      <c r="E351" s="5" t="s">
        <v>34</v>
      </c>
      <c r="F351" s="27" t="s">
        <v>568</v>
      </c>
      <c r="G351" s="4" t="s">
        <v>26</v>
      </c>
      <c r="H351" s="4" t="s">
        <v>1072</v>
      </c>
      <c r="I351" s="13"/>
      <c r="J351" s="12">
        <f>technologies[[#This Row],[Mass
Literature]]</f>
        <v>0</v>
      </c>
      <c r="K351" s="12"/>
      <c r="L351" s="12"/>
      <c r="M351" s="67">
        <f>technologies[[#This Row],[Volume
Literature]]</f>
        <v>0</v>
      </c>
      <c r="N351" s="12"/>
      <c r="O351" s="12"/>
      <c r="P351" s="12"/>
      <c r="Q351" s="12"/>
      <c r="R351" s="12"/>
      <c r="S351" s="12"/>
      <c r="T351" s="12"/>
      <c r="U351" s="12"/>
      <c r="V351" s="12"/>
      <c r="W351" s="7"/>
      <c r="X351" s="12"/>
      <c r="Y351" s="7"/>
      <c r="Z351" s="7"/>
      <c r="AA351" s="7"/>
      <c r="AB351" s="7"/>
      <c r="AC351" s="7"/>
      <c r="AD351" s="4"/>
      <c r="AE351" s="4"/>
      <c r="AF351" s="4"/>
      <c r="AG351" s="4"/>
      <c r="AH351" s="9"/>
      <c r="AI351" s="9"/>
      <c r="AJ351" s="9"/>
      <c r="AK351" s="9"/>
      <c r="AL351" s="10"/>
      <c r="AM351" s="10"/>
      <c r="AN351" s="10"/>
      <c r="AO351" s="10"/>
      <c r="AP351" s="10"/>
      <c r="AQ351" s="11"/>
      <c r="AR351" s="28"/>
      <c r="AS351" s="10"/>
      <c r="AT351" s="10" t="s">
        <v>863</v>
      </c>
      <c r="AU351" s="10"/>
      <c r="AV351" s="10"/>
      <c r="AW351" s="10"/>
      <c r="AX351" s="10"/>
      <c r="AY351" s="10"/>
      <c r="AZ351" s="10"/>
      <c r="BA351" s="10"/>
      <c r="BB351" s="10"/>
      <c r="BC351" s="10"/>
      <c r="BD351" s="10"/>
    </row>
    <row r="352" spans="1:56" ht="43.5" x14ac:dyDescent="0.35">
      <c r="A352" s="4" t="s">
        <v>1180</v>
      </c>
      <c r="B352" s="4"/>
      <c r="C352" s="4" t="s">
        <v>70</v>
      </c>
      <c r="D352" s="4" t="s">
        <v>23</v>
      </c>
      <c r="E352" s="5" t="s">
        <v>24</v>
      </c>
      <c r="F352" s="6"/>
      <c r="G352" s="4" t="s">
        <v>35</v>
      </c>
      <c r="H352" s="4" t="s">
        <v>1181</v>
      </c>
      <c r="I352" s="7">
        <v>1.5</v>
      </c>
      <c r="J352" s="7">
        <v>1.5</v>
      </c>
      <c r="K352" s="7">
        <v>1</v>
      </c>
      <c r="L352" s="7">
        <v>2.8E-3</v>
      </c>
      <c r="M352" s="67">
        <v>2.8E-3</v>
      </c>
      <c r="N352" s="7">
        <v>1</v>
      </c>
      <c r="O352" s="7">
        <v>1.48</v>
      </c>
      <c r="P352" s="7">
        <v>1.48</v>
      </c>
      <c r="Q352" s="7">
        <v>0.5</v>
      </c>
      <c r="R352" s="7">
        <v>1.48</v>
      </c>
      <c r="S352" s="7">
        <v>1.48</v>
      </c>
      <c r="T352" s="7">
        <v>1</v>
      </c>
      <c r="U352" s="12">
        <v>0.92999999999999994</v>
      </c>
      <c r="V352" s="12">
        <v>0.92999999999999994</v>
      </c>
      <c r="W352" s="7"/>
      <c r="X352" s="12"/>
      <c r="Y352" s="7">
        <v>9</v>
      </c>
      <c r="Z352" s="7">
        <v>9</v>
      </c>
      <c r="AA352" s="7">
        <v>1</v>
      </c>
      <c r="AB352" s="7"/>
      <c r="AC352" s="7"/>
      <c r="AD352" s="4"/>
      <c r="AE352" s="4"/>
      <c r="AF352" s="4"/>
      <c r="AG352" s="4"/>
      <c r="AH352" s="9"/>
      <c r="AI352" s="9"/>
      <c r="AJ352" s="9"/>
      <c r="AK352" s="9"/>
      <c r="AL352" s="10"/>
      <c r="AM352" s="10"/>
      <c r="AN352" s="10"/>
      <c r="AO352" s="10"/>
      <c r="AP352" s="10"/>
      <c r="AQ352" s="11"/>
      <c r="AR352" s="4"/>
      <c r="AS352" s="10"/>
      <c r="AT352" s="10"/>
      <c r="AU352" s="10"/>
      <c r="AV352" s="10"/>
      <c r="AW352" s="10"/>
      <c r="AX352" s="10"/>
      <c r="AY352" s="10"/>
      <c r="AZ352" s="10"/>
      <c r="BA352" s="10"/>
      <c r="BB352" s="10"/>
      <c r="BC352" s="10"/>
      <c r="BD352" s="10"/>
    </row>
    <row r="353" spans="1:56" ht="43.5" x14ac:dyDescent="0.35">
      <c r="A353" s="4" t="s">
        <v>1182</v>
      </c>
      <c r="B353" s="4"/>
      <c r="C353" s="4" t="s">
        <v>70</v>
      </c>
      <c r="D353" s="4" t="s">
        <v>23</v>
      </c>
      <c r="E353" s="5" t="s">
        <v>24</v>
      </c>
      <c r="F353" s="6"/>
      <c r="G353" s="4" t="s">
        <v>26</v>
      </c>
      <c r="H353" s="4" t="s">
        <v>1183</v>
      </c>
      <c r="I353" s="7">
        <v>6.8</v>
      </c>
      <c r="J353" s="7">
        <v>6.8</v>
      </c>
      <c r="K353" s="7">
        <v>1</v>
      </c>
      <c r="L353" s="7">
        <v>4.0500000000000001E-2</v>
      </c>
      <c r="M353" s="67">
        <v>4.0500000000000001E-2</v>
      </c>
      <c r="N353" s="7">
        <v>1</v>
      </c>
      <c r="O353" s="7">
        <v>0</v>
      </c>
      <c r="P353" s="7">
        <v>0</v>
      </c>
      <c r="Q353" s="7">
        <v>1</v>
      </c>
      <c r="R353" s="7">
        <v>0</v>
      </c>
      <c r="S353" s="7">
        <v>0</v>
      </c>
      <c r="T353" s="7">
        <v>1</v>
      </c>
      <c r="U353" s="12"/>
      <c r="V353" s="12"/>
      <c r="W353" s="7"/>
      <c r="X353" s="12"/>
      <c r="Y353" s="7">
        <v>9</v>
      </c>
      <c r="Z353" s="7">
        <v>9</v>
      </c>
      <c r="AA353" s="7">
        <v>1</v>
      </c>
      <c r="AB353" s="7"/>
      <c r="AC353" s="7"/>
      <c r="AD353" s="4"/>
      <c r="AE353" s="4"/>
      <c r="AF353" s="4"/>
      <c r="AG353" s="4"/>
      <c r="AH353" s="9"/>
      <c r="AI353" s="9"/>
      <c r="AJ353" s="9"/>
      <c r="AK353" s="9"/>
      <c r="AL353" s="10"/>
      <c r="AM353" s="10"/>
      <c r="AN353" s="10"/>
      <c r="AO353" s="10"/>
      <c r="AP353" s="10"/>
      <c r="AQ353" s="11"/>
      <c r="AR353" s="4"/>
      <c r="AS353" s="10"/>
      <c r="AT353" s="10"/>
      <c r="AU353" s="10"/>
      <c r="AV353" s="10"/>
      <c r="AW353" s="10"/>
      <c r="AX353" s="10"/>
      <c r="AY353" s="10"/>
      <c r="AZ353" s="10"/>
      <c r="BA353" s="10"/>
      <c r="BB353" s="10"/>
      <c r="BC353" s="10"/>
      <c r="BD353" s="10"/>
    </row>
    <row r="354" spans="1:56" ht="43.5" x14ac:dyDescent="0.35">
      <c r="A354" s="4" t="s">
        <v>1519</v>
      </c>
      <c r="B354" s="4" t="s">
        <v>1518</v>
      </c>
      <c r="C354" s="4" t="s">
        <v>22</v>
      </c>
      <c r="D354" s="4" t="s">
        <v>1518</v>
      </c>
      <c r="E354" s="5" t="s">
        <v>34</v>
      </c>
      <c r="F354" s="6"/>
      <c r="G354" s="4" t="s">
        <v>35</v>
      </c>
      <c r="H354" s="4" t="s">
        <v>1265</v>
      </c>
      <c r="I354" s="7">
        <v>1700</v>
      </c>
      <c r="J354" s="7">
        <v>977.49999999999989</v>
      </c>
      <c r="K354" s="7">
        <v>0.5</v>
      </c>
      <c r="L354" s="7">
        <v>1.66</v>
      </c>
      <c r="M354" s="67">
        <v>0.83</v>
      </c>
      <c r="N354" s="7">
        <v>0.5</v>
      </c>
      <c r="O354" s="7">
        <v>4080</v>
      </c>
      <c r="P354" s="7">
        <v>2448</v>
      </c>
      <c r="Q354" s="7">
        <v>0.5</v>
      </c>
      <c r="R354" s="7">
        <v>4080</v>
      </c>
      <c r="S354" s="7">
        <v>2448</v>
      </c>
      <c r="T354" s="7">
        <v>0.5</v>
      </c>
      <c r="U354" s="12">
        <v>782</v>
      </c>
      <c r="V354" s="12">
        <v>782</v>
      </c>
      <c r="W354" s="7">
        <v>100</v>
      </c>
      <c r="X354" s="12">
        <v>0.01</v>
      </c>
      <c r="Y354" s="7">
        <v>5</v>
      </c>
      <c r="Z354" s="7">
        <v>5</v>
      </c>
      <c r="AA354" s="7">
        <v>0.5</v>
      </c>
      <c r="AB354" s="7"/>
      <c r="AC354" s="7"/>
      <c r="AD354" s="4">
        <f>0.18*Crew_Size*Mission_Duration</f>
        <v>432</v>
      </c>
      <c r="AE354" s="4">
        <v>21.6</v>
      </c>
      <c r="AF354" s="4"/>
      <c r="AG354" s="4">
        <v>0.25</v>
      </c>
      <c r="AH354" s="9"/>
      <c r="AI354" s="9"/>
      <c r="AJ354" s="9"/>
      <c r="AK354" s="9"/>
      <c r="AL354" s="10"/>
      <c r="AM354" s="10"/>
      <c r="AN354" s="10"/>
      <c r="AO354" s="10"/>
      <c r="AP354" s="10"/>
      <c r="AQ354" s="11"/>
      <c r="AR354" s="4"/>
      <c r="AS354" s="10" t="s">
        <v>1518</v>
      </c>
      <c r="AT354" s="10"/>
      <c r="AU354" s="10"/>
      <c r="AV354" s="10"/>
      <c r="AW354" s="10"/>
      <c r="AX354" s="10"/>
      <c r="AY354" s="10"/>
      <c r="AZ354" s="10"/>
      <c r="BA354" s="10"/>
      <c r="BB354" s="10"/>
      <c r="BC354" s="10"/>
      <c r="BD354" s="10"/>
    </row>
    <row r="355" spans="1:56" ht="43.5" x14ac:dyDescent="0.35">
      <c r="A355" s="4" t="s">
        <v>1519</v>
      </c>
      <c r="B355" s="4" t="s">
        <v>1719</v>
      </c>
      <c r="C355" s="4" t="s">
        <v>46</v>
      </c>
      <c r="D355" s="4" t="s">
        <v>1160</v>
      </c>
      <c r="E355" s="5" t="s">
        <v>34</v>
      </c>
      <c r="F355" s="6"/>
      <c r="G355" s="4" t="s">
        <v>35</v>
      </c>
      <c r="H355" s="4" t="s">
        <v>1264</v>
      </c>
      <c r="I355" s="7">
        <v>24050</v>
      </c>
      <c r="J355" s="7"/>
      <c r="K355" s="7">
        <v>0.5</v>
      </c>
      <c r="L355" s="7">
        <v>21</v>
      </c>
      <c r="M355" s="67"/>
      <c r="N355" s="7">
        <v>0.5</v>
      </c>
      <c r="O355" s="7">
        <v>85700</v>
      </c>
      <c r="P355" s="7"/>
      <c r="Q355" s="7">
        <v>0.5</v>
      </c>
      <c r="R355" s="7">
        <v>85700</v>
      </c>
      <c r="S355" s="7"/>
      <c r="T355" s="7">
        <v>0.5</v>
      </c>
      <c r="U355" s="12"/>
      <c r="V355" s="12"/>
      <c r="W355" s="7"/>
      <c r="X355" s="12"/>
      <c r="Y355" s="7">
        <v>5</v>
      </c>
      <c r="Z355" s="7">
        <v>5</v>
      </c>
      <c r="AA355" s="7">
        <v>0.5</v>
      </c>
      <c r="AB355" s="7"/>
      <c r="AC355" s="7"/>
      <c r="AD355" s="4">
        <f>0.18*Crew_Size*Mission_Duration</f>
        <v>432</v>
      </c>
      <c r="AE355" s="4">
        <v>21.6</v>
      </c>
      <c r="AF355" s="4"/>
      <c r="AG355" s="4">
        <v>0.25</v>
      </c>
      <c r="AH355" s="9"/>
      <c r="AI355" s="9"/>
      <c r="AJ355" s="9"/>
      <c r="AK355" s="9"/>
      <c r="AL355" s="10"/>
      <c r="AM355" s="10"/>
      <c r="AN355" s="10"/>
      <c r="AO355" s="10"/>
      <c r="AP355" s="10"/>
      <c r="AQ355" s="11"/>
      <c r="AR355" s="4"/>
      <c r="AS355" s="10" t="s">
        <v>861</v>
      </c>
      <c r="AT355" s="10" t="s">
        <v>858</v>
      </c>
      <c r="AU355" s="10" t="s">
        <v>859</v>
      </c>
      <c r="AV355" s="10" t="s">
        <v>860</v>
      </c>
      <c r="AW355" s="10"/>
      <c r="AX355" s="10"/>
      <c r="AY355" s="10"/>
      <c r="AZ355" s="10"/>
      <c r="BA355" s="10"/>
      <c r="BB355" s="10"/>
      <c r="BC355" s="10"/>
      <c r="BD355" s="10"/>
    </row>
    <row r="356" spans="1:56" ht="43.5" x14ac:dyDescent="0.35">
      <c r="A356" s="4" t="s">
        <v>1520</v>
      </c>
      <c r="B356" s="4" t="s">
        <v>1521</v>
      </c>
      <c r="C356" s="4" t="s">
        <v>22</v>
      </c>
      <c r="D356" s="4" t="s">
        <v>1522</v>
      </c>
      <c r="E356" s="5" t="s">
        <v>34</v>
      </c>
      <c r="F356" s="6"/>
      <c r="G356" s="4" t="s">
        <v>35</v>
      </c>
      <c r="H356" s="4" t="s">
        <v>1542</v>
      </c>
      <c r="I356" s="7" t="s">
        <v>1543</v>
      </c>
      <c r="J356" s="7">
        <f>101.5*technologies[[#This Row],[Efficiency]]</f>
        <v>10.906784</v>
      </c>
      <c r="K356" s="7">
        <v>0.5</v>
      </c>
      <c r="L356" s="7">
        <f>0.292*0.368*0.47</f>
        <v>5.0504319999999998E-2</v>
      </c>
      <c r="M356" s="67">
        <v>5.0999999999999997E-2</v>
      </c>
      <c r="N356" s="7">
        <v>1</v>
      </c>
      <c r="O356" s="7">
        <v>70</v>
      </c>
      <c r="P356" s="7">
        <v>70</v>
      </c>
      <c r="Q356" s="7">
        <v>1</v>
      </c>
      <c r="R356" s="7">
        <v>70</v>
      </c>
      <c r="S356" s="7">
        <v>70</v>
      </c>
      <c r="T356" s="7">
        <v>1</v>
      </c>
      <c r="U356" s="12">
        <f>technologies[[#This Row],[Mass]]</f>
        <v>10.906784</v>
      </c>
      <c r="V356" s="12">
        <f>technologies[[#This Row],[Mass]]</f>
        <v>10.906784</v>
      </c>
      <c r="W356" s="7">
        <f>0.292*0.368</f>
        <v>0.107456</v>
      </c>
      <c r="X356" s="12">
        <f>1.28*technologies[[#This Row],[Efficiency]]/365</f>
        <v>3.7683200000000001E-4</v>
      </c>
      <c r="Y356" s="7">
        <v>5</v>
      </c>
      <c r="Z356" s="7">
        <v>5</v>
      </c>
      <c r="AA356" s="7">
        <v>1</v>
      </c>
      <c r="AB356" s="7"/>
      <c r="AC356" s="7"/>
      <c r="AD356" s="4"/>
      <c r="AE356" s="4">
        <f>13.1*technologies[[#This Row],[Efficiency]]</f>
        <v>1.4076735999999999</v>
      </c>
      <c r="AF356" s="4"/>
      <c r="AG356" s="4"/>
      <c r="AH356" s="9"/>
      <c r="AI356" s="9"/>
      <c r="AJ356" s="9"/>
      <c r="AK356" s="9"/>
      <c r="AL356" s="10" t="s">
        <v>855</v>
      </c>
      <c r="AM356" s="10" t="s">
        <v>1082</v>
      </c>
      <c r="AN356" s="10" t="s">
        <v>857</v>
      </c>
      <c r="AO356" s="10"/>
      <c r="AP356" s="10"/>
      <c r="AQ356" s="10"/>
      <c r="AR356" s="10"/>
      <c r="AS356" s="10" t="s">
        <v>1523</v>
      </c>
      <c r="AT356" s="10" t="s">
        <v>1081</v>
      </c>
      <c r="AU356" s="10" t="s">
        <v>1082</v>
      </c>
      <c r="AV356" s="10" t="s">
        <v>857</v>
      </c>
      <c r="AW356" s="10"/>
      <c r="AX356" s="10"/>
      <c r="AY356" s="10"/>
      <c r="AZ356" s="10"/>
      <c r="BA356" s="10"/>
      <c r="BB356" s="10"/>
      <c r="BC356" s="10"/>
      <c r="BD356" s="10"/>
    </row>
    <row r="357" spans="1:56" ht="145" x14ac:dyDescent="0.35">
      <c r="A357" s="4" t="s">
        <v>1526</v>
      </c>
      <c r="B357" s="4" t="s">
        <v>1536</v>
      </c>
      <c r="C357" s="4" t="s">
        <v>22</v>
      </c>
      <c r="D357" s="4" t="s">
        <v>1522</v>
      </c>
      <c r="E357" s="5" t="s">
        <v>34</v>
      </c>
      <c r="F357" s="6"/>
      <c r="G357" s="4" t="s">
        <v>35</v>
      </c>
      <c r="H357" s="4" t="s">
        <v>1684</v>
      </c>
      <c r="I357" s="7" t="s">
        <v>1529</v>
      </c>
      <c r="J357" s="7">
        <f>87.7*technologies[[#This Row],[Efficiency]]</f>
        <v>162.06960000000001</v>
      </c>
      <c r="K357" s="7">
        <v>0.5</v>
      </c>
      <c r="L357" s="7"/>
      <c r="M357" s="67">
        <v>1.571</v>
      </c>
      <c r="N357" s="7">
        <v>0.5</v>
      </c>
      <c r="O357" s="7" t="s">
        <v>1532</v>
      </c>
      <c r="P357" s="7">
        <f>943*technologies[[#This Row],[Efficiency]]</f>
        <v>1742.664</v>
      </c>
      <c r="Q357" s="7">
        <v>0.5</v>
      </c>
      <c r="R357" s="7" t="s">
        <v>1531</v>
      </c>
      <c r="S357" s="7">
        <f>943*technologies[[#This Row],[Efficiency]]</f>
        <v>1742.664</v>
      </c>
      <c r="T357" s="7">
        <v>0.5</v>
      </c>
      <c r="U357" s="12">
        <f>technologies[[#This Row],[Mass]]</f>
        <v>162.06960000000001</v>
      </c>
      <c r="V357" s="12">
        <f>technologies[[#This Row],[Mass]]</f>
        <v>162.06960000000001</v>
      </c>
      <c r="W357" s="7">
        <v>1.8480000000000001</v>
      </c>
      <c r="X357" s="12">
        <f>1.28*technologies[[#This Row],[Efficiency]]/365</f>
        <v>6.4806575342465757E-3</v>
      </c>
      <c r="Y357" s="7">
        <v>5</v>
      </c>
      <c r="Z357" s="7">
        <v>5</v>
      </c>
      <c r="AA357" s="7">
        <v>1</v>
      </c>
      <c r="AB357" s="7">
        <v>40000</v>
      </c>
      <c r="AC357" s="7"/>
      <c r="AD357" s="4" t="s">
        <v>1685</v>
      </c>
      <c r="AE357" s="4">
        <f>13.1*technologies[[#This Row],[Efficiency]]</f>
        <v>24.2088</v>
      </c>
      <c r="AF357" s="4"/>
      <c r="AG357" s="4">
        <v>0.25</v>
      </c>
      <c r="AH357" s="9"/>
      <c r="AI357" s="9"/>
      <c r="AJ357" s="9"/>
      <c r="AK357" s="9"/>
      <c r="AL357" s="10" t="s">
        <v>1523</v>
      </c>
      <c r="AM357" s="10" t="s">
        <v>1081</v>
      </c>
      <c r="AN357" s="10" t="s">
        <v>1082</v>
      </c>
      <c r="AO357" s="10" t="s">
        <v>857</v>
      </c>
      <c r="AP357" s="10"/>
      <c r="AQ357" s="10"/>
      <c r="AR357" s="10"/>
      <c r="AS357" s="10" t="s">
        <v>1523</v>
      </c>
      <c r="AT357" s="10" t="s">
        <v>1081</v>
      </c>
      <c r="AU357" s="10" t="s">
        <v>1082</v>
      </c>
      <c r="AV357" s="10" t="s">
        <v>857</v>
      </c>
      <c r="AW357" s="10"/>
      <c r="AX357" s="10"/>
      <c r="AY357" s="10"/>
      <c r="AZ357" s="10"/>
      <c r="BA357" s="10"/>
      <c r="BB357" s="10"/>
      <c r="BC357" s="10"/>
      <c r="BD357" s="10"/>
    </row>
    <row r="358" spans="1:56" ht="116" x14ac:dyDescent="0.35">
      <c r="A358" s="4" t="s">
        <v>1537</v>
      </c>
      <c r="B358" s="4" t="s">
        <v>1539</v>
      </c>
      <c r="C358" s="4" t="s">
        <v>22</v>
      </c>
      <c r="D358" s="4" t="s">
        <v>1522</v>
      </c>
      <c r="E358" s="5" t="s">
        <v>34</v>
      </c>
      <c r="F358" s="6"/>
      <c r="G358" s="4" t="s">
        <v>35</v>
      </c>
      <c r="H358" s="4" t="s">
        <v>1686</v>
      </c>
      <c r="I358" s="7" t="s">
        <v>1529</v>
      </c>
      <c r="J358" s="7">
        <f>87.7*technologies[[#This Row],[Efficiency]]</f>
        <v>1710.15</v>
      </c>
      <c r="K358" s="7">
        <v>0.5</v>
      </c>
      <c r="L358" s="7" t="s">
        <v>1530</v>
      </c>
      <c r="M358" s="67">
        <f>1.03*technologies[[#This Row],[Efficiency]]</f>
        <v>20.085000000000001</v>
      </c>
      <c r="N358" s="7">
        <v>0.5</v>
      </c>
      <c r="O358" s="7" t="s">
        <v>1532</v>
      </c>
      <c r="P358" s="7">
        <f>943*technologies[[#This Row],[Efficiency]]</f>
        <v>18388.5</v>
      </c>
      <c r="Q358" s="7">
        <v>0.5</v>
      </c>
      <c r="R358" s="7" t="s">
        <v>1531</v>
      </c>
      <c r="S358" s="7">
        <f>943*technologies[[#This Row],[Efficiency]]</f>
        <v>18388.5</v>
      </c>
      <c r="T358" s="7">
        <v>0.5</v>
      </c>
      <c r="U358" s="12">
        <v>187</v>
      </c>
      <c r="V358" s="12">
        <v>187</v>
      </c>
      <c r="W358" s="7">
        <v>19.5</v>
      </c>
      <c r="X358" s="12">
        <f>1.28*technologies[[#This Row],[Efficiency]]/365</f>
        <v>6.8383561643835619E-2</v>
      </c>
      <c r="Y358" s="7">
        <v>5</v>
      </c>
      <c r="Z358" s="7">
        <v>5</v>
      </c>
      <c r="AA358" s="7">
        <v>1</v>
      </c>
      <c r="AB358" s="7">
        <v>40000</v>
      </c>
      <c r="AC358" s="7"/>
      <c r="AD358" s="4" t="s">
        <v>1533</v>
      </c>
      <c r="AE358" s="4"/>
      <c r="AF358" s="4">
        <f>13.1*technologies[[#This Row],[Efficiency]]</f>
        <v>255.45</v>
      </c>
      <c r="AG358" s="4">
        <v>0.25</v>
      </c>
      <c r="AH358" s="9"/>
      <c r="AI358" s="9"/>
      <c r="AJ358" s="9"/>
      <c r="AK358" s="9"/>
      <c r="AL358" s="10" t="s">
        <v>1523</v>
      </c>
      <c r="AM358" s="10" t="s">
        <v>1081</v>
      </c>
      <c r="AN358" s="10" t="s">
        <v>1082</v>
      </c>
      <c r="AO358" s="10" t="s">
        <v>857</v>
      </c>
      <c r="AP358" s="10"/>
      <c r="AQ358" s="10"/>
      <c r="AR358" s="10"/>
      <c r="AS358" s="10" t="s">
        <v>1523</v>
      </c>
      <c r="AT358" s="10" t="s">
        <v>1081</v>
      </c>
      <c r="AU358" s="10" t="s">
        <v>1082</v>
      </c>
      <c r="AV358" s="10" t="s">
        <v>857</v>
      </c>
      <c r="AW358" s="10"/>
      <c r="AX358" s="10"/>
      <c r="AY358" s="10"/>
      <c r="AZ358" s="10"/>
      <c r="BA358" s="10"/>
      <c r="BB358" s="10"/>
      <c r="BC358" s="10"/>
      <c r="BD358" s="10"/>
    </row>
    <row r="359" spans="1:56" ht="116" x14ac:dyDescent="0.35">
      <c r="A359" s="4" t="s">
        <v>1696</v>
      </c>
      <c r="B359" s="4" t="s">
        <v>1538</v>
      </c>
      <c r="C359" s="4" t="s">
        <v>22</v>
      </c>
      <c r="D359" s="4" t="s">
        <v>1522</v>
      </c>
      <c r="E359" s="5" t="s">
        <v>34</v>
      </c>
      <c r="F359" s="6"/>
      <c r="G359" s="4" t="s">
        <v>35</v>
      </c>
      <c r="H359" s="4" t="s">
        <v>1686</v>
      </c>
      <c r="I359" s="7" t="s">
        <v>1529</v>
      </c>
      <c r="J359" s="7">
        <f>87.7*technologies[[#This Row],[Efficiency]]</f>
        <v>14395.955000000002</v>
      </c>
      <c r="K359" s="7">
        <v>0.5</v>
      </c>
      <c r="L359" s="7" t="s">
        <v>1530</v>
      </c>
      <c r="M359" s="67">
        <f>1.03*technologies[[#This Row],[Efficiency]]</f>
        <v>169.0745</v>
      </c>
      <c r="N359" s="7">
        <v>0.5</v>
      </c>
      <c r="O359" s="7" t="s">
        <v>1532</v>
      </c>
      <c r="P359" s="7">
        <f>943*technologies[[#This Row],[Efficiency]]</f>
        <v>154793.45000000001</v>
      </c>
      <c r="Q359" s="7">
        <v>0.5</v>
      </c>
      <c r="R359" s="7" t="s">
        <v>1531</v>
      </c>
      <c r="S359" s="7">
        <f>943*technologies[[#This Row],[Efficiency]]</f>
        <v>154793.45000000001</v>
      </c>
      <c r="T359" s="7">
        <v>0.5</v>
      </c>
      <c r="U359" s="12">
        <v>187</v>
      </c>
      <c r="V359" s="12">
        <v>187</v>
      </c>
      <c r="W359" s="7">
        <v>164.15</v>
      </c>
      <c r="X359" s="12">
        <f>1.28*technologies[[#This Row],[Efficiency]]/365</f>
        <v>0.57564931506849326</v>
      </c>
      <c r="Y359" s="7">
        <v>5</v>
      </c>
      <c r="Z359" s="7">
        <v>5</v>
      </c>
      <c r="AA359" s="7">
        <v>1</v>
      </c>
      <c r="AB359" s="7">
        <v>40000</v>
      </c>
      <c r="AC359" s="7"/>
      <c r="AD359" s="4" t="s">
        <v>1533</v>
      </c>
      <c r="AE359" s="4"/>
      <c r="AF359" s="4">
        <f>13.1*technologies[[#This Row],[Efficiency]]</f>
        <v>2150.3650000000002</v>
      </c>
      <c r="AG359" s="4">
        <v>0.25</v>
      </c>
      <c r="AH359" s="9"/>
      <c r="AI359" s="9"/>
      <c r="AJ359" s="9"/>
      <c r="AK359" s="9"/>
      <c r="AL359" s="10" t="s">
        <v>1523</v>
      </c>
      <c r="AM359" s="10" t="s">
        <v>1081</v>
      </c>
      <c r="AN359" s="10" t="s">
        <v>1082</v>
      </c>
      <c r="AO359" s="10" t="s">
        <v>857</v>
      </c>
      <c r="AP359" s="10"/>
      <c r="AQ359" s="10"/>
      <c r="AR359" s="10"/>
      <c r="AS359" s="10" t="s">
        <v>1523</v>
      </c>
      <c r="AT359" s="10" t="s">
        <v>1081</v>
      </c>
      <c r="AU359" s="10" t="s">
        <v>1082</v>
      </c>
      <c r="AV359" s="10" t="s">
        <v>857</v>
      </c>
      <c r="AW359" s="10"/>
      <c r="AX359" s="10"/>
      <c r="AY359" s="10"/>
      <c r="AZ359" s="10"/>
      <c r="BA359" s="10"/>
      <c r="BB359" s="10"/>
      <c r="BC359" s="10"/>
      <c r="BD359" s="10"/>
    </row>
    <row r="360" spans="1:56" ht="43.5" x14ac:dyDescent="0.35">
      <c r="A360" s="4" t="s">
        <v>1692</v>
      </c>
      <c r="B360" s="4" t="s">
        <v>1689</v>
      </c>
      <c r="C360" s="4" t="s">
        <v>22</v>
      </c>
      <c r="D360" s="4" t="s">
        <v>1522</v>
      </c>
      <c r="E360" s="5" t="s">
        <v>34</v>
      </c>
      <c r="F360" s="6"/>
      <c r="G360" s="4" t="s">
        <v>35</v>
      </c>
      <c r="H360" s="4" t="s">
        <v>1693</v>
      </c>
      <c r="I360" s="7" t="s">
        <v>1529</v>
      </c>
      <c r="J360" s="7">
        <f>87.7*technologies[[#This Row],[Efficiency]]</f>
        <v>4696.335</v>
      </c>
      <c r="K360" s="7">
        <v>0.5</v>
      </c>
      <c r="L360" s="7" t="s">
        <v>1530</v>
      </c>
      <c r="M360" s="67">
        <f>1.03*technologies[[#This Row],[Efficiency]]</f>
        <v>55.156500000000001</v>
      </c>
      <c r="N360" s="7">
        <v>0.5</v>
      </c>
      <c r="O360" s="7" t="s">
        <v>1532</v>
      </c>
      <c r="P360" s="7">
        <f>943*technologies[[#This Row],[Efficiency]]</f>
        <v>50497.649999999994</v>
      </c>
      <c r="Q360" s="7">
        <v>0.5</v>
      </c>
      <c r="R360" s="7" t="s">
        <v>1531</v>
      </c>
      <c r="S360" s="7">
        <f>943*technologies[[#This Row],[Efficiency]]</f>
        <v>50497.649999999994</v>
      </c>
      <c r="T360" s="7">
        <v>0.5</v>
      </c>
      <c r="U360" s="12">
        <v>187</v>
      </c>
      <c r="V360" s="12">
        <v>187</v>
      </c>
      <c r="W360" s="7">
        <v>53.55</v>
      </c>
      <c r="X360" s="12">
        <f>1.28*technologies[[#This Row],[Efficiency]]/365</f>
        <v>0.1877917808219178</v>
      </c>
      <c r="Y360" s="7">
        <v>5</v>
      </c>
      <c r="Z360" s="7">
        <v>5</v>
      </c>
      <c r="AA360" s="7">
        <v>1</v>
      </c>
      <c r="AB360" s="7">
        <v>40000</v>
      </c>
      <c r="AC360" s="7"/>
      <c r="AD360" s="4" t="s">
        <v>1533</v>
      </c>
      <c r="AE360" s="4"/>
      <c r="AF360" s="4">
        <f>13.1*technologies[[#This Row],[Efficiency]]</f>
        <v>701.505</v>
      </c>
      <c r="AG360" s="4">
        <v>0.25</v>
      </c>
      <c r="AH360" s="9"/>
      <c r="AI360" s="9"/>
      <c r="AJ360" s="9"/>
      <c r="AK360" s="9"/>
      <c r="AL360" s="10" t="s">
        <v>1523</v>
      </c>
      <c r="AM360" s="10" t="s">
        <v>1081</v>
      </c>
      <c r="AN360" s="10" t="s">
        <v>1082</v>
      </c>
      <c r="AO360" s="10" t="s">
        <v>857</v>
      </c>
      <c r="AP360" s="10"/>
      <c r="AQ360" s="11"/>
      <c r="AR360" s="4"/>
      <c r="AS360" s="10" t="s">
        <v>1523</v>
      </c>
      <c r="AT360" s="10" t="s">
        <v>1081</v>
      </c>
      <c r="AU360" s="10" t="s">
        <v>1082</v>
      </c>
      <c r="AV360" s="10" t="s">
        <v>857</v>
      </c>
      <c r="AW360" s="10"/>
      <c r="AX360" s="10"/>
      <c r="AY360" s="10"/>
      <c r="AZ360" s="10"/>
      <c r="BA360" s="10"/>
      <c r="BB360" s="10"/>
      <c r="BC360" s="10"/>
      <c r="BD360" s="10"/>
    </row>
    <row r="361" spans="1:56" ht="116" x14ac:dyDescent="0.35">
      <c r="A361" s="4" t="s">
        <v>1695</v>
      </c>
      <c r="B361" s="4" t="s">
        <v>1697</v>
      </c>
      <c r="C361" s="4" t="s">
        <v>22</v>
      </c>
      <c r="D361" s="4" t="s">
        <v>1522</v>
      </c>
      <c r="E361" s="5" t="s">
        <v>34</v>
      </c>
      <c r="F361" s="6"/>
      <c r="G361" s="4" t="s">
        <v>35</v>
      </c>
      <c r="H361" s="4" t="s">
        <v>1686</v>
      </c>
      <c r="I361" s="7" t="s">
        <v>1529</v>
      </c>
      <c r="J361" s="7">
        <f>87.7*technologies[[#This Row],[Efficiency]]</f>
        <v>4506.0260000000007</v>
      </c>
      <c r="K361" s="7">
        <v>0.5</v>
      </c>
      <c r="L361" s="7" t="s">
        <v>1530</v>
      </c>
      <c r="M361" s="67">
        <f>1.03*technologies[[#This Row],[Efficiency]]</f>
        <v>52.921400000000006</v>
      </c>
      <c r="N361" s="7">
        <v>0.5</v>
      </c>
      <c r="O361" s="7" t="s">
        <v>1532</v>
      </c>
      <c r="P361" s="7">
        <f>943*technologies[[#This Row],[Efficiency]]</f>
        <v>48451.340000000004</v>
      </c>
      <c r="Q361" s="7">
        <v>0.5</v>
      </c>
      <c r="R361" s="7" t="s">
        <v>1531</v>
      </c>
      <c r="S361" s="7">
        <f>943*technologies[[#This Row],[Efficiency]]</f>
        <v>48451.340000000004</v>
      </c>
      <c r="T361" s="7">
        <v>0.5</v>
      </c>
      <c r="U361" s="12">
        <v>187</v>
      </c>
      <c r="V361" s="12">
        <v>187</v>
      </c>
      <c r="W361" s="7">
        <v>51.38</v>
      </c>
      <c r="X361" s="12">
        <f>1.28*technologies[[#This Row],[Efficiency]]/365</f>
        <v>0.18018191780821918</v>
      </c>
      <c r="Y361" s="7">
        <v>5</v>
      </c>
      <c r="Z361" s="7">
        <v>5</v>
      </c>
      <c r="AA361" s="7">
        <v>1</v>
      </c>
      <c r="AB361" s="7">
        <v>40000</v>
      </c>
      <c r="AC361" s="7"/>
      <c r="AD361" s="4" t="s">
        <v>1533</v>
      </c>
      <c r="AE361" s="4"/>
      <c r="AF361" s="4">
        <f>13.1*technologies[[#This Row],[Efficiency]]</f>
        <v>673.07799999999997</v>
      </c>
      <c r="AG361" s="4">
        <v>0.25</v>
      </c>
      <c r="AH361" s="9"/>
      <c r="AI361" s="9"/>
      <c r="AJ361" s="9"/>
      <c r="AK361" s="9"/>
      <c r="AL361" s="10" t="s">
        <v>1523</v>
      </c>
      <c r="AM361" s="10" t="s">
        <v>1081</v>
      </c>
      <c r="AN361" s="10" t="s">
        <v>1082</v>
      </c>
      <c r="AO361" s="10" t="s">
        <v>857</v>
      </c>
      <c r="AP361" s="10"/>
      <c r="AQ361" s="11"/>
      <c r="AR361" s="4"/>
      <c r="AS361" s="10" t="s">
        <v>1523</v>
      </c>
      <c r="AT361" s="10" t="s">
        <v>1081</v>
      </c>
      <c r="AU361" s="10" t="s">
        <v>1082</v>
      </c>
      <c r="AV361" s="10" t="s">
        <v>857</v>
      </c>
      <c r="AW361" s="10"/>
      <c r="AX361" s="10"/>
      <c r="AY361" s="10"/>
      <c r="AZ361" s="10"/>
      <c r="BA361" s="10"/>
      <c r="BB361" s="10"/>
      <c r="BC361" s="10"/>
      <c r="BD361" s="10"/>
    </row>
    <row r="362" spans="1:56" ht="130.5" x14ac:dyDescent="0.35">
      <c r="A362" s="4" t="s">
        <v>1706</v>
      </c>
      <c r="B362" s="4" t="s">
        <v>1705</v>
      </c>
      <c r="C362" s="4" t="s">
        <v>22</v>
      </c>
      <c r="D362" s="4" t="s">
        <v>1522</v>
      </c>
      <c r="E362" s="5" t="s">
        <v>34</v>
      </c>
      <c r="F362" s="6"/>
      <c r="G362" s="4" t="s">
        <v>35</v>
      </c>
      <c r="H362" s="4" t="s">
        <v>1693</v>
      </c>
      <c r="I362" s="7" t="s">
        <v>1529</v>
      </c>
      <c r="J362" s="7">
        <f>87.7*technologies[[#This Row],[Efficiency]]</f>
        <v>4998.9000000000005</v>
      </c>
      <c r="K362" s="7">
        <v>0.5</v>
      </c>
      <c r="L362" s="7" t="s">
        <v>1530</v>
      </c>
      <c r="M362" s="67">
        <f>1.03*technologies[[#This Row],[Efficiency]]</f>
        <v>58.71</v>
      </c>
      <c r="N362" s="7">
        <v>0.5</v>
      </c>
      <c r="O362" s="7" t="s">
        <v>1532</v>
      </c>
      <c r="P362" s="7">
        <f>943*technologies[[#This Row],[Efficiency]]</f>
        <v>53751</v>
      </c>
      <c r="Q362" s="7">
        <v>0.5</v>
      </c>
      <c r="R362" s="7" t="s">
        <v>1531</v>
      </c>
      <c r="S362" s="7">
        <f>943*technologies[[#This Row],[Efficiency]]</f>
        <v>53751</v>
      </c>
      <c r="T362" s="7">
        <v>0.5</v>
      </c>
      <c r="U362" s="12">
        <v>187</v>
      </c>
      <c r="V362" s="12">
        <v>187</v>
      </c>
      <c r="W362" s="7">
        <v>57</v>
      </c>
      <c r="X362" s="12">
        <f>1.28*technologies[[#This Row],[Efficiency]]/365</f>
        <v>0.19989041095890414</v>
      </c>
      <c r="Y362" s="7">
        <v>5</v>
      </c>
      <c r="Z362" s="7">
        <v>5</v>
      </c>
      <c r="AA362" s="7">
        <v>1</v>
      </c>
      <c r="AB362" s="7">
        <v>40000</v>
      </c>
      <c r="AC362" s="7"/>
      <c r="AD362" s="4" t="s">
        <v>1533</v>
      </c>
      <c r="AE362" s="4"/>
      <c r="AF362" s="4">
        <f>13.1*technologies[[#This Row],[Efficiency]]</f>
        <v>746.69999999999993</v>
      </c>
      <c r="AG362" s="4">
        <v>0.25</v>
      </c>
      <c r="AH362" s="9"/>
      <c r="AI362" s="9"/>
      <c r="AJ362" s="9"/>
      <c r="AK362" s="9"/>
      <c r="AL362" s="10" t="s">
        <v>1523</v>
      </c>
      <c r="AM362" s="10" t="s">
        <v>1081</v>
      </c>
      <c r="AN362" s="10" t="s">
        <v>1082</v>
      </c>
      <c r="AO362" s="10" t="s">
        <v>857</v>
      </c>
      <c r="AP362" s="10"/>
      <c r="AQ362" s="11"/>
      <c r="AR362" s="4"/>
      <c r="AS362" s="10" t="s">
        <v>1523</v>
      </c>
      <c r="AT362" s="10" t="s">
        <v>1081</v>
      </c>
      <c r="AU362" s="10" t="s">
        <v>1082</v>
      </c>
      <c r="AV362" s="10" t="s">
        <v>857</v>
      </c>
      <c r="AW362" s="10"/>
      <c r="AX362" s="10"/>
      <c r="AY362" s="10"/>
      <c r="AZ362" s="10"/>
      <c r="BA362" s="10"/>
      <c r="BB362" s="10"/>
      <c r="BC362" s="10"/>
      <c r="BD362" s="10"/>
    </row>
    <row r="363" spans="1:56" ht="58" x14ac:dyDescent="0.35">
      <c r="A363" s="4" t="s">
        <v>1704</v>
      </c>
      <c r="B363" s="4" t="s">
        <v>1703</v>
      </c>
      <c r="C363" s="4" t="s">
        <v>22</v>
      </c>
      <c r="D363" s="4" t="s">
        <v>1522</v>
      </c>
      <c r="E363" s="5" t="s">
        <v>34</v>
      </c>
      <c r="F363" s="6"/>
      <c r="G363" s="4" t="s">
        <v>35</v>
      </c>
      <c r="H363" s="4" t="s">
        <v>1693</v>
      </c>
      <c r="I363" s="7" t="s">
        <v>1529</v>
      </c>
      <c r="J363" s="7">
        <f>87.7*technologies[[#This Row],[Efficiency]]</f>
        <v>10090.762000000001</v>
      </c>
      <c r="K363" s="7">
        <v>0.5</v>
      </c>
      <c r="L363" s="7" t="s">
        <v>1530</v>
      </c>
      <c r="M363" s="67">
        <f>1.03*technologies[[#This Row],[Efficiency]]</f>
        <v>118.51180000000001</v>
      </c>
      <c r="N363" s="7">
        <v>0.5</v>
      </c>
      <c r="O363" s="7" t="s">
        <v>1532</v>
      </c>
      <c r="P363" s="7">
        <f>943*technologies[[#This Row],[Efficiency]]</f>
        <v>108501.58</v>
      </c>
      <c r="Q363" s="7">
        <v>0.5</v>
      </c>
      <c r="R363" s="7" t="s">
        <v>1531</v>
      </c>
      <c r="S363" s="7">
        <f>943*technologies[[#This Row],[Efficiency]]</f>
        <v>108501.58</v>
      </c>
      <c r="T363" s="7">
        <v>0.5</v>
      </c>
      <c r="U363" s="12">
        <v>187</v>
      </c>
      <c r="V363" s="12">
        <v>187</v>
      </c>
      <c r="W363" s="7">
        <v>115.06</v>
      </c>
      <c r="X363" s="12">
        <f>1.28*technologies[[#This Row],[Efficiency]]/365</f>
        <v>0.40349808219178085</v>
      </c>
      <c r="Y363" s="7">
        <v>5</v>
      </c>
      <c r="Z363" s="7">
        <v>5</v>
      </c>
      <c r="AA363" s="7">
        <v>1</v>
      </c>
      <c r="AB363" s="7">
        <v>40000</v>
      </c>
      <c r="AC363" s="7"/>
      <c r="AD363" s="4" t="s">
        <v>1533</v>
      </c>
      <c r="AE363" s="4"/>
      <c r="AF363" s="4">
        <f>13.1*technologies[[#This Row],[Efficiency]]</f>
        <v>1507.2860000000001</v>
      </c>
      <c r="AG363" s="4">
        <v>0.25</v>
      </c>
      <c r="AH363" s="9"/>
      <c r="AI363" s="9"/>
      <c r="AJ363" s="9"/>
      <c r="AK363" s="9"/>
      <c r="AL363" s="10" t="s">
        <v>1523</v>
      </c>
      <c r="AM363" s="10" t="s">
        <v>1081</v>
      </c>
      <c r="AN363" s="10" t="s">
        <v>1082</v>
      </c>
      <c r="AO363" s="10" t="s">
        <v>857</v>
      </c>
      <c r="AP363" s="10"/>
      <c r="AQ363" s="11"/>
      <c r="AR363" s="4"/>
      <c r="AS363" s="10" t="s">
        <v>1523</v>
      </c>
      <c r="AT363" s="10" t="s">
        <v>1081</v>
      </c>
      <c r="AU363" s="10" t="s">
        <v>1082</v>
      </c>
      <c r="AV363" s="10" t="s">
        <v>857</v>
      </c>
      <c r="AW363" s="10"/>
      <c r="AX363" s="10"/>
      <c r="AY363" s="10"/>
      <c r="AZ363" s="10"/>
      <c r="BA363" s="10"/>
      <c r="BB363" s="10"/>
      <c r="BC363" s="10"/>
      <c r="BD363" s="10"/>
    </row>
    <row r="364" spans="1:56" ht="29" x14ac:dyDescent="0.35">
      <c r="A364" s="4" t="s">
        <v>1720</v>
      </c>
      <c r="B364" s="4" t="s">
        <v>1721</v>
      </c>
      <c r="C364" s="4" t="s">
        <v>22</v>
      </c>
      <c r="D364" s="4" t="s">
        <v>33</v>
      </c>
      <c r="E364" s="5" t="s">
        <v>34</v>
      </c>
      <c r="F364" s="6"/>
      <c r="G364" s="4" t="s">
        <v>35</v>
      </c>
      <c r="H364" s="4" t="s">
        <v>2006</v>
      </c>
      <c r="I364" s="7">
        <v>190</v>
      </c>
      <c r="J364" s="7">
        <f>technologies[[#This Row],[Mass
Literature]]/4</f>
        <v>47.5</v>
      </c>
      <c r="K364" s="7">
        <v>0.5</v>
      </c>
      <c r="L364" s="7">
        <v>0.22</v>
      </c>
      <c r="M364" s="67">
        <f>technologies[[#This Row],[Volume
Literature]]/4</f>
        <v>5.5E-2</v>
      </c>
      <c r="N364" s="7">
        <v>0.5</v>
      </c>
      <c r="O364" s="7">
        <v>419</v>
      </c>
      <c r="P364" s="7">
        <f>technologies[[#This Row],[Heat Generated
Literature]]/4</f>
        <v>104.75</v>
      </c>
      <c r="Q364" s="7">
        <v>0.5</v>
      </c>
      <c r="R364" s="7">
        <v>740</v>
      </c>
      <c r="S364" s="7">
        <f>technologies[[#This Row],[Power required
Literature]]/4</f>
        <v>185</v>
      </c>
      <c r="T364" s="7">
        <v>0.5</v>
      </c>
      <c r="U364" s="12">
        <v>20</v>
      </c>
      <c r="V364" s="12">
        <f>190/4</f>
        <v>47.5</v>
      </c>
      <c r="W364" s="7"/>
      <c r="X364" s="12"/>
      <c r="Y364" s="7">
        <v>5</v>
      </c>
      <c r="Z364" s="7">
        <v>5</v>
      </c>
      <c r="AA364" s="7">
        <v>1</v>
      </c>
      <c r="AB364" s="7"/>
      <c r="AC364" s="7"/>
      <c r="AD364" s="4"/>
      <c r="AE364" s="4"/>
      <c r="AF364" s="4"/>
      <c r="AG364" s="4"/>
      <c r="AH364" s="9"/>
      <c r="AI364" s="9"/>
      <c r="AJ364" s="9"/>
      <c r="AK364" s="9"/>
      <c r="AL364" s="10" t="s">
        <v>1523</v>
      </c>
      <c r="AM364" s="10" t="s">
        <v>1081</v>
      </c>
      <c r="AN364" s="10" t="s">
        <v>1082</v>
      </c>
      <c r="AO364" s="10" t="s">
        <v>857</v>
      </c>
      <c r="AP364" s="10"/>
      <c r="AQ364" s="11"/>
      <c r="AR364" s="4"/>
      <c r="AS364" s="10" t="s">
        <v>1081</v>
      </c>
      <c r="AT364" s="10"/>
      <c r="AU364" s="10"/>
      <c r="AV364" s="10"/>
      <c r="AW364" s="10"/>
      <c r="AX364" s="10"/>
      <c r="AY364" s="10"/>
      <c r="AZ364" s="10"/>
      <c r="BA364" s="10"/>
      <c r="BB364" s="10"/>
      <c r="BC364" s="10"/>
      <c r="BD364" s="10"/>
    </row>
    <row r="365" spans="1:56" ht="29" x14ac:dyDescent="0.35">
      <c r="A365" s="4" t="s">
        <v>1724</v>
      </c>
      <c r="B365" s="4" t="s">
        <v>1722</v>
      </c>
      <c r="C365" s="4" t="s">
        <v>22</v>
      </c>
      <c r="D365" s="4" t="s">
        <v>1727</v>
      </c>
      <c r="E365" s="5" t="s">
        <v>34</v>
      </c>
      <c r="F365" s="6"/>
      <c r="G365" s="4" t="s">
        <v>35</v>
      </c>
      <c r="H365" s="4" t="s">
        <v>2007</v>
      </c>
      <c r="I365" s="7">
        <v>50</v>
      </c>
      <c r="J365" s="7">
        <f>technologies[[#This Row],[Mass
Literature]]/4</f>
        <v>12.5</v>
      </c>
      <c r="K365" s="7">
        <v>0.1</v>
      </c>
      <c r="L365" s="7">
        <v>0.25</v>
      </c>
      <c r="M365" s="67">
        <f>technologies[[#This Row],[Volume
Literature]]/4</f>
        <v>6.25E-2</v>
      </c>
      <c r="N365" s="7">
        <v>0.1</v>
      </c>
      <c r="O365" s="7">
        <v>832</v>
      </c>
      <c r="P365" s="7">
        <f>technologies[[#This Row],[Power required
Literature]]/4</f>
        <v>208</v>
      </c>
      <c r="Q365" s="7">
        <v>0.25</v>
      </c>
      <c r="R365" s="7">
        <v>832</v>
      </c>
      <c r="S365" s="7">
        <f>technologies[[#This Row],[Power required
Literature]]/4</f>
        <v>208</v>
      </c>
      <c r="T365" s="7">
        <v>0.25</v>
      </c>
      <c r="U365" s="12">
        <v>2.5</v>
      </c>
      <c r="V365" s="12">
        <v>12.5</v>
      </c>
      <c r="W365" s="7"/>
      <c r="X365" s="12"/>
      <c r="Y365" s="7">
        <v>6</v>
      </c>
      <c r="Z365" s="7">
        <v>6</v>
      </c>
      <c r="AA365" s="7">
        <v>1</v>
      </c>
      <c r="AB365" s="7"/>
      <c r="AC365" s="7"/>
      <c r="AD365" s="4"/>
      <c r="AE365" s="4"/>
      <c r="AF365" s="4"/>
      <c r="AG365" s="4"/>
      <c r="AH365" s="9"/>
      <c r="AI365" s="9"/>
      <c r="AJ365" s="9"/>
      <c r="AK365" s="9"/>
      <c r="AL365" s="10" t="s">
        <v>1523</v>
      </c>
      <c r="AM365" s="10" t="s">
        <v>1081</v>
      </c>
      <c r="AN365" s="10" t="s">
        <v>1082</v>
      </c>
      <c r="AO365" s="10" t="s">
        <v>857</v>
      </c>
      <c r="AP365" s="10"/>
      <c r="AQ365" s="11"/>
      <c r="AR365" s="4"/>
      <c r="AS365" s="10" t="s">
        <v>1727</v>
      </c>
      <c r="AT365" s="10"/>
      <c r="AU365" s="10"/>
      <c r="AV365" s="10"/>
      <c r="AW365" s="10"/>
      <c r="AX365" s="10"/>
      <c r="AY365" s="10"/>
      <c r="AZ365" s="10"/>
      <c r="BA365" s="10"/>
      <c r="BB365" s="10"/>
      <c r="BC365" s="10"/>
      <c r="BD365" s="10"/>
    </row>
    <row r="366" spans="1:56" ht="29" x14ac:dyDescent="0.35">
      <c r="A366" s="4" t="s">
        <v>1725</v>
      </c>
      <c r="B366" s="4" t="s">
        <v>1723</v>
      </c>
      <c r="C366" s="4" t="s">
        <v>22</v>
      </c>
      <c r="D366" s="4" t="s">
        <v>1727</v>
      </c>
      <c r="E366" s="5" t="s">
        <v>34</v>
      </c>
      <c r="F366" s="6"/>
      <c r="G366" s="4" t="s">
        <v>35</v>
      </c>
      <c r="H366" s="4"/>
      <c r="I366" s="7">
        <v>50</v>
      </c>
      <c r="J366" s="7">
        <f>technologies[[#This Row],[Mass
Literature]]/4</f>
        <v>12.5</v>
      </c>
      <c r="K366" s="7">
        <v>0.1</v>
      </c>
      <c r="L366" s="7">
        <v>0.25</v>
      </c>
      <c r="M366" s="67">
        <f>technologies[[#This Row],[Volume
Literature]]/4</f>
        <v>6.25E-2</v>
      </c>
      <c r="N366" s="7">
        <v>0.1</v>
      </c>
      <c r="O366" s="7">
        <v>832</v>
      </c>
      <c r="P366" s="7">
        <f>technologies[[#This Row],[Power required
Literature]]/4</f>
        <v>208</v>
      </c>
      <c r="Q366" s="7">
        <v>0.25</v>
      </c>
      <c r="R366" s="7">
        <v>832</v>
      </c>
      <c r="S366" s="7">
        <f>technologies[[#This Row],[Power required
Literature]]/4</f>
        <v>208</v>
      </c>
      <c r="T366" s="7">
        <v>0.25</v>
      </c>
      <c r="U366" s="12">
        <v>2.5</v>
      </c>
      <c r="V366" s="12">
        <v>12.5</v>
      </c>
      <c r="W366" s="7"/>
      <c r="X366" s="12"/>
      <c r="Y366" s="7">
        <v>3</v>
      </c>
      <c r="Z366" s="7">
        <v>3</v>
      </c>
      <c r="AA366" s="7">
        <v>1</v>
      </c>
      <c r="AB366" s="7"/>
      <c r="AC366" s="7"/>
      <c r="AD366" s="4"/>
      <c r="AE366" s="4"/>
      <c r="AF366" s="4"/>
      <c r="AG366" s="4"/>
      <c r="AH366" s="9"/>
      <c r="AI366" s="9"/>
      <c r="AJ366" s="9"/>
      <c r="AK366" s="9"/>
      <c r="AL366" s="10" t="s">
        <v>1523</v>
      </c>
      <c r="AM366" s="10" t="s">
        <v>1081</v>
      </c>
      <c r="AN366" s="10" t="s">
        <v>1082</v>
      </c>
      <c r="AO366" s="10" t="s">
        <v>857</v>
      </c>
      <c r="AP366" s="10"/>
      <c r="AQ366" s="11"/>
      <c r="AR366" s="4"/>
      <c r="AS366" s="10" t="s">
        <v>1727</v>
      </c>
      <c r="AT366" s="10"/>
      <c r="AU366" s="10"/>
      <c r="AV366" s="10"/>
      <c r="AW366" s="10"/>
      <c r="AX366" s="10"/>
      <c r="AY366" s="10"/>
      <c r="AZ366" s="10"/>
      <c r="BA366" s="10"/>
      <c r="BB366" s="10"/>
      <c r="BC366" s="10"/>
      <c r="BD366" s="10"/>
    </row>
    <row r="367" spans="1:56" ht="29" x14ac:dyDescent="0.35">
      <c r="A367" s="4" t="s">
        <v>2005</v>
      </c>
      <c r="B367" s="4" t="s">
        <v>1726</v>
      </c>
      <c r="C367" s="4" t="s">
        <v>22</v>
      </c>
      <c r="D367" s="4" t="s">
        <v>1727</v>
      </c>
      <c r="E367" s="5" t="s">
        <v>34</v>
      </c>
      <c r="F367" s="6"/>
      <c r="G367" s="6" t="s">
        <v>35</v>
      </c>
      <c r="H367" s="4"/>
      <c r="I367" s="7"/>
      <c r="J367" s="7"/>
      <c r="K367" s="7"/>
      <c r="L367" s="7"/>
      <c r="M367" s="67"/>
      <c r="N367" s="7"/>
      <c r="O367" s="7"/>
      <c r="P367" s="7"/>
      <c r="Q367" s="7"/>
      <c r="R367" s="7"/>
      <c r="S367" s="7"/>
      <c r="T367" s="7"/>
      <c r="U367" s="12"/>
      <c r="V367" s="12"/>
      <c r="W367" s="7"/>
      <c r="X367" s="12"/>
      <c r="Y367" s="7"/>
      <c r="Z367" s="7"/>
      <c r="AA367" s="7"/>
      <c r="AB367" s="7"/>
      <c r="AC367" s="7"/>
      <c r="AD367" s="4"/>
      <c r="AE367" s="4"/>
      <c r="AF367" s="4"/>
      <c r="AG367" s="4"/>
      <c r="AH367" s="9"/>
      <c r="AI367" s="9"/>
      <c r="AJ367" s="9"/>
      <c r="AK367" s="9"/>
      <c r="AL367" s="10"/>
      <c r="AM367" s="10"/>
      <c r="AN367" s="10"/>
      <c r="AO367" s="10"/>
      <c r="AP367" s="10"/>
      <c r="AQ367" s="11"/>
      <c r="AR367" s="4"/>
      <c r="AS367" s="10" t="s">
        <v>1727</v>
      </c>
      <c r="AT367" s="10"/>
      <c r="AU367" s="10"/>
      <c r="AV367" s="10"/>
      <c r="AW367" s="10"/>
      <c r="AX367" s="10"/>
      <c r="AY367" s="10"/>
      <c r="AZ367" s="10"/>
      <c r="BA367" s="10"/>
      <c r="BB367" s="10"/>
      <c r="BC367" s="10"/>
      <c r="BD367" s="10"/>
    </row>
    <row r="368" spans="1:56" x14ac:dyDescent="0.35">
      <c r="X368" s="59"/>
    </row>
    <row r="369" spans="24:24" x14ac:dyDescent="0.35">
      <c r="X369" s="59"/>
    </row>
    <row r="370" spans="24:24" x14ac:dyDescent="0.35">
      <c r="X370" s="59"/>
    </row>
    <row r="371" spans="24:24" x14ac:dyDescent="0.35">
      <c r="X371" s="59"/>
    </row>
    <row r="372" spans="24:24" x14ac:dyDescent="0.35">
      <c r="X372" s="59"/>
    </row>
    <row r="373" spans="24:24" x14ac:dyDescent="0.35">
      <c r="X373" s="59"/>
    </row>
    <row r="374" spans="24:24" x14ac:dyDescent="0.35">
      <c r="X374" s="59"/>
    </row>
    <row r="375" spans="24:24" x14ac:dyDescent="0.35">
      <c r="X375" s="59"/>
    </row>
    <row r="376" spans="24:24" x14ac:dyDescent="0.35">
      <c r="X376" s="59"/>
    </row>
    <row r="377" spans="24:24" x14ac:dyDescent="0.35">
      <c r="X377" s="59"/>
    </row>
    <row r="378" spans="24:24" x14ac:dyDescent="0.35">
      <c r="X378" s="59"/>
    </row>
    <row r="379" spans="24:24" x14ac:dyDescent="0.35">
      <c r="X379" s="59"/>
    </row>
    <row r="380" spans="24:24" x14ac:dyDescent="0.35">
      <c r="X380" s="59"/>
    </row>
    <row r="381" spans="24:24" x14ac:dyDescent="0.35">
      <c r="X381" s="59"/>
    </row>
    <row r="382" spans="24:24" x14ac:dyDescent="0.35">
      <c r="X382" s="59"/>
    </row>
    <row r="383" spans="24:24" x14ac:dyDescent="0.35">
      <c r="X383" s="59"/>
    </row>
    <row r="384" spans="24:24" x14ac:dyDescent="0.35">
      <c r="X384" s="59"/>
    </row>
    <row r="385" spans="24:24" x14ac:dyDescent="0.35">
      <c r="X385" s="59"/>
    </row>
    <row r="386" spans="24:24" x14ac:dyDescent="0.35">
      <c r="X386" s="59"/>
    </row>
    <row r="387" spans="24:24" x14ac:dyDescent="0.35">
      <c r="X387" s="59"/>
    </row>
    <row r="388" spans="24:24" x14ac:dyDescent="0.35">
      <c r="X388" s="59"/>
    </row>
    <row r="389" spans="24:24" x14ac:dyDescent="0.35">
      <c r="X389" s="59"/>
    </row>
    <row r="390" spans="24:24" x14ac:dyDescent="0.35">
      <c r="X390" s="59"/>
    </row>
    <row r="391" spans="24:24" x14ac:dyDescent="0.35">
      <c r="X391" s="59"/>
    </row>
    <row r="392" spans="24:24" x14ac:dyDescent="0.35">
      <c r="X392" s="59"/>
    </row>
    <row r="393" spans="24:24" x14ac:dyDescent="0.35">
      <c r="X393" s="59"/>
    </row>
    <row r="394" spans="24:24" x14ac:dyDescent="0.35">
      <c r="X394" s="59"/>
    </row>
    <row r="395" spans="24:24" x14ac:dyDescent="0.35">
      <c r="X395" s="59"/>
    </row>
    <row r="396" spans="24:24" x14ac:dyDescent="0.35">
      <c r="X396" s="59"/>
    </row>
    <row r="397" spans="24:24" x14ac:dyDescent="0.35">
      <c r="X397" s="59"/>
    </row>
    <row r="398" spans="24:24" x14ac:dyDescent="0.35">
      <c r="X398" s="59"/>
    </row>
    <row r="399" spans="24:24" x14ac:dyDescent="0.35">
      <c r="X399" s="59"/>
    </row>
    <row r="400" spans="24:24" x14ac:dyDescent="0.35">
      <c r="X400" s="59"/>
    </row>
    <row r="401" spans="24:24" x14ac:dyDescent="0.35">
      <c r="X401" s="59"/>
    </row>
    <row r="402" spans="24:24" x14ac:dyDescent="0.35">
      <c r="X402" s="59"/>
    </row>
    <row r="403" spans="24:24" x14ac:dyDescent="0.35">
      <c r="X403" s="59"/>
    </row>
    <row r="404" spans="24:24" x14ac:dyDescent="0.35">
      <c r="X404" s="59"/>
    </row>
    <row r="405" spans="24:24" x14ac:dyDescent="0.35">
      <c r="X405" s="59"/>
    </row>
    <row r="406" spans="24:24" x14ac:dyDescent="0.35">
      <c r="X406" s="59"/>
    </row>
    <row r="407" spans="24:24" x14ac:dyDescent="0.35">
      <c r="X407" s="59"/>
    </row>
    <row r="408" spans="24:24" x14ac:dyDescent="0.35">
      <c r="X408" s="59"/>
    </row>
    <row r="409" spans="24:24" x14ac:dyDescent="0.35">
      <c r="X409" s="59"/>
    </row>
    <row r="410" spans="24:24" x14ac:dyDescent="0.35">
      <c r="X410" s="59"/>
    </row>
    <row r="411" spans="24:24" x14ac:dyDescent="0.35">
      <c r="X411" s="59"/>
    </row>
    <row r="412" spans="24:24" x14ac:dyDescent="0.35">
      <c r="X412" s="59"/>
    </row>
    <row r="413" spans="24:24" x14ac:dyDescent="0.35">
      <c r="X413" s="59"/>
    </row>
    <row r="414" spans="24:24" x14ac:dyDescent="0.35">
      <c r="X414" s="59"/>
    </row>
    <row r="415" spans="24:24" x14ac:dyDescent="0.35">
      <c r="X415" s="59"/>
    </row>
    <row r="416" spans="24:24" x14ac:dyDescent="0.35">
      <c r="X416" s="59"/>
    </row>
    <row r="417" spans="24:24" x14ac:dyDescent="0.35">
      <c r="X417" s="59"/>
    </row>
    <row r="418" spans="24:24" x14ac:dyDescent="0.35">
      <c r="X418" s="59"/>
    </row>
    <row r="419" spans="24:24" x14ac:dyDescent="0.35">
      <c r="X419" s="59"/>
    </row>
    <row r="420" spans="24:24" x14ac:dyDescent="0.35">
      <c r="X420" s="59"/>
    </row>
    <row r="421" spans="24:24" x14ac:dyDescent="0.35">
      <c r="X421" s="59"/>
    </row>
    <row r="422" spans="24:24" x14ac:dyDescent="0.35">
      <c r="X422" s="59"/>
    </row>
    <row r="423" spans="24:24" x14ac:dyDescent="0.35">
      <c r="X423" s="59"/>
    </row>
    <row r="424" spans="24:24" x14ac:dyDescent="0.35">
      <c r="X424" s="59"/>
    </row>
    <row r="425" spans="24:24" x14ac:dyDescent="0.35">
      <c r="X425" s="59"/>
    </row>
    <row r="426" spans="24:24" x14ac:dyDescent="0.35">
      <c r="X426" s="59"/>
    </row>
    <row r="427" spans="24:24" x14ac:dyDescent="0.35">
      <c r="X427" s="59"/>
    </row>
    <row r="428" spans="24:24" x14ac:dyDescent="0.35">
      <c r="X428" s="59"/>
    </row>
    <row r="429" spans="24:24" x14ac:dyDescent="0.35">
      <c r="X429" s="59"/>
    </row>
    <row r="430" spans="24:24" x14ac:dyDescent="0.35">
      <c r="X430" s="59"/>
    </row>
    <row r="431" spans="24:24" x14ac:dyDescent="0.35">
      <c r="X431" s="59"/>
    </row>
    <row r="432" spans="24:24" x14ac:dyDescent="0.35">
      <c r="X432" s="59"/>
    </row>
    <row r="433" spans="24:24" x14ac:dyDescent="0.35">
      <c r="X433" s="59"/>
    </row>
    <row r="434" spans="24:24" x14ac:dyDescent="0.35">
      <c r="X434" s="59"/>
    </row>
    <row r="435" spans="24:24" x14ac:dyDescent="0.35">
      <c r="X435" s="59"/>
    </row>
    <row r="436" spans="24:24" x14ac:dyDescent="0.35">
      <c r="X436" s="59"/>
    </row>
    <row r="437" spans="24:24" x14ac:dyDescent="0.35">
      <c r="X437" s="59"/>
    </row>
    <row r="438" spans="24:24" x14ac:dyDescent="0.35">
      <c r="X438" s="59"/>
    </row>
    <row r="439" spans="24:24" x14ac:dyDescent="0.35">
      <c r="X439" s="59"/>
    </row>
    <row r="440" spans="24:24" x14ac:dyDescent="0.35">
      <c r="X440" s="59"/>
    </row>
    <row r="441" spans="24:24" x14ac:dyDescent="0.35">
      <c r="X441" s="59"/>
    </row>
    <row r="442" spans="24:24" x14ac:dyDescent="0.35">
      <c r="X442" s="59"/>
    </row>
    <row r="443" spans="24:24" x14ac:dyDescent="0.35">
      <c r="X443" s="59"/>
    </row>
    <row r="444" spans="24:24" x14ac:dyDescent="0.35">
      <c r="X444" s="59"/>
    </row>
  </sheetData>
  <dataValidations count="9">
    <dataValidation type="list" allowBlank="1" showInputMessage="1" showErrorMessage="1" sqref="D3:D4 D6:D87 D94:D351 D89" xr:uid="{00000000-0002-0000-0100-000000000000}">
      <formula1>"storage, O2 generation, N2 generation, CO2 reduction, CO2 removal, control, monitor, distillation, filtration"</formula1>
    </dataValidation>
    <dataValidation type="list" allowBlank="1" showInputMessage="1" showErrorMessage="1" sqref="C1:C2" xr:uid="{00000000-0002-0000-0100-000001000000}">
      <formula1>"Subsystem,air-ACS,air-THC,air-AR,water-WRM,waste-WM,food-FM,crew-CS"</formula1>
    </dataValidation>
    <dataValidation type="list" allowBlank="1" showInputMessage="1" showErrorMessage="1" sqref="D1:D2" xr:uid="{00000000-0002-0000-0100-000002000000}">
      <formula1>"Type,storage, O2 generation, N2 generation, urine processing, CO2 reduction, CO2 removal, control, monitor, distillation, filtration"</formula1>
    </dataValidation>
    <dataValidation type="list" allowBlank="1" showInputMessage="1" showErrorMessage="1" sqref="D5" xr:uid="{00000000-0002-0000-0100-000003000000}">
      <formula1>"storage, O2 generation, N2 generation, CO2 reduction, urine processing, CO2 removal, control, monitor, distillation, filtration"</formula1>
    </dataValidation>
    <dataValidation type="list" allowBlank="1" showInputMessage="1" showErrorMessage="1" sqref="D88 D90:D93" xr:uid="{00000000-0002-0000-0100-000004000000}">
      <formula1>"storage, O2 generation, N2 generation, urine processing, CO2 reduction, CO2 removal, control, monitor, distillation, filtration"</formula1>
    </dataValidation>
    <dataValidation type="list" allowBlank="1" showInputMessage="1" showErrorMessage="1" sqref="G1:G367" xr:uid="{00000000-0002-0000-0100-000005000000}">
      <formula1>level</formula1>
    </dataValidation>
    <dataValidation type="list" allowBlank="1" showInputMessage="1" showErrorMessage="1" sqref="C3:C366" xr:uid="{00000000-0002-0000-0100-000006000000}">
      <formula1>"air-ACS,air-THC,air-AR,water-WRM,waste-WM,food-FM,crew-CS"</formula1>
    </dataValidation>
    <dataValidation type="list" allowBlank="1" showInputMessage="1" showErrorMessage="1" sqref="E2:E367" xr:uid="{00000000-0002-0000-0100-000007000000}">
      <formula1>"regenerable, non regenerable"</formula1>
    </dataValidation>
    <dataValidation type="whole" allowBlank="1" showInputMessage="1" showErrorMessage="1" sqref="AB3:AB366" xr:uid="{00000000-0002-0000-0100-000008000000}">
      <formula1>0</formula1>
      <formula2>1000000000</formula2>
    </dataValidation>
  </dataValidations>
  <pageMargins left="0.7" right="0.7" top="0.78740157499999996" bottom="0.78740157499999996"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1"/>
  <dimension ref="A1:S355"/>
  <sheetViews>
    <sheetView workbookViewId="0">
      <pane ySplit="2" topLeftCell="A3" activePane="bottomLeft" state="frozen"/>
      <selection pane="bottomLeft" activeCell="A3" sqref="A3"/>
    </sheetView>
  </sheetViews>
  <sheetFormatPr defaultColWidth="11.453125" defaultRowHeight="14.15" customHeight="1" x14ac:dyDescent="0.35"/>
  <cols>
    <col min="1" max="1" width="35.453125" customWidth="1"/>
    <col min="2" max="2" width="13.54296875" customWidth="1"/>
    <col min="16" max="16" width="13.36328125" customWidth="1"/>
    <col min="17" max="18" width="12.6328125" customWidth="1"/>
  </cols>
  <sheetData>
    <row r="1" spans="1:19" ht="43.5" x14ac:dyDescent="0.35">
      <c r="A1" s="293" t="s">
        <v>1073</v>
      </c>
      <c r="B1" s="294" t="s">
        <v>1469</v>
      </c>
      <c r="C1" s="294" t="s">
        <v>1144</v>
      </c>
      <c r="D1" s="294" t="s">
        <v>964</v>
      </c>
      <c r="E1" s="294" t="s">
        <v>1151</v>
      </c>
      <c r="F1" s="294" t="s">
        <v>1145</v>
      </c>
      <c r="G1" s="294" t="s">
        <v>1254</v>
      </c>
      <c r="H1" s="294" t="s">
        <v>1255</v>
      </c>
      <c r="I1" s="294" t="s">
        <v>1449</v>
      </c>
      <c r="J1" s="294" t="s">
        <v>1256</v>
      </c>
      <c r="K1" s="294" t="s">
        <v>1459</v>
      </c>
      <c r="L1" s="294" t="s">
        <v>1458</v>
      </c>
      <c r="M1" s="294" t="s">
        <v>1400</v>
      </c>
      <c r="N1" s="294" t="s">
        <v>1396</v>
      </c>
      <c r="O1" s="295" t="s">
        <v>846</v>
      </c>
      <c r="P1" s="294" t="s">
        <v>1258</v>
      </c>
      <c r="Q1" s="294" t="s">
        <v>1398</v>
      </c>
      <c r="R1" s="294" t="s">
        <v>1457</v>
      </c>
      <c r="S1" s="296" t="s">
        <v>2</v>
      </c>
    </row>
    <row r="2" spans="1:19" ht="16.5" x14ac:dyDescent="0.35">
      <c r="A2" s="297"/>
      <c r="B2" s="298"/>
      <c r="C2" s="298"/>
      <c r="D2" s="298"/>
      <c r="E2" s="298"/>
      <c r="F2" s="298"/>
      <c r="G2" s="298" t="s">
        <v>787</v>
      </c>
      <c r="H2" s="298" t="s">
        <v>1397</v>
      </c>
      <c r="I2" s="298" t="s">
        <v>789</v>
      </c>
      <c r="J2" s="298" t="s">
        <v>789</v>
      </c>
      <c r="K2" s="299" t="s">
        <v>787</v>
      </c>
      <c r="L2" s="298" t="s">
        <v>1397</v>
      </c>
      <c r="M2" s="299" t="s">
        <v>787</v>
      </c>
      <c r="N2" s="299" t="s">
        <v>1399</v>
      </c>
      <c r="O2" s="300" t="s">
        <v>1399</v>
      </c>
      <c r="P2" s="298" t="s">
        <v>790</v>
      </c>
      <c r="Q2" s="298" t="s">
        <v>787</v>
      </c>
      <c r="R2" s="298" t="s">
        <v>787</v>
      </c>
      <c r="S2" s="301" t="s">
        <v>787</v>
      </c>
    </row>
    <row r="3" spans="1:19" ht="14.5" x14ac:dyDescent="0.35">
      <c r="A3" t="s">
        <v>1565</v>
      </c>
      <c r="B3" t="s">
        <v>1278</v>
      </c>
      <c r="C3" t="s">
        <v>66</v>
      </c>
      <c r="D3" t="s">
        <v>131</v>
      </c>
      <c r="E3" t="s">
        <v>24</v>
      </c>
      <c r="F3" t="s">
        <v>35</v>
      </c>
      <c r="G3">
        <v>3987.0998123840141</v>
      </c>
      <c r="H3">
        <v>36.332285660412538</v>
      </c>
      <c r="I3">
        <v>0</v>
      </c>
      <c r="J3">
        <v>0</v>
      </c>
      <c r="K3">
        <v>60</v>
      </c>
      <c r="L3">
        <v>0.24</v>
      </c>
      <c r="M3">
        <v>10344.002088607145</v>
      </c>
      <c r="N3">
        <v>0.95704732338911225</v>
      </c>
      <c r="O3">
        <v>0.99999985054815832</v>
      </c>
      <c r="P3">
        <v>0</v>
      </c>
      <c r="Q3">
        <v>161773.17906391344</v>
      </c>
      <c r="R3">
        <v>161773.17906391344</v>
      </c>
      <c r="S3">
        <v>162588.73506391345</v>
      </c>
    </row>
    <row r="4" spans="1:19" ht="14.5" x14ac:dyDescent="0.35">
      <c r="A4" t="s">
        <v>1566</v>
      </c>
      <c r="B4" t="s">
        <v>1278</v>
      </c>
      <c r="C4" t="s">
        <v>66</v>
      </c>
      <c r="D4" t="s">
        <v>131</v>
      </c>
      <c r="E4" t="s">
        <v>24</v>
      </c>
      <c r="F4" t="s">
        <v>35</v>
      </c>
      <c r="G4">
        <v>76.472967428801979</v>
      </c>
      <c r="H4">
        <v>0.41906891931526968</v>
      </c>
      <c r="I4">
        <v>0</v>
      </c>
      <c r="J4">
        <v>0</v>
      </c>
      <c r="K4">
        <v>60</v>
      </c>
      <c r="L4">
        <v>0.24</v>
      </c>
      <c r="M4">
        <v>149.61798530177919</v>
      </c>
      <c r="N4">
        <v>0.95704732338911225</v>
      </c>
      <c r="O4">
        <v>0.99999985054815832</v>
      </c>
      <c r="P4">
        <v>0</v>
      </c>
      <c r="Q4">
        <v>2309.722225354059</v>
      </c>
      <c r="R4">
        <v>2309.722225354059</v>
      </c>
      <c r="S4">
        <v>3125.278225354059</v>
      </c>
    </row>
    <row r="5" spans="1:19" ht="14.5" x14ac:dyDescent="0.35">
      <c r="A5" t="s">
        <v>1567</v>
      </c>
      <c r="B5" t="s">
        <v>1501</v>
      </c>
      <c r="C5" t="s">
        <v>66</v>
      </c>
      <c r="D5" t="s">
        <v>131</v>
      </c>
      <c r="E5" t="s">
        <v>24</v>
      </c>
      <c r="F5" t="s">
        <v>35</v>
      </c>
      <c r="G5">
        <v>4547.3627811814567</v>
      </c>
      <c r="H5">
        <v>9.1246743500215644</v>
      </c>
      <c r="I5">
        <v>0</v>
      </c>
      <c r="J5">
        <v>0</v>
      </c>
      <c r="K5">
        <v>60</v>
      </c>
      <c r="L5">
        <v>0.24</v>
      </c>
      <c r="M5">
        <v>10344.002088607145</v>
      </c>
      <c r="N5">
        <v>0.83786006702196225</v>
      </c>
      <c r="O5">
        <v>0.9999645626401642</v>
      </c>
      <c r="P5">
        <v>0</v>
      </c>
      <c r="Q5">
        <v>123061.44500319322</v>
      </c>
      <c r="R5">
        <v>123061.44500319322</v>
      </c>
      <c r="S5">
        <v>123877.00100319322</v>
      </c>
    </row>
    <row r="6" spans="1:19" ht="14.5" x14ac:dyDescent="0.35">
      <c r="A6" t="s">
        <v>1568</v>
      </c>
      <c r="B6" t="s">
        <v>1501</v>
      </c>
      <c r="C6" t="s">
        <v>66</v>
      </c>
      <c r="D6" t="s">
        <v>131</v>
      </c>
      <c r="E6" t="s">
        <v>24</v>
      </c>
      <c r="F6" t="s">
        <v>35</v>
      </c>
      <c r="G6">
        <v>75.077480142383394</v>
      </c>
      <c r="H6">
        <v>0.19745096615841351</v>
      </c>
      <c r="I6">
        <v>0</v>
      </c>
      <c r="J6">
        <v>0</v>
      </c>
      <c r="K6">
        <v>60</v>
      </c>
      <c r="L6">
        <v>0.24</v>
      </c>
      <c r="M6">
        <v>149.61798530177919</v>
      </c>
      <c r="N6">
        <v>0.83786006702196225</v>
      </c>
      <c r="O6">
        <v>0.9999645626401642</v>
      </c>
      <c r="P6">
        <v>0</v>
      </c>
      <c r="Q6">
        <v>1950.8968851544951</v>
      </c>
      <c r="R6">
        <v>1950.8968851544951</v>
      </c>
      <c r="S6">
        <v>2766.4528851544951</v>
      </c>
    </row>
    <row r="7" spans="1:19" ht="14.5" x14ac:dyDescent="0.35">
      <c r="A7" t="s">
        <v>1569</v>
      </c>
      <c r="B7" t="s">
        <v>1275</v>
      </c>
      <c r="C7" t="s">
        <v>46</v>
      </c>
      <c r="D7" t="s">
        <v>131</v>
      </c>
      <c r="E7" t="s">
        <v>24</v>
      </c>
      <c r="F7" t="s">
        <v>35</v>
      </c>
      <c r="G7">
        <v>13272.863491890457</v>
      </c>
      <c r="H7">
        <v>8.8387073440062238</v>
      </c>
      <c r="I7">
        <v>0</v>
      </c>
      <c r="J7">
        <v>0</v>
      </c>
      <c r="K7">
        <v>60</v>
      </c>
      <c r="L7">
        <v>0.24</v>
      </c>
      <c r="M7">
        <v>8791.5960000000014</v>
      </c>
      <c r="N7">
        <v>0.80007894711345862</v>
      </c>
      <c r="O7">
        <v>0.99991367118571051</v>
      </c>
      <c r="P7">
        <v>0</v>
      </c>
      <c r="Q7">
        <v>174975.16674902375</v>
      </c>
      <c r="R7">
        <v>174975.16674902375</v>
      </c>
      <c r="S7">
        <v>175790.72274902376</v>
      </c>
    </row>
    <row r="8" spans="1:19" ht="14.5" x14ac:dyDescent="0.35">
      <c r="A8" t="s">
        <v>1570</v>
      </c>
      <c r="B8" t="s">
        <v>1275</v>
      </c>
      <c r="C8" t="s">
        <v>46</v>
      </c>
      <c r="D8" t="s">
        <v>131</v>
      </c>
      <c r="E8" t="s">
        <v>24</v>
      </c>
      <c r="F8" t="s">
        <v>35</v>
      </c>
      <c r="G8">
        <v>17103.722386483209</v>
      </c>
      <c r="H8">
        <v>11.391077075033758</v>
      </c>
      <c r="I8">
        <v>0</v>
      </c>
      <c r="J8">
        <v>0</v>
      </c>
      <c r="K8">
        <v>60</v>
      </c>
      <c r="L8">
        <v>0.24</v>
      </c>
      <c r="M8">
        <v>0</v>
      </c>
      <c r="N8">
        <v>0.80007894711345862</v>
      </c>
      <c r="O8">
        <v>0.99991367118571051</v>
      </c>
      <c r="P8">
        <v>0</v>
      </c>
      <c r="Q8">
        <v>142777.04632191677</v>
      </c>
      <c r="R8">
        <v>142777.04632191677</v>
      </c>
      <c r="S8">
        <v>143592.60232191678</v>
      </c>
    </row>
    <row r="9" spans="1:19" ht="14.5" x14ac:dyDescent="0.35">
      <c r="A9" t="s">
        <v>1571</v>
      </c>
      <c r="B9" t="s">
        <v>1470</v>
      </c>
      <c r="C9" t="s">
        <v>22</v>
      </c>
      <c r="D9" t="s">
        <v>116</v>
      </c>
      <c r="E9" t="s">
        <v>34</v>
      </c>
      <c r="F9" t="s">
        <v>35</v>
      </c>
      <c r="G9">
        <v>351.91764705882326</v>
      </c>
      <c r="H9">
        <v>0.45117647058823501</v>
      </c>
      <c r="I9">
        <v>225.58823529411751</v>
      </c>
      <c r="J9">
        <v>962.50980392156794</v>
      </c>
      <c r="K9">
        <v>156.78000000000003</v>
      </c>
      <c r="L9">
        <v>0.62712000000000012</v>
      </c>
      <c r="M9">
        <v>0</v>
      </c>
      <c r="N9">
        <v>0</v>
      </c>
      <c r="O9">
        <v>0</v>
      </c>
      <c r="P9">
        <v>0.05</v>
      </c>
      <c r="Q9">
        <v>4130.4890058823494</v>
      </c>
      <c r="R9">
        <v>4130.6587308823491</v>
      </c>
      <c r="S9">
        <v>6261.7065588823498</v>
      </c>
    </row>
    <row r="10" spans="1:19" ht="14.5" x14ac:dyDescent="0.35">
      <c r="A10" t="s">
        <v>1572</v>
      </c>
      <c r="B10" t="s">
        <v>657</v>
      </c>
      <c r="C10" t="s">
        <v>46</v>
      </c>
      <c r="D10" t="s">
        <v>1160</v>
      </c>
      <c r="E10" t="s">
        <v>24</v>
      </c>
      <c r="F10" t="s">
        <v>35</v>
      </c>
      <c r="G10">
        <v>114.18104544502616</v>
      </c>
      <c r="H10">
        <v>0.31506910994764392</v>
      </c>
      <c r="I10">
        <v>1211.965842931937</v>
      </c>
      <c r="J10">
        <v>1456.8795643979054</v>
      </c>
      <c r="K10">
        <v>43.709931459424084</v>
      </c>
      <c r="L10">
        <v>0.17483972583769633</v>
      </c>
      <c r="M10">
        <v>89.479627225130869</v>
      </c>
      <c r="N10">
        <v>0.48675225595997162</v>
      </c>
      <c r="O10">
        <v>0.99365994933473378</v>
      </c>
      <c r="P10">
        <v>110.39999999999999</v>
      </c>
      <c r="Q10">
        <v>4199.3512875522511</v>
      </c>
      <c r="R10">
        <v>4574.1040875522503</v>
      </c>
      <c r="S10">
        <v>5168.2357019076189</v>
      </c>
    </row>
    <row r="11" spans="1:19" ht="14.5" x14ac:dyDescent="0.35">
      <c r="A11" t="s">
        <v>1573</v>
      </c>
      <c r="B11" t="s">
        <v>1471</v>
      </c>
      <c r="C11" t="s">
        <v>70</v>
      </c>
      <c r="D11" t="s">
        <v>23</v>
      </c>
      <c r="E11" t="s">
        <v>34</v>
      </c>
      <c r="F11" t="s">
        <v>35</v>
      </c>
      <c r="G11">
        <v>16.900649999999999</v>
      </c>
      <c r="H11">
        <v>0.03</v>
      </c>
      <c r="I11">
        <v>175</v>
      </c>
      <c r="J11">
        <v>288.75</v>
      </c>
      <c r="K11">
        <v>23.285339999999998</v>
      </c>
      <c r="L11">
        <v>9.3141359999999992E-2</v>
      </c>
      <c r="M11">
        <v>0</v>
      </c>
      <c r="N11">
        <v>0</v>
      </c>
      <c r="O11">
        <v>0</v>
      </c>
      <c r="P11">
        <v>0</v>
      </c>
      <c r="Q11">
        <v>540.46937000000003</v>
      </c>
      <c r="R11">
        <v>540.46937000000003</v>
      </c>
      <c r="S11">
        <v>856.97768248399996</v>
      </c>
    </row>
    <row r="12" spans="1:19" ht="14.5" x14ac:dyDescent="0.35">
      <c r="A12" t="s">
        <v>1574</v>
      </c>
      <c r="B12" t="s">
        <v>1472</v>
      </c>
      <c r="C12" t="s">
        <v>70</v>
      </c>
      <c r="D12" t="s">
        <v>23</v>
      </c>
      <c r="E12" t="s">
        <v>24</v>
      </c>
      <c r="F12" t="s">
        <v>35</v>
      </c>
      <c r="G12">
        <v>108.6032</v>
      </c>
      <c r="H12">
        <v>7.5123999999999996E-2</v>
      </c>
      <c r="I12">
        <v>0</v>
      </c>
      <c r="J12">
        <v>0</v>
      </c>
      <c r="K12">
        <v>49.029600000000002</v>
      </c>
      <c r="L12">
        <v>0.19611840000000003</v>
      </c>
      <c r="M12">
        <v>0</v>
      </c>
      <c r="N12">
        <v>0.99992800259193781</v>
      </c>
      <c r="O12">
        <v>1</v>
      </c>
      <c r="P12">
        <v>171.42994129158512</v>
      </c>
      <c r="Q12">
        <v>910.98468060000005</v>
      </c>
      <c r="R12">
        <v>1492.9036163142857</v>
      </c>
      <c r="S12">
        <v>2159.3433572742856</v>
      </c>
    </row>
    <row r="13" spans="1:19" ht="14.5" x14ac:dyDescent="0.35">
      <c r="A13" t="s">
        <v>1575</v>
      </c>
      <c r="B13" t="s">
        <v>672</v>
      </c>
      <c r="C13" t="s">
        <v>22</v>
      </c>
      <c r="D13" t="s">
        <v>116</v>
      </c>
      <c r="E13" t="s">
        <v>34</v>
      </c>
      <c r="F13" t="s">
        <v>35</v>
      </c>
      <c r="G13">
        <v>305.37135277788428</v>
      </c>
      <c r="H13">
        <v>0.39184334134615345</v>
      </c>
      <c r="I13">
        <v>408.82321947115344</v>
      </c>
      <c r="J13">
        <v>1489.0046971153831</v>
      </c>
      <c r="K13">
        <v>136.92584209499998</v>
      </c>
      <c r="L13">
        <v>0.54770336837999989</v>
      </c>
      <c r="M13">
        <v>0</v>
      </c>
      <c r="N13">
        <v>0.86588774805920499</v>
      </c>
      <c r="O13">
        <v>0.99998402911185846</v>
      </c>
      <c r="P13">
        <v>16</v>
      </c>
      <c r="Q13">
        <v>4227.0298981675915</v>
      </c>
      <c r="R13">
        <v>4281.3418981675923</v>
      </c>
      <c r="S13">
        <v>6142.5200994280885</v>
      </c>
    </row>
    <row r="14" spans="1:19" ht="14.5" x14ac:dyDescent="0.35">
      <c r="A14" t="s">
        <v>1576</v>
      </c>
      <c r="B14" t="s">
        <v>1276</v>
      </c>
      <c r="C14" t="s">
        <v>22</v>
      </c>
      <c r="D14" t="s">
        <v>33</v>
      </c>
      <c r="E14" t="s">
        <v>24</v>
      </c>
      <c r="F14" t="s">
        <v>35</v>
      </c>
      <c r="G14">
        <v>391.00361436631562</v>
      </c>
      <c r="H14">
        <v>1.4664505263157888</v>
      </c>
      <c r="I14">
        <v>58.658021052631554</v>
      </c>
      <c r="J14">
        <v>65.696983578947339</v>
      </c>
      <c r="K14">
        <v>191.97552000000002</v>
      </c>
      <c r="L14">
        <v>0.76790208000000004</v>
      </c>
      <c r="M14">
        <v>0</v>
      </c>
      <c r="N14">
        <v>0.86588774805920499</v>
      </c>
      <c r="O14">
        <v>0.99998402911185846</v>
      </c>
      <c r="P14">
        <v>0</v>
      </c>
      <c r="Q14">
        <v>5265.5149034566721</v>
      </c>
      <c r="R14">
        <v>5265.5149034566721</v>
      </c>
      <c r="S14">
        <v>7874.9613566086718</v>
      </c>
    </row>
    <row r="15" spans="1:19" ht="14.5" x14ac:dyDescent="0.35">
      <c r="A15" t="s">
        <v>106</v>
      </c>
      <c r="B15" t="s">
        <v>1624</v>
      </c>
      <c r="C15" t="s">
        <v>22</v>
      </c>
      <c r="D15" t="s">
        <v>23</v>
      </c>
      <c r="E15" t="s">
        <v>24</v>
      </c>
      <c r="F15" t="s">
        <v>35</v>
      </c>
      <c r="G15">
        <v>59.67</v>
      </c>
      <c r="H15">
        <v>1.8915999999999999E-2</v>
      </c>
      <c r="I15">
        <v>0</v>
      </c>
      <c r="J15">
        <v>0</v>
      </c>
      <c r="K15">
        <v>20.553000000000001</v>
      </c>
      <c r="L15">
        <v>8.2212000000000007E-2</v>
      </c>
      <c r="M15">
        <v>0</v>
      </c>
      <c r="N15">
        <v>0.85105374269477596</v>
      </c>
      <c r="O15">
        <v>0.99997521274579348</v>
      </c>
      <c r="P15">
        <v>0</v>
      </c>
      <c r="Q15">
        <v>465.34870539999997</v>
      </c>
      <c r="R15">
        <v>465.34870539999997</v>
      </c>
      <c r="S15">
        <v>744.71741320000001</v>
      </c>
    </row>
    <row r="16" spans="1:19" ht="14.5" x14ac:dyDescent="0.35">
      <c r="A16" t="s">
        <v>1577</v>
      </c>
      <c r="B16" t="s">
        <v>1473</v>
      </c>
      <c r="C16" t="s">
        <v>22</v>
      </c>
      <c r="D16" t="s">
        <v>23</v>
      </c>
      <c r="E16" t="s">
        <v>24</v>
      </c>
      <c r="F16" t="s">
        <v>35</v>
      </c>
      <c r="G16">
        <v>59.64246</v>
      </c>
      <c r="H16">
        <v>9.7248000000000001E-2</v>
      </c>
      <c r="I16">
        <v>0</v>
      </c>
      <c r="J16">
        <v>798.33600000000001</v>
      </c>
      <c r="K16">
        <v>20.543514000000002</v>
      </c>
      <c r="L16">
        <v>8.2174056000000009E-2</v>
      </c>
      <c r="M16">
        <v>0</v>
      </c>
      <c r="N16">
        <v>0.85138243651389534</v>
      </c>
      <c r="O16">
        <v>0.99997544173852815</v>
      </c>
      <c r="P16">
        <v>2.7397260273972603E-3</v>
      </c>
      <c r="Q16">
        <v>1095.3988428</v>
      </c>
      <c r="R16">
        <v>1095.4081428000002</v>
      </c>
      <c r="S16">
        <v>1374.6479111964004</v>
      </c>
    </row>
    <row r="17" spans="1:19" ht="14.5" x14ac:dyDescent="0.35">
      <c r="A17" t="s">
        <v>1578</v>
      </c>
      <c r="B17" t="s">
        <v>622</v>
      </c>
      <c r="C17" t="s">
        <v>22</v>
      </c>
      <c r="D17" t="s">
        <v>116</v>
      </c>
      <c r="E17" t="s">
        <v>34</v>
      </c>
      <c r="F17" t="s">
        <v>35</v>
      </c>
      <c r="G17">
        <v>76.944441772058809</v>
      </c>
      <c r="H17">
        <v>4.0010035166240396E-2</v>
      </c>
      <c r="I17">
        <v>500.12543957800489</v>
      </c>
      <c r="J17">
        <v>2280.5720044757027</v>
      </c>
      <c r="K17">
        <v>35.707186757812508</v>
      </c>
      <c r="L17">
        <v>0.14282874703125004</v>
      </c>
      <c r="M17">
        <v>0</v>
      </c>
      <c r="N17">
        <v>0</v>
      </c>
      <c r="O17">
        <v>0</v>
      </c>
      <c r="P17">
        <v>0</v>
      </c>
      <c r="Q17">
        <v>2606.0611853025571</v>
      </c>
      <c r="R17">
        <v>2606.0611853025571</v>
      </c>
      <c r="S17">
        <v>3091.4146920267995</v>
      </c>
    </row>
    <row r="18" spans="1:19" ht="14.5" x14ac:dyDescent="0.35">
      <c r="A18" t="s">
        <v>1579</v>
      </c>
      <c r="B18" t="s">
        <v>552</v>
      </c>
      <c r="C18" t="s">
        <v>70</v>
      </c>
      <c r="D18" t="s">
        <v>23</v>
      </c>
      <c r="E18" t="s">
        <v>34</v>
      </c>
      <c r="F18" t="s">
        <v>35</v>
      </c>
      <c r="G18">
        <v>86.161102222222226</v>
      </c>
      <c r="H18">
        <v>0.29875555555555555</v>
      </c>
      <c r="I18">
        <v>351.03777777777776</v>
      </c>
      <c r="J18">
        <v>393.16231111111108</v>
      </c>
      <c r="K18">
        <v>74.355765351724145</v>
      </c>
      <c r="L18">
        <v>0.29742306140689656</v>
      </c>
      <c r="M18">
        <v>50.011679999999998</v>
      </c>
      <c r="N18">
        <v>0.53377480343733852</v>
      </c>
      <c r="O18">
        <v>0.9960620166668992</v>
      </c>
      <c r="P18">
        <v>6.7220000000000004</v>
      </c>
      <c r="Q18">
        <v>2087.8820597866666</v>
      </c>
      <c r="R18">
        <v>2110.6998887866666</v>
      </c>
      <c r="S18">
        <v>3121.3880649065122</v>
      </c>
    </row>
    <row r="19" spans="1:19" ht="14.5" x14ac:dyDescent="0.35">
      <c r="A19" t="s">
        <v>1580</v>
      </c>
      <c r="B19" t="s">
        <v>594</v>
      </c>
      <c r="C19" t="s">
        <v>22</v>
      </c>
      <c r="D19" t="s">
        <v>33</v>
      </c>
      <c r="E19" t="s">
        <v>34</v>
      </c>
      <c r="F19" t="s">
        <v>35</v>
      </c>
      <c r="G19">
        <v>196.21020055073674</v>
      </c>
      <c r="H19">
        <v>9.97003051578947E-2</v>
      </c>
      <c r="I19">
        <v>478.56146475789456</v>
      </c>
      <c r="J19">
        <v>72.980623375578915</v>
      </c>
      <c r="K19">
        <v>100.34954999999999</v>
      </c>
      <c r="L19">
        <v>0.40139819999999998</v>
      </c>
      <c r="M19">
        <v>10.254888530526312</v>
      </c>
      <c r="N19">
        <v>4.3698793646333119E-2</v>
      </c>
      <c r="O19">
        <v>0.61803605752176827</v>
      </c>
      <c r="P19">
        <v>0</v>
      </c>
      <c r="Q19">
        <v>2220.4394883971568</v>
      </c>
      <c r="R19">
        <v>2220.4394883971568</v>
      </c>
      <c r="S19">
        <v>3584.4507817271565</v>
      </c>
    </row>
    <row r="20" spans="1:19" ht="14.5" x14ac:dyDescent="0.35">
      <c r="A20" t="s">
        <v>1581</v>
      </c>
      <c r="B20" t="s">
        <v>1474</v>
      </c>
      <c r="C20" t="s">
        <v>46</v>
      </c>
      <c r="D20" t="s">
        <v>165</v>
      </c>
      <c r="E20" t="s">
        <v>34</v>
      </c>
      <c r="F20" t="s">
        <v>35</v>
      </c>
      <c r="G20">
        <v>0</v>
      </c>
      <c r="H20">
        <v>0</v>
      </c>
      <c r="I20">
        <v>0</v>
      </c>
      <c r="J20">
        <v>0</v>
      </c>
      <c r="K20">
        <v>0</v>
      </c>
      <c r="L20">
        <v>0</v>
      </c>
      <c r="M20">
        <v>0</v>
      </c>
      <c r="N20">
        <v>0.99856103630251514</v>
      </c>
      <c r="O20">
        <v>0.99999999999982103</v>
      </c>
      <c r="P20">
        <v>0</v>
      </c>
      <c r="Q20">
        <v>0</v>
      </c>
      <c r="R20">
        <v>0</v>
      </c>
      <c r="S20">
        <v>0</v>
      </c>
    </row>
    <row r="21" spans="1:19" ht="14.5" x14ac:dyDescent="0.35">
      <c r="A21" t="s">
        <v>189</v>
      </c>
      <c r="B21" t="s">
        <v>1622</v>
      </c>
      <c r="C21" t="s">
        <v>22</v>
      </c>
      <c r="D21" t="s">
        <v>101</v>
      </c>
      <c r="E21" t="s">
        <v>34</v>
      </c>
      <c r="F21" t="s">
        <v>35</v>
      </c>
      <c r="G21">
        <v>0</v>
      </c>
      <c r="H21">
        <v>0</v>
      </c>
      <c r="I21">
        <v>0</v>
      </c>
      <c r="J21">
        <v>0</v>
      </c>
      <c r="K21">
        <v>0</v>
      </c>
      <c r="L21">
        <v>0</v>
      </c>
      <c r="M21">
        <v>0</v>
      </c>
      <c r="N21">
        <v>0</v>
      </c>
      <c r="O21">
        <v>0</v>
      </c>
      <c r="P21">
        <v>0</v>
      </c>
      <c r="Q21">
        <v>0</v>
      </c>
      <c r="R21">
        <v>0</v>
      </c>
      <c r="S21">
        <v>0</v>
      </c>
    </row>
    <row r="22" spans="1:19" ht="14.5" x14ac:dyDescent="0.35">
      <c r="A22" t="s">
        <v>981</v>
      </c>
      <c r="B22" t="s">
        <v>1623</v>
      </c>
      <c r="C22" t="s">
        <v>22</v>
      </c>
      <c r="D22" t="s">
        <v>101</v>
      </c>
      <c r="E22" t="s">
        <v>34</v>
      </c>
      <c r="F22" t="s">
        <v>35</v>
      </c>
      <c r="G22">
        <v>0</v>
      </c>
      <c r="H22">
        <v>0</v>
      </c>
      <c r="I22">
        <v>0</v>
      </c>
      <c r="J22">
        <v>0</v>
      </c>
      <c r="K22">
        <v>0</v>
      </c>
      <c r="L22">
        <v>0</v>
      </c>
      <c r="M22">
        <v>0</v>
      </c>
      <c r="N22">
        <v>0</v>
      </c>
      <c r="O22">
        <v>0</v>
      </c>
      <c r="P22">
        <v>0</v>
      </c>
      <c r="Q22">
        <v>0</v>
      </c>
      <c r="R22">
        <v>0</v>
      </c>
      <c r="S22">
        <v>0</v>
      </c>
    </row>
    <row r="23" spans="1:19" ht="14.5" x14ac:dyDescent="0.35">
      <c r="A23" t="s">
        <v>1582</v>
      </c>
      <c r="B23" t="s">
        <v>1277</v>
      </c>
      <c r="C23" t="s">
        <v>22</v>
      </c>
      <c r="D23" t="s">
        <v>33</v>
      </c>
      <c r="E23" t="s">
        <v>24</v>
      </c>
      <c r="F23" t="s">
        <v>35</v>
      </c>
      <c r="G23">
        <v>69.105229442307632</v>
      </c>
      <c r="H23">
        <v>0.13941173076923064</v>
      </c>
      <c r="I23">
        <v>0</v>
      </c>
      <c r="J23">
        <v>60.247384615384561</v>
      </c>
      <c r="K23">
        <v>37.08975725153374</v>
      </c>
      <c r="L23">
        <v>0.14835902900613496</v>
      </c>
      <c r="M23">
        <v>3411.8238673902756</v>
      </c>
      <c r="N23">
        <v>0.99856103630251514</v>
      </c>
      <c r="O23">
        <v>0.99999999999982103</v>
      </c>
      <c r="P23">
        <v>782.37885462554993</v>
      </c>
      <c r="Q23">
        <v>25668.361085106706</v>
      </c>
      <c r="R23">
        <v>28324.146107133136</v>
      </c>
      <c r="S23">
        <v>28828.292341550332</v>
      </c>
    </row>
    <row r="24" spans="1:19" ht="43.5" x14ac:dyDescent="0.35">
      <c r="A24" s="6" t="s">
        <v>220</v>
      </c>
      <c r="C24" t="s">
        <v>66</v>
      </c>
      <c r="D24" t="s">
        <v>23</v>
      </c>
      <c r="E24" t="s">
        <v>34</v>
      </c>
      <c r="F24" t="s">
        <v>35</v>
      </c>
      <c r="G24">
        <v>2.6330399999999998</v>
      </c>
      <c r="H24">
        <v>2.5479999999999999E-3</v>
      </c>
      <c r="I24">
        <v>0</v>
      </c>
      <c r="J24">
        <v>0</v>
      </c>
      <c r="K24">
        <v>3.6277439999999999</v>
      </c>
      <c r="L24">
        <v>1.4510976E-2</v>
      </c>
      <c r="M24">
        <v>0</v>
      </c>
      <c r="N24">
        <v>0.95313378707750473</v>
      </c>
      <c r="O24">
        <v>0.99999978714190174</v>
      </c>
      <c r="P24">
        <v>0</v>
      </c>
      <c r="Q24">
        <v>23.229578199999995</v>
      </c>
      <c r="R24">
        <v>23.229578199999995</v>
      </c>
      <c r="S24">
        <v>72.540051294400001</v>
      </c>
    </row>
    <row r="25" spans="1:19" ht="43.5" x14ac:dyDescent="0.35">
      <c r="A25" s="6" t="s">
        <v>222</v>
      </c>
      <c r="C25" t="s">
        <v>66</v>
      </c>
      <c r="D25" t="s">
        <v>23</v>
      </c>
      <c r="E25" t="s">
        <v>34</v>
      </c>
      <c r="F25" t="s">
        <v>35</v>
      </c>
      <c r="G25">
        <v>2.6324999999999998</v>
      </c>
      <c r="H25">
        <v>0</v>
      </c>
      <c r="I25">
        <v>0</v>
      </c>
      <c r="J25">
        <v>0</v>
      </c>
      <c r="K25">
        <v>4.8964499999999997</v>
      </c>
      <c r="L25">
        <v>1.95858E-2</v>
      </c>
      <c r="M25">
        <v>0</v>
      </c>
      <c r="N25">
        <v>0.95313378707750473</v>
      </c>
      <c r="O25">
        <v>0.99999978714190174</v>
      </c>
      <c r="P25">
        <v>0</v>
      </c>
      <c r="Q25">
        <v>19.21725</v>
      </c>
      <c r="R25">
        <v>19.21725</v>
      </c>
      <c r="S25">
        <v>85.772736269999996</v>
      </c>
    </row>
    <row r="26" spans="1:19" ht="14.5" x14ac:dyDescent="0.35">
      <c r="A26" t="s">
        <v>1583</v>
      </c>
      <c r="B26" t="s">
        <v>1464</v>
      </c>
      <c r="C26" t="s">
        <v>22</v>
      </c>
      <c r="D26" t="s">
        <v>101</v>
      </c>
      <c r="E26" t="s">
        <v>34</v>
      </c>
      <c r="F26" t="s">
        <v>35</v>
      </c>
      <c r="G26">
        <v>56.390749</v>
      </c>
      <c r="H26">
        <v>0.43896000000000002</v>
      </c>
      <c r="I26">
        <v>103.5</v>
      </c>
      <c r="J26">
        <v>115.92</v>
      </c>
      <c r="K26">
        <v>101.83183799999999</v>
      </c>
      <c r="L26">
        <v>0.40732735199999998</v>
      </c>
      <c r="M26">
        <v>0</v>
      </c>
      <c r="N26">
        <v>0</v>
      </c>
      <c r="O26">
        <v>0</v>
      </c>
      <c r="P26">
        <v>0</v>
      </c>
      <c r="Q26">
        <v>1286.1334836999997</v>
      </c>
      <c r="R26">
        <v>1286.1334836999997</v>
      </c>
      <c r="S26">
        <v>2670.2929248987998</v>
      </c>
    </row>
    <row r="27" spans="1:19" ht="43.5" x14ac:dyDescent="0.35">
      <c r="A27" s="6" t="s">
        <v>232</v>
      </c>
      <c r="C27" t="s">
        <v>66</v>
      </c>
      <c r="D27" t="s">
        <v>23</v>
      </c>
      <c r="E27" t="s">
        <v>34</v>
      </c>
      <c r="F27" t="s">
        <v>35</v>
      </c>
      <c r="G27">
        <v>0</v>
      </c>
      <c r="H27">
        <v>0</v>
      </c>
      <c r="I27">
        <v>0</v>
      </c>
      <c r="J27">
        <v>0</v>
      </c>
      <c r="K27">
        <v>0</v>
      </c>
      <c r="L27">
        <v>0</v>
      </c>
      <c r="M27">
        <v>0</v>
      </c>
      <c r="N27">
        <v>0.95313378707750473</v>
      </c>
      <c r="O27">
        <v>0.99999978714190174</v>
      </c>
      <c r="P27">
        <v>0</v>
      </c>
      <c r="Q27">
        <v>0</v>
      </c>
      <c r="R27">
        <v>0</v>
      </c>
      <c r="S27">
        <v>0</v>
      </c>
    </row>
    <row r="28" spans="1:19" ht="14.5" x14ac:dyDescent="0.35">
      <c r="A28" t="s">
        <v>1584</v>
      </c>
      <c r="B28" t="s">
        <v>1475</v>
      </c>
      <c r="C28" t="s">
        <v>22</v>
      </c>
      <c r="D28" t="s">
        <v>33</v>
      </c>
      <c r="E28" t="s">
        <v>34</v>
      </c>
      <c r="F28" t="s">
        <v>35</v>
      </c>
      <c r="G28">
        <v>68.277739683461476</v>
      </c>
      <c r="H28">
        <v>0.12426023076923066</v>
      </c>
      <c r="I28">
        <v>627.57692307692253</v>
      </c>
      <c r="J28">
        <v>702.88615384615321</v>
      </c>
      <c r="K28">
        <v>35.490672000000004</v>
      </c>
      <c r="L28">
        <v>0.141962688</v>
      </c>
      <c r="M28">
        <v>0</v>
      </c>
      <c r="N28">
        <v>0</v>
      </c>
      <c r="O28">
        <v>0</v>
      </c>
      <c r="P28">
        <v>1168</v>
      </c>
      <c r="Q28">
        <v>1809.1819626469598</v>
      </c>
      <c r="R28">
        <v>5773.9579626469595</v>
      </c>
      <c r="S28">
        <v>6256.3684708741603</v>
      </c>
    </row>
    <row r="29" spans="1:19" ht="14.5" x14ac:dyDescent="0.35">
      <c r="A29" t="s">
        <v>963</v>
      </c>
      <c r="C29" t="s">
        <v>22</v>
      </c>
      <c r="D29" t="s">
        <v>101</v>
      </c>
      <c r="E29" t="s">
        <v>24</v>
      </c>
      <c r="F29" t="s">
        <v>35</v>
      </c>
      <c r="G29">
        <v>50</v>
      </c>
      <c r="H29">
        <v>0.13500000000000001</v>
      </c>
      <c r="I29">
        <v>25</v>
      </c>
      <c r="J29">
        <v>28</v>
      </c>
      <c r="K29">
        <v>372</v>
      </c>
      <c r="L29">
        <v>1.488</v>
      </c>
      <c r="M29">
        <v>0</v>
      </c>
      <c r="N29">
        <v>0</v>
      </c>
      <c r="O29">
        <v>0</v>
      </c>
      <c r="P29">
        <v>2</v>
      </c>
      <c r="Q29">
        <v>621.8030500000001</v>
      </c>
      <c r="R29">
        <v>628.59205000000009</v>
      </c>
      <c r="S29">
        <v>5685.0392499999998</v>
      </c>
    </row>
    <row r="30" spans="1:19" ht="14.5" x14ac:dyDescent="0.35">
      <c r="A30" t="s">
        <v>1585</v>
      </c>
      <c r="B30" t="s">
        <v>1476</v>
      </c>
      <c r="C30" t="s">
        <v>22</v>
      </c>
      <c r="D30" t="s">
        <v>33</v>
      </c>
      <c r="E30" t="s">
        <v>34</v>
      </c>
      <c r="F30" t="s">
        <v>35</v>
      </c>
      <c r="G30">
        <v>212.47961538461519</v>
      </c>
      <c r="H30">
        <v>0.38849999999999968</v>
      </c>
      <c r="I30">
        <v>343.67307692307656</v>
      </c>
      <c r="J30">
        <v>419.28115384615342</v>
      </c>
      <c r="K30">
        <v>118.5</v>
      </c>
      <c r="L30">
        <v>0.47400000000000003</v>
      </c>
      <c r="M30">
        <v>17.930769230769215</v>
      </c>
      <c r="N30">
        <v>0</v>
      </c>
      <c r="O30">
        <v>0</v>
      </c>
      <c r="P30">
        <v>0</v>
      </c>
      <c r="Q30">
        <v>2925.7368088846129</v>
      </c>
      <c r="R30">
        <v>2925.7368088846129</v>
      </c>
      <c r="S30">
        <v>4536.4599088846135</v>
      </c>
    </row>
    <row r="31" spans="1:19" ht="14.5" x14ac:dyDescent="0.35">
      <c r="A31" t="s">
        <v>1586</v>
      </c>
      <c r="B31" t="s">
        <v>1477</v>
      </c>
      <c r="C31" t="s">
        <v>22</v>
      </c>
      <c r="D31" t="s">
        <v>33</v>
      </c>
      <c r="E31" t="s">
        <v>34</v>
      </c>
      <c r="F31" t="s">
        <v>35</v>
      </c>
      <c r="G31">
        <v>150.3659365384614</v>
      </c>
      <c r="H31">
        <v>0.29137499999999977</v>
      </c>
      <c r="I31">
        <v>642.51923076923026</v>
      </c>
      <c r="J31">
        <v>719.62153846153785</v>
      </c>
      <c r="K31">
        <v>152.02688760000004</v>
      </c>
      <c r="L31">
        <v>0.6081075504000002</v>
      </c>
      <c r="M31">
        <v>164.0665384615383</v>
      </c>
      <c r="N31">
        <v>0.36040434262936522</v>
      </c>
      <c r="O31">
        <v>0.97972723608288925</v>
      </c>
      <c r="P31">
        <v>12.103269230769222</v>
      </c>
      <c r="Q31">
        <v>3895.5622839807661</v>
      </c>
      <c r="R31">
        <v>3936.6468313846117</v>
      </c>
      <c r="S31">
        <v>6003.0875037763726</v>
      </c>
    </row>
    <row r="32" spans="1:19" ht="14.5" x14ac:dyDescent="0.35">
      <c r="A32" t="s">
        <v>1587</v>
      </c>
      <c r="B32" t="s">
        <v>25</v>
      </c>
      <c r="C32" t="s">
        <v>22</v>
      </c>
      <c r="D32" t="s">
        <v>23</v>
      </c>
      <c r="E32" t="s">
        <v>24</v>
      </c>
      <c r="F32" t="s">
        <v>35</v>
      </c>
      <c r="G32">
        <v>328.907016</v>
      </c>
      <c r="H32">
        <v>1.087464</v>
      </c>
      <c r="I32">
        <v>520</v>
      </c>
      <c r="J32">
        <v>806.4</v>
      </c>
      <c r="K32">
        <v>148.48714799999999</v>
      </c>
      <c r="L32">
        <v>0.59394859199999994</v>
      </c>
      <c r="M32">
        <v>158.46575342465752</v>
      </c>
      <c r="N32">
        <v>0.63677529879917705</v>
      </c>
      <c r="O32">
        <v>0.99879163716422292</v>
      </c>
      <c r="P32">
        <v>17.48</v>
      </c>
      <c r="Q32">
        <v>6334.9258483999984</v>
      </c>
      <c r="R32">
        <v>6394.2617083999985</v>
      </c>
      <c r="S32">
        <v>8412.5881163047979</v>
      </c>
    </row>
    <row r="33" spans="1:19" ht="14.5" x14ac:dyDescent="0.35">
      <c r="A33" t="s">
        <v>1588</v>
      </c>
      <c r="B33" t="s">
        <v>1478</v>
      </c>
      <c r="C33" t="s">
        <v>66</v>
      </c>
      <c r="D33" t="s">
        <v>23</v>
      </c>
      <c r="E33" t="s">
        <v>34</v>
      </c>
      <c r="F33" t="s">
        <v>35</v>
      </c>
      <c r="G33">
        <v>7.7249999999999996</v>
      </c>
      <c r="H33">
        <v>1.2200000000000001E-2</v>
      </c>
      <c r="I33">
        <v>0</v>
      </c>
      <c r="J33">
        <v>6.16</v>
      </c>
      <c r="K33">
        <v>13.950000000000001</v>
      </c>
      <c r="L33">
        <v>5.5800000000000002E-2</v>
      </c>
      <c r="M33">
        <v>0</v>
      </c>
      <c r="N33">
        <v>0</v>
      </c>
      <c r="O33">
        <v>0</v>
      </c>
      <c r="P33">
        <v>0</v>
      </c>
      <c r="Q33">
        <v>79.497146000000001</v>
      </c>
      <c r="R33">
        <v>79.497146000000001</v>
      </c>
      <c r="S33">
        <v>269.11391600000002</v>
      </c>
    </row>
    <row r="34" spans="1:19" ht="29" x14ac:dyDescent="0.35">
      <c r="A34" s="6" t="s">
        <v>327</v>
      </c>
      <c r="C34" t="s">
        <v>66</v>
      </c>
      <c r="D34" t="s">
        <v>23</v>
      </c>
      <c r="E34" t="s">
        <v>34</v>
      </c>
      <c r="F34" t="s">
        <v>35</v>
      </c>
      <c r="G34">
        <v>2.6330399999999998</v>
      </c>
      <c r="H34">
        <v>8.4900000000000004E-4</v>
      </c>
      <c r="I34">
        <v>0</v>
      </c>
      <c r="J34">
        <v>0</v>
      </c>
      <c r="K34">
        <v>3.6277439999999999</v>
      </c>
      <c r="L34">
        <v>1.4510976E-2</v>
      </c>
      <c r="M34">
        <v>0</v>
      </c>
      <c r="N34">
        <v>0</v>
      </c>
      <c r="O34">
        <v>0</v>
      </c>
      <c r="P34">
        <v>0</v>
      </c>
      <c r="Q34">
        <v>20.556796349999999</v>
      </c>
      <c r="R34">
        <v>20.556796349999999</v>
      </c>
      <c r="S34">
        <v>69.867269444399994</v>
      </c>
    </row>
    <row r="35" spans="1:19" ht="14.5" x14ac:dyDescent="0.35">
      <c r="A35" t="s">
        <v>1589</v>
      </c>
      <c r="B35" t="s">
        <v>221</v>
      </c>
      <c r="C35" t="s">
        <v>66</v>
      </c>
      <c r="D35" t="s">
        <v>23</v>
      </c>
      <c r="E35" t="s">
        <v>34</v>
      </c>
      <c r="F35" t="s">
        <v>35</v>
      </c>
      <c r="G35">
        <v>27.913</v>
      </c>
      <c r="H35">
        <v>5.2436000000000003E-2</v>
      </c>
      <c r="I35">
        <v>0</v>
      </c>
      <c r="J35">
        <v>126.56</v>
      </c>
      <c r="K35">
        <v>50.405999999999999</v>
      </c>
      <c r="L35">
        <v>0.201624</v>
      </c>
      <c r="M35">
        <v>0</v>
      </c>
      <c r="N35">
        <v>0</v>
      </c>
      <c r="O35">
        <v>0</v>
      </c>
      <c r="P35">
        <v>0</v>
      </c>
      <c r="Q35">
        <v>366.6328494</v>
      </c>
      <c r="R35">
        <v>366.6328494</v>
      </c>
      <c r="S35">
        <v>1051.7814450000001</v>
      </c>
    </row>
    <row r="36" spans="1:19" ht="14.5" x14ac:dyDescent="0.35">
      <c r="A36" t="s">
        <v>1590</v>
      </c>
      <c r="B36" t="s">
        <v>1479</v>
      </c>
      <c r="C36" t="s">
        <v>22</v>
      </c>
      <c r="D36" t="s">
        <v>23</v>
      </c>
      <c r="E36" t="s">
        <v>34</v>
      </c>
      <c r="F36" t="s">
        <v>35</v>
      </c>
      <c r="G36">
        <v>0</v>
      </c>
      <c r="H36">
        <v>0</v>
      </c>
      <c r="I36">
        <v>0</v>
      </c>
      <c r="J36">
        <v>0</v>
      </c>
      <c r="K36">
        <v>0</v>
      </c>
      <c r="L36">
        <v>0</v>
      </c>
      <c r="M36">
        <v>0</v>
      </c>
      <c r="N36">
        <v>0</v>
      </c>
      <c r="O36">
        <v>0</v>
      </c>
      <c r="P36">
        <v>0</v>
      </c>
      <c r="Q36">
        <v>0</v>
      </c>
      <c r="R36">
        <v>0</v>
      </c>
      <c r="S36">
        <v>0</v>
      </c>
    </row>
    <row r="37" spans="1:19" ht="14.5" x14ac:dyDescent="0.35">
      <c r="A37" t="s">
        <v>1591</v>
      </c>
      <c r="B37" t="s">
        <v>1480</v>
      </c>
      <c r="C37" t="s">
        <v>46</v>
      </c>
      <c r="D37" t="s">
        <v>165</v>
      </c>
      <c r="E37" t="s">
        <v>34</v>
      </c>
      <c r="F37" t="s">
        <v>35</v>
      </c>
      <c r="G37">
        <v>0</v>
      </c>
      <c r="H37">
        <v>0</v>
      </c>
      <c r="I37">
        <v>0</v>
      </c>
      <c r="J37">
        <v>0</v>
      </c>
      <c r="K37">
        <v>0</v>
      </c>
      <c r="L37">
        <v>0</v>
      </c>
      <c r="M37">
        <v>0</v>
      </c>
      <c r="N37">
        <v>0.54881163609402639</v>
      </c>
      <c r="O37">
        <v>0.99664193114675204</v>
      </c>
      <c r="P37">
        <v>29.866666666666671</v>
      </c>
      <c r="Q37">
        <v>0</v>
      </c>
      <c r="R37">
        <v>101.38240000000002</v>
      </c>
      <c r="S37">
        <v>101.38240000000002</v>
      </c>
    </row>
    <row r="38" spans="1:19" ht="14.5" x14ac:dyDescent="0.35">
      <c r="A38" t="s">
        <v>1592</v>
      </c>
      <c r="B38" t="s">
        <v>1481</v>
      </c>
      <c r="C38" t="s">
        <v>22</v>
      </c>
      <c r="D38" t="s">
        <v>116</v>
      </c>
      <c r="E38" t="s">
        <v>34</v>
      </c>
      <c r="F38" t="s">
        <v>35</v>
      </c>
      <c r="G38">
        <v>253.17499038461517</v>
      </c>
      <c r="H38">
        <v>0.50803846153846111</v>
      </c>
      <c r="I38">
        <v>269.7086538461536</v>
      </c>
      <c r="J38">
        <v>75.309230769230709</v>
      </c>
      <c r="K38">
        <v>65.50152400890002</v>
      </c>
      <c r="L38">
        <v>0.2620060960356001</v>
      </c>
      <c r="M38">
        <v>46.171730769230727</v>
      </c>
      <c r="N38">
        <v>0</v>
      </c>
      <c r="O38">
        <v>0</v>
      </c>
      <c r="P38">
        <v>2.7</v>
      </c>
      <c r="Q38">
        <v>3319.7361459230738</v>
      </c>
      <c r="R38">
        <v>3328.9012959230736</v>
      </c>
      <c r="S38">
        <v>4219.2373111664483</v>
      </c>
    </row>
    <row r="39" spans="1:19" ht="14.5" x14ac:dyDescent="0.35">
      <c r="A39" t="s">
        <v>368</v>
      </c>
      <c r="C39" t="s">
        <v>22</v>
      </c>
      <c r="D39" t="s">
        <v>116</v>
      </c>
      <c r="E39" t="s">
        <v>24</v>
      </c>
      <c r="F39" t="s">
        <v>35</v>
      </c>
      <c r="G39">
        <v>13948.399176923065</v>
      </c>
      <c r="H39">
        <v>0.13941173076923064</v>
      </c>
      <c r="I39">
        <v>0</v>
      </c>
      <c r="J39">
        <v>65.62661538461532</v>
      </c>
      <c r="K39">
        <v>166.27725000000001</v>
      </c>
      <c r="L39">
        <v>0.66510900000000006</v>
      </c>
      <c r="M39">
        <v>0</v>
      </c>
      <c r="N39">
        <v>0.99856103630251514</v>
      </c>
      <c r="O39">
        <v>0.99999999999982103</v>
      </c>
      <c r="P39">
        <v>0</v>
      </c>
      <c r="Q39">
        <v>102084.30901922876</v>
      </c>
      <c r="R39">
        <v>102084.30901922876</v>
      </c>
      <c r="S39">
        <v>104344.44916757876</v>
      </c>
    </row>
    <row r="40" spans="1:19" ht="14.5" x14ac:dyDescent="0.35">
      <c r="A40" t="s">
        <v>1593</v>
      </c>
      <c r="B40" t="s">
        <v>612</v>
      </c>
      <c r="C40" t="s">
        <v>22</v>
      </c>
      <c r="D40" t="s">
        <v>33</v>
      </c>
      <c r="E40" t="s">
        <v>34</v>
      </c>
      <c r="F40" t="s">
        <v>35</v>
      </c>
      <c r="G40">
        <v>218.30202080480748</v>
      </c>
      <c r="H40">
        <v>0.36572045192307662</v>
      </c>
      <c r="I40">
        <v>599.08493076923025</v>
      </c>
      <c r="J40">
        <v>670.97512246153792</v>
      </c>
      <c r="K40">
        <v>116.8772724</v>
      </c>
      <c r="L40">
        <v>0.46750908959999998</v>
      </c>
      <c r="M40">
        <v>0</v>
      </c>
      <c r="N40">
        <v>0.42867388518401917</v>
      </c>
      <c r="O40">
        <v>0.98899715895726947</v>
      </c>
      <c r="P40">
        <v>0</v>
      </c>
      <c r="Q40">
        <v>3233.5789003070508</v>
      </c>
      <c r="R40">
        <v>3233.5789003070508</v>
      </c>
      <c r="S40">
        <v>4822.2449131312906</v>
      </c>
    </row>
    <row r="41" spans="1:19" ht="14.5" x14ac:dyDescent="0.35">
      <c r="A41" t="s">
        <v>1594</v>
      </c>
      <c r="B41" t="s">
        <v>1484</v>
      </c>
      <c r="C41" t="s">
        <v>22</v>
      </c>
      <c r="D41" t="s">
        <v>62</v>
      </c>
      <c r="E41" t="s">
        <v>34</v>
      </c>
      <c r="F41" t="s">
        <v>35</v>
      </c>
      <c r="G41">
        <v>513.40874509803893</v>
      </c>
      <c r="H41">
        <v>0.59404901960784284</v>
      </c>
      <c r="I41">
        <v>248.14705882352925</v>
      </c>
      <c r="J41">
        <v>2711.0291764705862</v>
      </c>
      <c r="K41">
        <v>131.70569732830188</v>
      </c>
      <c r="L41">
        <v>0.52682278931320758</v>
      </c>
      <c r="M41">
        <v>154.6271999999999</v>
      </c>
      <c r="N41">
        <v>0.13036925489547649</v>
      </c>
      <c r="O41">
        <v>0.85031529135272699</v>
      </c>
      <c r="P41">
        <v>49.99035294117644</v>
      </c>
      <c r="Q41">
        <v>7797.4403796823481</v>
      </c>
      <c r="R41">
        <v>7967.1326327411707</v>
      </c>
      <c r="S41">
        <v>9757.3554942458468</v>
      </c>
    </row>
    <row r="42" spans="1:19" ht="14.5" x14ac:dyDescent="0.35">
      <c r="A42" t="s">
        <v>1595</v>
      </c>
      <c r="B42" t="s">
        <v>1482</v>
      </c>
      <c r="C42" t="s">
        <v>139</v>
      </c>
      <c r="D42" t="s">
        <v>23</v>
      </c>
      <c r="E42" t="s">
        <v>34</v>
      </c>
      <c r="F42" t="s">
        <v>35</v>
      </c>
      <c r="G42">
        <v>0</v>
      </c>
      <c r="H42">
        <v>0</v>
      </c>
      <c r="I42">
        <v>0</v>
      </c>
      <c r="J42">
        <v>0</v>
      </c>
      <c r="K42">
        <v>0</v>
      </c>
      <c r="L42">
        <v>0</v>
      </c>
      <c r="M42">
        <v>0</v>
      </c>
      <c r="N42">
        <v>0</v>
      </c>
      <c r="O42">
        <v>0</v>
      </c>
      <c r="P42">
        <v>0</v>
      </c>
      <c r="Q42">
        <v>0</v>
      </c>
      <c r="R42">
        <v>0</v>
      </c>
      <c r="S42">
        <v>0</v>
      </c>
    </row>
    <row r="43" spans="1:19" ht="14.5" x14ac:dyDescent="0.35">
      <c r="A43" t="s">
        <v>1596</v>
      </c>
      <c r="B43" t="s">
        <v>619</v>
      </c>
      <c r="C43" t="s">
        <v>22</v>
      </c>
      <c r="D43" t="s">
        <v>62</v>
      </c>
      <c r="E43" t="s">
        <v>34</v>
      </c>
      <c r="F43" t="s">
        <v>35</v>
      </c>
      <c r="G43">
        <v>131.28107352941169</v>
      </c>
      <c r="H43">
        <v>0.15791176470588228</v>
      </c>
      <c r="I43">
        <v>43.989705882352915</v>
      </c>
      <c r="J43">
        <v>1857.0423529411753</v>
      </c>
      <c r="K43">
        <v>51.502574999999993</v>
      </c>
      <c r="L43">
        <v>0.20601029999999998</v>
      </c>
      <c r="M43">
        <v>0</v>
      </c>
      <c r="N43">
        <v>0.13036925489547649</v>
      </c>
      <c r="O43">
        <v>0.85031529135272699</v>
      </c>
      <c r="P43">
        <v>16.666666666666664</v>
      </c>
      <c r="Q43">
        <v>2433.0625562941163</v>
      </c>
      <c r="R43">
        <v>2489.6375562941162</v>
      </c>
      <c r="S43">
        <v>3189.6914572391161</v>
      </c>
    </row>
    <row r="44" spans="1:19" ht="14.5" x14ac:dyDescent="0.35">
      <c r="A44" t="s">
        <v>1597</v>
      </c>
      <c r="B44" t="s">
        <v>1485</v>
      </c>
      <c r="C44" t="s">
        <v>139</v>
      </c>
      <c r="D44" t="s">
        <v>23</v>
      </c>
      <c r="E44" t="s">
        <v>34</v>
      </c>
      <c r="F44" t="s">
        <v>35</v>
      </c>
      <c r="G44">
        <v>0</v>
      </c>
      <c r="H44">
        <v>0</v>
      </c>
      <c r="I44">
        <v>0</v>
      </c>
      <c r="J44">
        <v>0</v>
      </c>
      <c r="K44">
        <v>0</v>
      </c>
      <c r="L44">
        <v>0</v>
      </c>
      <c r="M44">
        <v>0</v>
      </c>
      <c r="N44">
        <v>0</v>
      </c>
      <c r="O44">
        <v>0</v>
      </c>
      <c r="P44">
        <v>0</v>
      </c>
      <c r="Q44">
        <v>0</v>
      </c>
      <c r="R44">
        <v>0</v>
      </c>
      <c r="S44">
        <v>0</v>
      </c>
    </row>
    <row r="45" spans="1:19" ht="14.5" x14ac:dyDescent="0.35">
      <c r="A45" t="s">
        <v>421</v>
      </c>
      <c r="C45" t="s">
        <v>22</v>
      </c>
      <c r="D45" t="s">
        <v>116</v>
      </c>
      <c r="E45" t="s">
        <v>24</v>
      </c>
      <c r="F45" t="s">
        <v>35</v>
      </c>
      <c r="G45">
        <v>22466.42258823528</v>
      </c>
      <c r="H45">
        <v>29.326470588235278</v>
      </c>
      <c r="I45">
        <v>0</v>
      </c>
      <c r="J45">
        <v>1.5159529411764696</v>
      </c>
      <c r="K45">
        <v>30.552</v>
      </c>
      <c r="L45">
        <v>0.122208</v>
      </c>
      <c r="M45">
        <v>0</v>
      </c>
      <c r="N45">
        <v>0.99856103630251514</v>
      </c>
      <c r="O45">
        <v>0.99999999999982103</v>
      </c>
      <c r="P45">
        <v>3243.2857142857142</v>
      </c>
      <c r="Q45">
        <v>210140.78488171281</v>
      </c>
      <c r="R45">
        <v>221150.11823885565</v>
      </c>
      <c r="S45">
        <v>221565.39935405567</v>
      </c>
    </row>
    <row r="46" spans="1:19" ht="14.5" x14ac:dyDescent="0.35">
      <c r="A46" t="s">
        <v>1393</v>
      </c>
      <c r="B46" t="s">
        <v>640</v>
      </c>
      <c r="C46" t="s">
        <v>46</v>
      </c>
      <c r="D46" t="s">
        <v>1160</v>
      </c>
      <c r="E46" t="s">
        <v>34</v>
      </c>
      <c r="F46" t="s">
        <v>35</v>
      </c>
      <c r="G46">
        <v>27.172827172827169</v>
      </c>
      <c r="H46">
        <v>7.3526473526473513E-2</v>
      </c>
      <c r="I46">
        <v>54.345654345654339</v>
      </c>
      <c r="J46">
        <v>66.301698301698295</v>
      </c>
      <c r="K46">
        <v>9.9860139860139867</v>
      </c>
      <c r="L46">
        <v>3.9944055944055951E-2</v>
      </c>
      <c r="M46">
        <v>9.590409590409589</v>
      </c>
      <c r="N46">
        <v>0.36531583178309529</v>
      </c>
      <c r="O46">
        <v>0.98058007738717345</v>
      </c>
      <c r="P46">
        <v>19.2</v>
      </c>
      <c r="Q46">
        <v>484.0696071928071</v>
      </c>
      <c r="R46">
        <v>549.24400719280709</v>
      </c>
      <c r="S46">
        <v>684.97990089910081</v>
      </c>
    </row>
    <row r="47" spans="1:19" ht="14.5" x14ac:dyDescent="0.35">
      <c r="A47" t="s">
        <v>1598</v>
      </c>
      <c r="B47" t="s">
        <v>1486</v>
      </c>
      <c r="C47" t="s">
        <v>46</v>
      </c>
      <c r="D47" t="s">
        <v>165</v>
      </c>
      <c r="E47" t="s">
        <v>34</v>
      </c>
      <c r="F47" t="s">
        <v>35</v>
      </c>
      <c r="G47">
        <v>0</v>
      </c>
      <c r="H47">
        <v>0</v>
      </c>
      <c r="I47">
        <v>0</v>
      </c>
      <c r="J47">
        <v>0</v>
      </c>
      <c r="K47">
        <v>0</v>
      </c>
      <c r="L47">
        <v>0</v>
      </c>
      <c r="M47">
        <v>0</v>
      </c>
      <c r="N47">
        <v>0</v>
      </c>
      <c r="O47">
        <v>0</v>
      </c>
      <c r="P47">
        <v>0</v>
      </c>
      <c r="Q47">
        <v>0</v>
      </c>
      <c r="R47">
        <v>0</v>
      </c>
      <c r="S47">
        <v>0</v>
      </c>
    </row>
    <row r="48" spans="1:19" ht="14.5" x14ac:dyDescent="0.35">
      <c r="A48" t="s">
        <v>1599</v>
      </c>
      <c r="B48" t="s">
        <v>1502</v>
      </c>
      <c r="C48" t="s">
        <v>46</v>
      </c>
      <c r="D48" t="s">
        <v>1160</v>
      </c>
      <c r="E48" t="s">
        <v>34</v>
      </c>
      <c r="F48" t="s">
        <v>35</v>
      </c>
      <c r="G48">
        <v>341.64644247787601</v>
      </c>
      <c r="H48">
        <v>0.93876106194690256</v>
      </c>
      <c r="I48">
        <v>888.69380530973444</v>
      </c>
      <c r="J48">
        <v>995.33706194690262</v>
      </c>
      <c r="K48">
        <v>159</v>
      </c>
      <c r="L48">
        <v>0.63600000000000001</v>
      </c>
      <c r="M48">
        <v>652.79999999999995</v>
      </c>
      <c r="N48">
        <v>0</v>
      </c>
      <c r="O48">
        <v>0</v>
      </c>
      <c r="P48">
        <v>55.999999999999993</v>
      </c>
      <c r="Q48">
        <v>10315.579420431857</v>
      </c>
      <c r="R48">
        <v>10505.671420431858</v>
      </c>
      <c r="S48">
        <v>12666.894820431857</v>
      </c>
    </row>
    <row r="49" spans="1:19" ht="14.5" x14ac:dyDescent="0.35">
      <c r="A49" t="s">
        <v>1600</v>
      </c>
      <c r="B49" t="s">
        <v>1487</v>
      </c>
      <c r="C49" t="s">
        <v>46</v>
      </c>
      <c r="D49" t="s">
        <v>1160</v>
      </c>
      <c r="E49" t="s">
        <v>34</v>
      </c>
      <c r="F49" t="s">
        <v>35</v>
      </c>
      <c r="G49">
        <v>312.43333333333328</v>
      </c>
      <c r="H49">
        <v>0.5236666666666665</v>
      </c>
      <c r="I49">
        <v>140.93333333333331</v>
      </c>
      <c r="J49">
        <v>157.84533333333331</v>
      </c>
      <c r="K49">
        <v>71.894117647058806</v>
      </c>
      <c r="L49">
        <v>0.28757647058823521</v>
      </c>
      <c r="M49">
        <v>411.26400000000001</v>
      </c>
      <c r="N49">
        <v>6.9504831809797316E-3</v>
      </c>
      <c r="O49">
        <v>0.26941245763745342</v>
      </c>
      <c r="P49">
        <v>59.786999999999992</v>
      </c>
      <c r="Q49">
        <v>6357.2510678666658</v>
      </c>
      <c r="R49">
        <v>6560.1980393666663</v>
      </c>
      <c r="S49">
        <v>7537.4260228960775</v>
      </c>
    </row>
    <row r="50" spans="1:19" ht="14.5" x14ac:dyDescent="0.35">
      <c r="A50" t="s">
        <v>1394</v>
      </c>
      <c r="B50" t="s">
        <v>1488</v>
      </c>
      <c r="C50" t="s">
        <v>46</v>
      </c>
      <c r="D50" t="s">
        <v>165</v>
      </c>
      <c r="E50" t="s">
        <v>34</v>
      </c>
      <c r="F50" t="s">
        <v>35</v>
      </c>
      <c r="G50">
        <v>704.00982285714269</v>
      </c>
      <c r="H50">
        <v>1.766207971428571</v>
      </c>
      <c r="I50">
        <v>206.18875999999997</v>
      </c>
      <c r="J50">
        <v>230.93141119999996</v>
      </c>
      <c r="K50">
        <v>255.75</v>
      </c>
      <c r="L50">
        <v>1.0230000000000001</v>
      </c>
      <c r="M50">
        <v>362.64038399999998</v>
      </c>
      <c r="N50">
        <v>1.1328900435157191E-2</v>
      </c>
      <c r="O50">
        <v>0.34561391668562541</v>
      </c>
      <c r="P50">
        <v>11.949504319999999</v>
      </c>
      <c r="Q50">
        <v>10931.47709997112</v>
      </c>
      <c r="R50">
        <v>10972.039692385359</v>
      </c>
      <c r="S50">
        <v>14448.347142385359</v>
      </c>
    </row>
    <row r="51" spans="1:19" ht="14.5" x14ac:dyDescent="0.35">
      <c r="A51" t="s">
        <v>1395</v>
      </c>
      <c r="B51" t="s">
        <v>648</v>
      </c>
      <c r="C51" t="s">
        <v>46</v>
      </c>
      <c r="D51" t="s">
        <v>1160</v>
      </c>
      <c r="E51" t="s">
        <v>34</v>
      </c>
      <c r="F51" t="s">
        <v>35</v>
      </c>
      <c r="G51">
        <v>280.1276227897838</v>
      </c>
      <c r="H51">
        <v>1.0363850687622789</v>
      </c>
      <c r="I51">
        <v>1571.0805500982317</v>
      </c>
      <c r="J51">
        <v>1759.6102161100196</v>
      </c>
      <c r="K51">
        <v>102.9469013752456</v>
      </c>
      <c r="L51">
        <v>0.41178760550098242</v>
      </c>
      <c r="M51">
        <v>1.9803536345776029</v>
      </c>
      <c r="N51">
        <v>0</v>
      </c>
      <c r="O51">
        <v>0</v>
      </c>
      <c r="P51">
        <v>0</v>
      </c>
      <c r="Q51">
        <v>6481.7634973673858</v>
      </c>
      <c r="R51">
        <v>6481.7634973673858</v>
      </c>
      <c r="S51">
        <v>7881.0795490005494</v>
      </c>
    </row>
    <row r="52" spans="1:19" ht="14.5" x14ac:dyDescent="0.35">
      <c r="A52" t="s">
        <v>1601</v>
      </c>
      <c r="B52" t="s">
        <v>1489</v>
      </c>
      <c r="C52" t="s">
        <v>66</v>
      </c>
      <c r="D52" t="s">
        <v>23</v>
      </c>
      <c r="E52" t="s">
        <v>34</v>
      </c>
      <c r="F52" t="s">
        <v>35</v>
      </c>
      <c r="G52">
        <v>7.29</v>
      </c>
      <c r="H52">
        <v>1.41E-2</v>
      </c>
      <c r="I52">
        <v>0</v>
      </c>
      <c r="J52">
        <v>52.5</v>
      </c>
      <c r="K52">
        <v>10.044</v>
      </c>
      <c r="L52">
        <v>4.0176000000000003E-2</v>
      </c>
      <c r="M52">
        <v>0</v>
      </c>
      <c r="N52">
        <v>0</v>
      </c>
      <c r="O52">
        <v>0</v>
      </c>
      <c r="P52">
        <v>0</v>
      </c>
      <c r="Q52">
        <v>108.741165</v>
      </c>
      <c r="R52">
        <v>108.741165</v>
      </c>
      <c r="S52">
        <v>245.26523939999998</v>
      </c>
    </row>
    <row r="53" spans="1:19" ht="14.5" x14ac:dyDescent="0.35">
      <c r="A53" t="s">
        <v>967</v>
      </c>
      <c r="C53" t="s">
        <v>46</v>
      </c>
      <c r="D53" t="s">
        <v>101</v>
      </c>
      <c r="E53" t="s">
        <v>24</v>
      </c>
      <c r="F53" t="s">
        <v>35</v>
      </c>
      <c r="G53">
        <v>39.14</v>
      </c>
      <c r="H53">
        <v>5.0999999999999997E-2</v>
      </c>
      <c r="I53">
        <v>30</v>
      </c>
      <c r="J53">
        <v>33.6</v>
      </c>
      <c r="K53">
        <v>70.679999999999993</v>
      </c>
      <c r="L53">
        <v>0.28271999999999997</v>
      </c>
      <c r="M53">
        <v>0</v>
      </c>
      <c r="N53">
        <v>0.82656543762423806</v>
      </c>
      <c r="O53">
        <v>0.99995288212173872</v>
      </c>
      <c r="P53">
        <v>0</v>
      </c>
      <c r="Q53">
        <v>419.26600999999999</v>
      </c>
      <c r="R53">
        <v>419.26600999999999</v>
      </c>
      <c r="S53">
        <v>1379.9909779999998</v>
      </c>
    </row>
    <row r="54" spans="1:19" ht="14.5" x14ac:dyDescent="0.35">
      <c r="A54" t="s">
        <v>1602</v>
      </c>
      <c r="B54" t="s">
        <v>1490</v>
      </c>
      <c r="C54" t="s">
        <v>22</v>
      </c>
      <c r="D54" t="s">
        <v>62</v>
      </c>
      <c r="E54" t="s">
        <v>34</v>
      </c>
      <c r="F54" t="s">
        <v>35</v>
      </c>
      <c r="G54">
        <v>0</v>
      </c>
      <c r="H54">
        <v>0</v>
      </c>
      <c r="I54">
        <v>0</v>
      </c>
      <c r="J54">
        <v>0</v>
      </c>
      <c r="K54">
        <v>0</v>
      </c>
      <c r="L54">
        <v>0</v>
      </c>
      <c r="M54">
        <v>0</v>
      </c>
      <c r="N54">
        <v>0.84841653942038608</v>
      </c>
      <c r="O54">
        <v>0.99997331497878439</v>
      </c>
      <c r="P54">
        <v>0</v>
      </c>
      <c r="Q54">
        <v>0</v>
      </c>
      <c r="R54">
        <v>0</v>
      </c>
      <c r="S54">
        <v>0</v>
      </c>
    </row>
    <row r="55" spans="1:19" ht="14.5" x14ac:dyDescent="0.35">
      <c r="A55" t="s">
        <v>971</v>
      </c>
      <c r="C55" t="s">
        <v>139</v>
      </c>
      <c r="D55" t="s">
        <v>23</v>
      </c>
      <c r="E55" t="s">
        <v>34</v>
      </c>
      <c r="F55" t="s">
        <v>35</v>
      </c>
      <c r="G55">
        <v>0</v>
      </c>
      <c r="H55">
        <v>0</v>
      </c>
      <c r="I55">
        <v>0</v>
      </c>
      <c r="J55">
        <v>0</v>
      </c>
      <c r="K55">
        <v>0</v>
      </c>
      <c r="L55">
        <v>0</v>
      </c>
      <c r="M55">
        <v>0</v>
      </c>
      <c r="N55">
        <v>0</v>
      </c>
      <c r="O55">
        <v>0</v>
      </c>
      <c r="P55">
        <v>0</v>
      </c>
      <c r="Q55">
        <v>0</v>
      </c>
      <c r="R55">
        <v>0</v>
      </c>
      <c r="S55">
        <v>0</v>
      </c>
    </row>
    <row r="56" spans="1:19" ht="14.5" x14ac:dyDescent="0.35">
      <c r="A56" t="s">
        <v>969</v>
      </c>
      <c r="C56" t="s">
        <v>70</v>
      </c>
      <c r="D56" t="s">
        <v>23</v>
      </c>
      <c r="E56" t="s">
        <v>34</v>
      </c>
      <c r="F56" t="s">
        <v>35</v>
      </c>
      <c r="G56">
        <v>1.6823333333333335</v>
      </c>
      <c r="H56">
        <v>3.3333333333333335E-3</v>
      </c>
      <c r="I56">
        <v>10.166666666666666</v>
      </c>
      <c r="J56">
        <v>11.386666666666667</v>
      </c>
      <c r="K56">
        <v>3.0380000000000003</v>
      </c>
      <c r="L56">
        <v>1.2152000000000001E-2</v>
      </c>
      <c r="M56">
        <v>0</v>
      </c>
      <c r="N56">
        <v>0</v>
      </c>
      <c r="O56">
        <v>0</v>
      </c>
      <c r="P56">
        <v>0</v>
      </c>
      <c r="Q56">
        <v>35.592172000000005</v>
      </c>
      <c r="R56">
        <v>35.592172000000005</v>
      </c>
      <c r="S56">
        <v>76.886490800000018</v>
      </c>
    </row>
    <row r="57" spans="1:19" ht="14.5" x14ac:dyDescent="0.35">
      <c r="A57" t="s">
        <v>1251</v>
      </c>
      <c r="B57" t="s">
        <v>1509</v>
      </c>
      <c r="C57" t="s">
        <v>46</v>
      </c>
      <c r="D57" t="s">
        <v>23</v>
      </c>
      <c r="E57" t="s">
        <v>34</v>
      </c>
      <c r="F57" t="s">
        <v>35</v>
      </c>
      <c r="G57">
        <v>0</v>
      </c>
      <c r="H57">
        <v>0</v>
      </c>
      <c r="I57">
        <v>0</v>
      </c>
      <c r="J57">
        <v>0</v>
      </c>
      <c r="K57">
        <v>0</v>
      </c>
      <c r="L57">
        <v>0</v>
      </c>
      <c r="M57">
        <v>0</v>
      </c>
      <c r="N57">
        <v>0</v>
      </c>
      <c r="O57">
        <v>0</v>
      </c>
      <c r="P57">
        <v>0.49315068493150682</v>
      </c>
      <c r="Q57">
        <v>0</v>
      </c>
      <c r="R57">
        <v>1.6740000000000002</v>
      </c>
      <c r="S57">
        <v>1.6740000000000002</v>
      </c>
    </row>
    <row r="58" spans="1:19" ht="14.5" x14ac:dyDescent="0.35">
      <c r="A58" t="s">
        <v>527</v>
      </c>
      <c r="C58" t="s">
        <v>528</v>
      </c>
      <c r="D58" t="s">
        <v>23</v>
      </c>
      <c r="E58" t="s">
        <v>34</v>
      </c>
      <c r="F58" t="s">
        <v>35</v>
      </c>
      <c r="G58">
        <v>390</v>
      </c>
      <c r="H58">
        <v>1</v>
      </c>
      <c r="I58">
        <v>0</v>
      </c>
      <c r="J58">
        <v>0</v>
      </c>
      <c r="K58">
        <v>558</v>
      </c>
      <c r="L58">
        <v>2.2320000000000002</v>
      </c>
      <c r="M58">
        <v>0</v>
      </c>
      <c r="N58">
        <v>0</v>
      </c>
      <c r="O58">
        <v>0</v>
      </c>
      <c r="P58">
        <v>0</v>
      </c>
      <c r="Q58">
        <v>4420.1499999999996</v>
      </c>
      <c r="R58">
        <v>4420.1499999999996</v>
      </c>
      <c r="S58">
        <v>12004.8208</v>
      </c>
    </row>
    <row r="59" spans="1:19" ht="14.5" x14ac:dyDescent="0.35">
      <c r="A59" t="s">
        <v>539</v>
      </c>
      <c r="C59" t="s">
        <v>66</v>
      </c>
      <c r="D59" t="s">
        <v>23</v>
      </c>
      <c r="E59" t="s">
        <v>34</v>
      </c>
      <c r="F59" t="s">
        <v>35</v>
      </c>
      <c r="G59">
        <v>0</v>
      </c>
      <c r="H59">
        <v>0</v>
      </c>
      <c r="I59">
        <v>0</v>
      </c>
      <c r="J59">
        <v>0</v>
      </c>
      <c r="K59">
        <v>0</v>
      </c>
      <c r="L59">
        <v>0</v>
      </c>
      <c r="M59">
        <v>0</v>
      </c>
      <c r="N59">
        <v>0</v>
      </c>
      <c r="O59">
        <v>0</v>
      </c>
      <c r="P59">
        <v>0</v>
      </c>
      <c r="Q59">
        <v>0</v>
      </c>
      <c r="R59">
        <v>0</v>
      </c>
      <c r="S59">
        <v>0</v>
      </c>
    </row>
    <row r="60" spans="1:19" ht="14.5" x14ac:dyDescent="0.35">
      <c r="A60" t="s">
        <v>1603</v>
      </c>
      <c r="B60" t="s">
        <v>1491</v>
      </c>
      <c r="C60" t="s">
        <v>22</v>
      </c>
      <c r="D60" t="s">
        <v>62</v>
      </c>
      <c r="E60" t="s">
        <v>34</v>
      </c>
      <c r="F60" t="s">
        <v>35</v>
      </c>
      <c r="G60">
        <v>0</v>
      </c>
      <c r="H60">
        <v>0</v>
      </c>
      <c r="I60">
        <v>0</v>
      </c>
      <c r="J60">
        <v>0</v>
      </c>
      <c r="K60">
        <v>0</v>
      </c>
      <c r="L60">
        <v>0</v>
      </c>
      <c r="M60">
        <v>0</v>
      </c>
      <c r="N60">
        <v>0</v>
      </c>
      <c r="O60">
        <v>0</v>
      </c>
      <c r="P60">
        <v>0</v>
      </c>
      <c r="Q60">
        <v>0</v>
      </c>
      <c r="R60">
        <v>0</v>
      </c>
      <c r="S60">
        <v>0</v>
      </c>
    </row>
    <row r="61" spans="1:19" ht="14.5" x14ac:dyDescent="0.35">
      <c r="A61" t="s">
        <v>1604</v>
      </c>
      <c r="B61" t="s">
        <v>1492</v>
      </c>
      <c r="C61" t="s">
        <v>22</v>
      </c>
      <c r="D61" t="s">
        <v>62</v>
      </c>
      <c r="E61" t="s">
        <v>34</v>
      </c>
      <c r="F61" t="s">
        <v>35</v>
      </c>
      <c r="G61">
        <v>0</v>
      </c>
      <c r="H61">
        <v>0</v>
      </c>
      <c r="I61">
        <v>0</v>
      </c>
      <c r="J61">
        <v>0</v>
      </c>
      <c r="K61">
        <v>0</v>
      </c>
      <c r="L61">
        <v>0</v>
      </c>
      <c r="M61">
        <v>0</v>
      </c>
      <c r="N61">
        <v>0</v>
      </c>
      <c r="O61">
        <v>0</v>
      </c>
      <c r="P61">
        <v>0</v>
      </c>
      <c r="Q61">
        <v>0</v>
      </c>
      <c r="R61">
        <v>0</v>
      </c>
      <c r="S61">
        <v>0</v>
      </c>
    </row>
    <row r="62" spans="1:19" ht="14.5" x14ac:dyDescent="0.35">
      <c r="A62" t="s">
        <v>1275</v>
      </c>
      <c r="B62" t="s">
        <v>1275</v>
      </c>
      <c r="C62" t="s">
        <v>46</v>
      </c>
      <c r="D62" t="s">
        <v>131</v>
      </c>
      <c r="E62" t="s">
        <v>24</v>
      </c>
      <c r="F62" t="s">
        <v>35</v>
      </c>
      <c r="G62">
        <v>96.693249400900839</v>
      </c>
      <c r="H62">
        <v>26.982045036207516</v>
      </c>
      <c r="I62">
        <v>0</v>
      </c>
      <c r="J62">
        <v>0</v>
      </c>
      <c r="K62">
        <v>60</v>
      </c>
      <c r="L62">
        <v>0.24</v>
      </c>
      <c r="M62">
        <v>14687999.999999998</v>
      </c>
      <c r="N62">
        <v>0.80007894711345862</v>
      </c>
      <c r="O62">
        <v>0.99991367118571051</v>
      </c>
      <c r="P62">
        <v>0</v>
      </c>
      <c r="Q62">
        <v>107265552.66486932</v>
      </c>
      <c r="R62">
        <v>107265552.66486932</v>
      </c>
      <c r="S62">
        <v>107266368.22086932</v>
      </c>
    </row>
    <row r="63" spans="1:19" ht="14.5" x14ac:dyDescent="0.35">
      <c r="A63" t="s">
        <v>1605</v>
      </c>
      <c r="B63" t="s">
        <v>568</v>
      </c>
      <c r="C63" t="s">
        <v>70</v>
      </c>
      <c r="D63" t="s">
        <v>23</v>
      </c>
      <c r="E63" t="s">
        <v>34</v>
      </c>
      <c r="F63" t="s">
        <v>35</v>
      </c>
      <c r="G63">
        <v>14.728999999999999</v>
      </c>
      <c r="H63">
        <v>1.9200000000000002E-2</v>
      </c>
      <c r="I63">
        <v>0</v>
      </c>
      <c r="J63">
        <v>68.319999999999993</v>
      </c>
      <c r="K63">
        <v>26.597999999999999</v>
      </c>
      <c r="L63">
        <v>0.106392</v>
      </c>
      <c r="M63">
        <v>0</v>
      </c>
      <c r="N63">
        <v>0</v>
      </c>
      <c r="O63">
        <v>0</v>
      </c>
      <c r="P63">
        <v>0</v>
      </c>
      <c r="Q63">
        <v>181.11621199999996</v>
      </c>
      <c r="R63">
        <v>181.11621199999996</v>
      </c>
      <c r="S63">
        <v>542.65218679999998</v>
      </c>
    </row>
    <row r="64" spans="1:19" ht="14.5" x14ac:dyDescent="0.35">
      <c r="A64" t="s">
        <v>678</v>
      </c>
      <c r="C64" t="s">
        <v>139</v>
      </c>
      <c r="D64" t="s">
        <v>23</v>
      </c>
      <c r="E64" t="s">
        <v>34</v>
      </c>
      <c r="F64" t="s">
        <v>35</v>
      </c>
      <c r="G64">
        <v>862.65666666666675</v>
      </c>
      <c r="H64">
        <v>3.5850666666666671</v>
      </c>
      <c r="I64">
        <v>441.14245333333338</v>
      </c>
      <c r="J64">
        <v>3216.091605333334</v>
      </c>
      <c r="K64">
        <v>286.44</v>
      </c>
      <c r="L64">
        <v>1.1457600000000001</v>
      </c>
      <c r="M64">
        <v>0</v>
      </c>
      <c r="N64">
        <v>0</v>
      </c>
      <c r="O64">
        <v>0</v>
      </c>
      <c r="P64">
        <v>0</v>
      </c>
      <c r="Q64">
        <v>14449.950698643202</v>
      </c>
      <c r="R64">
        <v>14449.950698643202</v>
      </c>
      <c r="S64">
        <v>18343.415042643202</v>
      </c>
    </row>
    <row r="65" spans="1:19" ht="14.5" x14ac:dyDescent="0.35">
      <c r="A65" t="s">
        <v>1606</v>
      </c>
      <c r="B65" t="s">
        <v>1493</v>
      </c>
      <c r="C65" t="s">
        <v>22</v>
      </c>
      <c r="D65" t="s">
        <v>33</v>
      </c>
      <c r="E65" t="s">
        <v>34</v>
      </c>
      <c r="F65" t="s">
        <v>35</v>
      </c>
      <c r="G65">
        <v>466.19999999999959</v>
      </c>
      <c r="H65">
        <v>0.67240384615384552</v>
      </c>
      <c r="I65">
        <v>0</v>
      </c>
      <c r="J65">
        <v>875.02153846153772</v>
      </c>
      <c r="K65">
        <v>192</v>
      </c>
      <c r="L65">
        <v>0.76800000000000002</v>
      </c>
      <c r="M65">
        <v>0</v>
      </c>
      <c r="N65">
        <v>0</v>
      </c>
      <c r="O65">
        <v>0</v>
      </c>
      <c r="P65">
        <v>0</v>
      </c>
      <c r="Q65">
        <v>5016.7782896538411</v>
      </c>
      <c r="R65">
        <v>5016.7782896538411</v>
      </c>
      <c r="S65">
        <v>7626.5574896538419</v>
      </c>
    </row>
    <row r="66" spans="1:19" ht="14.5" x14ac:dyDescent="0.35">
      <c r="A66" t="s">
        <v>1607</v>
      </c>
      <c r="B66" t="s">
        <v>1494</v>
      </c>
      <c r="C66" t="s">
        <v>22</v>
      </c>
      <c r="D66" t="s">
        <v>33</v>
      </c>
      <c r="E66" t="s">
        <v>34</v>
      </c>
      <c r="F66" t="s">
        <v>35</v>
      </c>
      <c r="G66">
        <v>115.28363942307682</v>
      </c>
      <c r="H66">
        <v>0.16557944711538447</v>
      </c>
      <c r="I66">
        <v>634.30096153846102</v>
      </c>
      <c r="J66">
        <v>1026.0882692307684</v>
      </c>
      <c r="K66">
        <v>51.435000000000002</v>
      </c>
      <c r="L66">
        <v>0.20574000000000001</v>
      </c>
      <c r="M66">
        <v>0</v>
      </c>
      <c r="N66">
        <v>0</v>
      </c>
      <c r="O66">
        <v>0</v>
      </c>
      <c r="P66">
        <v>0</v>
      </c>
      <c r="Q66">
        <v>2429.7584996141809</v>
      </c>
      <c r="R66">
        <v>2429.7584996141809</v>
      </c>
      <c r="S66">
        <v>3128.8938806141809</v>
      </c>
    </row>
    <row r="67" spans="1:19" ht="14.5" x14ac:dyDescent="0.35">
      <c r="A67" t="s">
        <v>699</v>
      </c>
      <c r="B67" t="s">
        <v>1495</v>
      </c>
      <c r="C67" t="s">
        <v>139</v>
      </c>
      <c r="D67" t="s">
        <v>23</v>
      </c>
      <c r="E67" t="s">
        <v>34</v>
      </c>
      <c r="F67" t="s">
        <v>35</v>
      </c>
      <c r="G67">
        <v>268.88000000000005</v>
      </c>
      <c r="H67">
        <v>0.89626666666666677</v>
      </c>
      <c r="I67">
        <v>0</v>
      </c>
      <c r="J67">
        <v>4302.0800000000008</v>
      </c>
      <c r="K67">
        <v>93</v>
      </c>
      <c r="L67">
        <v>0.372</v>
      </c>
      <c r="M67">
        <v>0</v>
      </c>
      <c r="N67">
        <v>0</v>
      </c>
      <c r="O67">
        <v>0</v>
      </c>
      <c r="P67">
        <v>0</v>
      </c>
      <c r="Q67">
        <v>6105.0369146666671</v>
      </c>
      <c r="R67">
        <v>6105.0369146666671</v>
      </c>
      <c r="S67">
        <v>7369.1487146666668</v>
      </c>
    </row>
    <row r="68" spans="1:19" ht="14.5" x14ac:dyDescent="0.35">
      <c r="A68" t="s">
        <v>1608</v>
      </c>
      <c r="B68" t="s">
        <v>1496</v>
      </c>
      <c r="C68" t="s">
        <v>46</v>
      </c>
      <c r="D68" t="s">
        <v>47</v>
      </c>
      <c r="E68" t="s">
        <v>34</v>
      </c>
      <c r="F68" t="s">
        <v>35</v>
      </c>
      <c r="G68">
        <v>0</v>
      </c>
      <c r="H68">
        <v>0</v>
      </c>
      <c r="I68">
        <v>0</v>
      </c>
      <c r="J68">
        <v>0</v>
      </c>
      <c r="K68">
        <v>0</v>
      </c>
      <c r="L68">
        <v>0</v>
      </c>
      <c r="M68">
        <v>0</v>
      </c>
      <c r="N68">
        <v>0</v>
      </c>
      <c r="O68">
        <v>0</v>
      </c>
      <c r="P68">
        <v>0</v>
      </c>
      <c r="Q68">
        <v>0</v>
      </c>
      <c r="R68">
        <v>0</v>
      </c>
      <c r="S68">
        <v>0</v>
      </c>
    </row>
    <row r="69" spans="1:19" ht="14.5" x14ac:dyDescent="0.35">
      <c r="A69" t="s">
        <v>1609</v>
      </c>
      <c r="B69" t="s">
        <v>1497</v>
      </c>
      <c r="C69" t="s">
        <v>46</v>
      </c>
      <c r="D69" t="s">
        <v>165</v>
      </c>
      <c r="E69" t="s">
        <v>34</v>
      </c>
      <c r="F69" t="s">
        <v>35</v>
      </c>
      <c r="G69">
        <v>0</v>
      </c>
      <c r="H69">
        <v>0</v>
      </c>
      <c r="I69">
        <v>0</v>
      </c>
      <c r="J69">
        <v>0</v>
      </c>
      <c r="K69">
        <v>0</v>
      </c>
      <c r="L69">
        <v>0</v>
      </c>
      <c r="M69">
        <v>0</v>
      </c>
      <c r="N69">
        <v>0</v>
      </c>
      <c r="O69">
        <v>0</v>
      </c>
      <c r="P69">
        <v>0</v>
      </c>
      <c r="Q69">
        <v>0</v>
      </c>
      <c r="R69">
        <v>0</v>
      </c>
      <c r="S69">
        <v>0</v>
      </c>
    </row>
    <row r="70" spans="1:19" ht="14.5" x14ac:dyDescent="0.35">
      <c r="A70" t="s">
        <v>1610</v>
      </c>
      <c r="B70" t="s">
        <v>1498</v>
      </c>
      <c r="C70" t="s">
        <v>46</v>
      </c>
      <c r="D70" t="s">
        <v>165</v>
      </c>
      <c r="E70" t="s">
        <v>24</v>
      </c>
      <c r="F70" t="s">
        <v>35</v>
      </c>
      <c r="G70">
        <v>0</v>
      </c>
      <c r="H70">
        <v>0</v>
      </c>
      <c r="I70">
        <v>0</v>
      </c>
      <c r="J70">
        <v>0</v>
      </c>
      <c r="K70">
        <v>0</v>
      </c>
      <c r="L70">
        <v>0</v>
      </c>
      <c r="M70">
        <v>0</v>
      </c>
      <c r="N70">
        <v>0</v>
      </c>
      <c r="O70">
        <v>0</v>
      </c>
      <c r="P70">
        <v>0</v>
      </c>
      <c r="Q70">
        <v>0</v>
      </c>
      <c r="R70">
        <v>0</v>
      </c>
      <c r="S70">
        <v>0</v>
      </c>
    </row>
    <row r="71" spans="1:19" ht="14.5" x14ac:dyDescent="0.35">
      <c r="A71" t="s">
        <v>1611</v>
      </c>
      <c r="B71" t="s">
        <v>1499</v>
      </c>
      <c r="C71" t="s">
        <v>139</v>
      </c>
      <c r="D71" t="s">
        <v>23</v>
      </c>
      <c r="E71" t="s">
        <v>34</v>
      </c>
      <c r="F71" t="s">
        <v>35</v>
      </c>
      <c r="G71">
        <v>0</v>
      </c>
      <c r="H71">
        <v>0</v>
      </c>
      <c r="I71">
        <v>0</v>
      </c>
      <c r="J71">
        <v>0</v>
      </c>
      <c r="K71">
        <v>0</v>
      </c>
      <c r="L71">
        <v>0</v>
      </c>
      <c r="M71">
        <v>0</v>
      </c>
      <c r="N71">
        <v>0</v>
      </c>
      <c r="O71">
        <v>0</v>
      </c>
      <c r="P71">
        <v>0</v>
      </c>
      <c r="Q71">
        <v>0</v>
      </c>
      <c r="R71">
        <v>0</v>
      </c>
      <c r="S71">
        <v>0</v>
      </c>
    </row>
    <row r="72" spans="1:19" ht="14.5" x14ac:dyDescent="0.35">
      <c r="A72" t="s">
        <v>1612</v>
      </c>
      <c r="B72" t="s">
        <v>1500</v>
      </c>
      <c r="C72" t="s">
        <v>22</v>
      </c>
      <c r="D72" t="s">
        <v>33</v>
      </c>
      <c r="E72" t="s">
        <v>34</v>
      </c>
      <c r="F72" t="s">
        <v>35</v>
      </c>
      <c r="G72">
        <v>0</v>
      </c>
      <c r="H72">
        <v>0.46978615384615346</v>
      </c>
      <c r="I72">
        <v>0</v>
      </c>
      <c r="J72">
        <v>0</v>
      </c>
      <c r="K72">
        <v>0</v>
      </c>
      <c r="L72">
        <v>0</v>
      </c>
      <c r="M72">
        <v>0</v>
      </c>
      <c r="N72">
        <v>0.42867388518401917</v>
      </c>
      <c r="O72">
        <v>0.98899715895726947</v>
      </c>
      <c r="P72">
        <v>0</v>
      </c>
      <c r="Q72">
        <v>739.04408792307629</v>
      </c>
      <c r="R72">
        <v>739.04408792307629</v>
      </c>
      <c r="S72">
        <v>739.04408792307629</v>
      </c>
    </row>
    <row r="73" spans="1:19" ht="14.5" x14ac:dyDescent="0.35">
      <c r="A73" t="s">
        <v>1180</v>
      </c>
      <c r="C73" t="s">
        <v>70</v>
      </c>
      <c r="D73" t="s">
        <v>23</v>
      </c>
      <c r="E73" t="s">
        <v>24</v>
      </c>
      <c r="F73" t="s">
        <v>35</v>
      </c>
      <c r="G73">
        <v>1.5449999999999999</v>
      </c>
      <c r="H73">
        <v>2.8E-3</v>
      </c>
      <c r="I73">
        <v>1.48</v>
      </c>
      <c r="J73">
        <v>1.6576</v>
      </c>
      <c r="K73">
        <v>2.79</v>
      </c>
      <c r="L73">
        <v>1.116E-2</v>
      </c>
      <c r="M73">
        <v>0</v>
      </c>
      <c r="N73">
        <v>0</v>
      </c>
      <c r="O73">
        <v>0</v>
      </c>
      <c r="P73">
        <v>0</v>
      </c>
      <c r="Q73">
        <v>18.31344576</v>
      </c>
      <c r="R73">
        <v>18.31344576</v>
      </c>
      <c r="S73">
        <v>56.236799760000004</v>
      </c>
    </row>
    <row r="74" spans="1:19" ht="14.5" x14ac:dyDescent="0.35">
      <c r="A74" t="s">
        <v>1519</v>
      </c>
      <c r="B74" t="s">
        <v>1518</v>
      </c>
      <c r="C74" t="s">
        <v>22</v>
      </c>
      <c r="D74" t="s">
        <v>1518</v>
      </c>
      <c r="E74" t="s">
        <v>34</v>
      </c>
      <c r="F74" t="s">
        <v>35</v>
      </c>
      <c r="G74">
        <v>1124.1249999999998</v>
      </c>
      <c r="H74">
        <v>0.83</v>
      </c>
      <c r="I74">
        <v>2448</v>
      </c>
      <c r="J74">
        <v>2937.6</v>
      </c>
      <c r="K74">
        <v>2346</v>
      </c>
      <c r="L74">
        <v>9.3840000000000003</v>
      </c>
      <c r="M74">
        <v>6</v>
      </c>
      <c r="N74">
        <v>0</v>
      </c>
      <c r="O74">
        <v>0</v>
      </c>
      <c r="P74">
        <v>21.6</v>
      </c>
      <c r="Q74">
        <v>14030.375159999996</v>
      </c>
      <c r="R74">
        <v>14103.696359999996</v>
      </c>
      <c r="S74">
        <v>45991.935959999995</v>
      </c>
    </row>
    <row r="75" spans="1:19" ht="14.5" x14ac:dyDescent="0.35">
      <c r="A75" t="s">
        <v>1519</v>
      </c>
      <c r="B75" t="s">
        <v>1719</v>
      </c>
      <c r="C75" t="s">
        <v>46</v>
      </c>
      <c r="D75" t="s">
        <v>1160</v>
      </c>
      <c r="E75" t="s">
        <v>34</v>
      </c>
      <c r="F75" t="s">
        <v>35</v>
      </c>
      <c r="G75">
        <v>0</v>
      </c>
      <c r="H75">
        <v>0</v>
      </c>
      <c r="I75">
        <v>0</v>
      </c>
      <c r="J75">
        <v>0</v>
      </c>
      <c r="K75">
        <v>0</v>
      </c>
      <c r="L75">
        <v>0</v>
      </c>
      <c r="M75">
        <v>0</v>
      </c>
      <c r="N75">
        <v>0</v>
      </c>
      <c r="O75">
        <v>0</v>
      </c>
      <c r="P75">
        <v>21.6</v>
      </c>
      <c r="Q75">
        <v>0</v>
      </c>
      <c r="R75">
        <v>73.321200000000005</v>
      </c>
      <c r="S75">
        <v>73.321200000000005</v>
      </c>
    </row>
    <row r="76" spans="1:19" ht="14.5" x14ac:dyDescent="0.35">
      <c r="A76" t="s">
        <v>1520</v>
      </c>
      <c r="B76" t="s">
        <v>1521</v>
      </c>
      <c r="C76" t="s">
        <v>22</v>
      </c>
      <c r="D76" t="s">
        <v>1522</v>
      </c>
      <c r="E76" t="s">
        <v>34</v>
      </c>
      <c r="F76" t="s">
        <v>35</v>
      </c>
      <c r="G76">
        <v>61.511053882352904</v>
      </c>
      <c r="H76">
        <v>0.23009999999999986</v>
      </c>
      <c r="I76">
        <v>315.82352941176453</v>
      </c>
      <c r="J76">
        <v>385.30470588235272</v>
      </c>
      <c r="K76">
        <v>32.720351999999998</v>
      </c>
      <c r="L76">
        <v>0.130881408</v>
      </c>
      <c r="M76">
        <v>1.0201063905882348</v>
      </c>
      <c r="N76">
        <v>0</v>
      </c>
      <c r="O76">
        <v>0</v>
      </c>
      <c r="P76">
        <v>1.4076735999999999</v>
      </c>
      <c r="Q76">
        <v>1399.7710213454109</v>
      </c>
      <c r="R76">
        <v>1404.5493693806109</v>
      </c>
      <c r="S76">
        <v>1849.3040259758109</v>
      </c>
    </row>
    <row r="77" spans="1:19" ht="14.5" x14ac:dyDescent="0.35">
      <c r="A77" t="s">
        <v>1526</v>
      </c>
      <c r="B77" t="s">
        <v>1536</v>
      </c>
      <c r="C77" t="s">
        <v>22</v>
      </c>
      <c r="D77" t="s">
        <v>1522</v>
      </c>
      <c r="E77" t="s">
        <v>34</v>
      </c>
      <c r="F77" t="s">
        <v>35</v>
      </c>
      <c r="G77">
        <v>840.90288635294075</v>
      </c>
      <c r="H77">
        <v>7.0879823529411716</v>
      </c>
      <c r="I77">
        <v>7862.4899294117604</v>
      </c>
      <c r="J77">
        <v>9434.9879152941121</v>
      </c>
      <c r="K77">
        <v>486.2088</v>
      </c>
      <c r="L77">
        <v>1.9448352</v>
      </c>
      <c r="M77">
        <v>17.543521160354544</v>
      </c>
      <c r="N77">
        <v>0.69767632607103103</v>
      </c>
      <c r="O77">
        <v>0.99947436049753335</v>
      </c>
      <c r="P77">
        <v>24.2088</v>
      </c>
      <c r="Q77">
        <v>31789.120805146809</v>
      </c>
      <c r="R77">
        <v>31871.297576746809</v>
      </c>
      <c r="S77">
        <v>38480.139311626815</v>
      </c>
    </row>
    <row r="78" spans="1:19" ht="14.5" x14ac:dyDescent="0.35">
      <c r="A78" t="s">
        <v>1537</v>
      </c>
      <c r="B78" t="s">
        <v>1539</v>
      </c>
      <c r="C78" t="s">
        <v>22</v>
      </c>
      <c r="D78" t="s">
        <v>1522</v>
      </c>
      <c r="E78" t="s">
        <v>34</v>
      </c>
      <c r="F78" t="s">
        <v>35</v>
      </c>
      <c r="G78">
        <v>8641.6897411764658</v>
      </c>
      <c r="H78">
        <v>90.618794117647013</v>
      </c>
      <c r="I78">
        <v>82964.585294117598</v>
      </c>
      <c r="J78">
        <v>99557.502352941112</v>
      </c>
      <c r="K78">
        <v>561</v>
      </c>
      <c r="L78">
        <v>2.2440000000000002</v>
      </c>
      <c r="M78">
        <v>185.11832393231253</v>
      </c>
      <c r="N78">
        <v>0.69767632607103103</v>
      </c>
      <c r="O78">
        <v>0.99947436049753335</v>
      </c>
      <c r="P78">
        <v>1152.5302941176462</v>
      </c>
      <c r="Q78">
        <v>358645.27959229395</v>
      </c>
      <c r="R78">
        <v>362557.54367567628</v>
      </c>
      <c r="S78">
        <v>370182.99227567634</v>
      </c>
    </row>
    <row r="79" spans="1:19" ht="14.5" x14ac:dyDescent="0.35">
      <c r="A79" t="s">
        <v>1696</v>
      </c>
      <c r="B79" t="s">
        <v>1538</v>
      </c>
      <c r="C79" t="s">
        <v>22</v>
      </c>
      <c r="D79" t="s">
        <v>1522</v>
      </c>
      <c r="E79" t="s">
        <v>34</v>
      </c>
      <c r="F79" t="s">
        <v>35</v>
      </c>
      <c r="G79">
        <v>72745.301077647018</v>
      </c>
      <c r="H79">
        <v>762.82436176470537</v>
      </c>
      <c r="I79">
        <v>698391.62441176432</v>
      </c>
      <c r="J79">
        <v>838069.94929411716</v>
      </c>
      <c r="K79">
        <v>561</v>
      </c>
      <c r="L79">
        <v>2.2440000000000002</v>
      </c>
      <c r="M79">
        <v>1558.316557614826</v>
      </c>
      <c r="N79">
        <v>0.69767632607103103</v>
      </c>
      <c r="O79">
        <v>0.99947436049753335</v>
      </c>
      <c r="P79">
        <v>9701.940911764701</v>
      </c>
      <c r="Q79">
        <v>3019057.5715423101</v>
      </c>
      <c r="R79">
        <v>3051990.8099672953</v>
      </c>
      <c r="S79">
        <v>3059616.258567295</v>
      </c>
    </row>
    <row r="80" spans="1:19" ht="14.5" x14ac:dyDescent="0.35">
      <c r="A80" t="s">
        <v>1692</v>
      </c>
      <c r="B80" t="s">
        <v>1689</v>
      </c>
      <c r="C80" t="s">
        <v>22</v>
      </c>
      <c r="D80" t="s">
        <v>1522</v>
      </c>
      <c r="E80" t="s">
        <v>34</v>
      </c>
      <c r="F80" t="s">
        <v>35</v>
      </c>
      <c r="G80">
        <v>23731.409519999987</v>
      </c>
      <c r="H80">
        <v>248.85314999999986</v>
      </c>
      <c r="I80">
        <v>227833.51499999984</v>
      </c>
      <c r="J80">
        <v>273400.21799999982</v>
      </c>
      <c r="K80">
        <v>561</v>
      </c>
      <c r="L80">
        <v>2.2440000000000002</v>
      </c>
      <c r="M80">
        <v>508.36339726027364</v>
      </c>
      <c r="N80">
        <v>0.69767632607103103</v>
      </c>
      <c r="O80">
        <v>0.99947436049753335</v>
      </c>
      <c r="P80">
        <v>3165.0254999999979</v>
      </c>
      <c r="Q80">
        <v>984895.11395729962</v>
      </c>
      <c r="R80">
        <v>995638.79301704944</v>
      </c>
      <c r="S80">
        <v>1003264.2416170494</v>
      </c>
    </row>
    <row r="81" spans="1:19" ht="14.5" x14ac:dyDescent="0.35">
      <c r="A81" t="s">
        <v>1695</v>
      </c>
      <c r="B81" t="s">
        <v>1697</v>
      </c>
      <c r="C81" t="s">
        <v>22</v>
      </c>
      <c r="D81" t="s">
        <v>1522</v>
      </c>
      <c r="E81" t="s">
        <v>34</v>
      </c>
      <c r="F81" t="s">
        <v>35</v>
      </c>
      <c r="G81">
        <v>22769.744559058814</v>
      </c>
      <c r="H81">
        <v>238.76890470588222</v>
      </c>
      <c r="I81">
        <v>218601.04576470578</v>
      </c>
      <c r="J81">
        <v>262321.25491764693</v>
      </c>
      <c r="K81">
        <v>561</v>
      </c>
      <c r="L81">
        <v>2.2440000000000002</v>
      </c>
      <c r="M81">
        <v>487.76305044319071</v>
      </c>
      <c r="N81">
        <v>0.69767632607103103</v>
      </c>
      <c r="O81">
        <v>0.99947436049753335</v>
      </c>
      <c r="P81">
        <v>3036.7695647058804</v>
      </c>
      <c r="Q81">
        <v>944984.33156164421</v>
      </c>
      <c r="R81">
        <v>955292.64584903826</v>
      </c>
      <c r="S81">
        <v>962918.09444903838</v>
      </c>
    </row>
    <row r="82" spans="1:19" ht="14.5" x14ac:dyDescent="0.35">
      <c r="A82" t="s">
        <v>1706</v>
      </c>
      <c r="B82" t="s">
        <v>1705</v>
      </c>
      <c r="C82" t="s">
        <v>22</v>
      </c>
      <c r="D82" t="s">
        <v>1522</v>
      </c>
      <c r="E82" t="s">
        <v>34</v>
      </c>
      <c r="F82" t="s">
        <v>35</v>
      </c>
      <c r="G82">
        <v>25260.323858823514</v>
      </c>
      <c r="H82">
        <v>264.8857058823528</v>
      </c>
      <c r="I82">
        <v>242511.86470588221</v>
      </c>
      <c r="J82">
        <v>291014.23764705868</v>
      </c>
      <c r="K82">
        <v>561</v>
      </c>
      <c r="L82">
        <v>2.2440000000000002</v>
      </c>
      <c r="M82">
        <v>541.1151007252214</v>
      </c>
      <c r="N82">
        <v>0.69767632607103103</v>
      </c>
      <c r="O82">
        <v>0.99947436049753335</v>
      </c>
      <c r="P82">
        <v>3368.9347058823505</v>
      </c>
      <c r="Q82">
        <v>1048347.7403467054</v>
      </c>
      <c r="R82">
        <v>1059783.5892058231</v>
      </c>
      <c r="S82">
        <v>1067409.0378058231</v>
      </c>
    </row>
    <row r="83" spans="1:19" ht="14.5" x14ac:dyDescent="0.35">
      <c r="A83" t="s">
        <v>1704</v>
      </c>
      <c r="B83" t="s">
        <v>1703</v>
      </c>
      <c r="C83" t="s">
        <v>22</v>
      </c>
      <c r="D83" t="s">
        <v>1522</v>
      </c>
      <c r="E83" t="s">
        <v>34</v>
      </c>
      <c r="F83" t="s">
        <v>35</v>
      </c>
      <c r="G83">
        <v>50990.401108705853</v>
      </c>
      <c r="H83">
        <v>534.69735647058792</v>
      </c>
      <c r="I83">
        <v>489533.59917647031</v>
      </c>
      <c r="J83">
        <v>587440.31901176437</v>
      </c>
      <c r="K83">
        <v>561</v>
      </c>
      <c r="L83">
        <v>2.2440000000000002</v>
      </c>
      <c r="M83">
        <v>1092.2930436744555</v>
      </c>
      <c r="N83">
        <v>0.69767632607103103</v>
      </c>
      <c r="O83">
        <v>0.99947436049753335</v>
      </c>
      <c r="P83">
        <v>6800.5197764705845</v>
      </c>
      <c r="Q83">
        <v>2116191.0702507352</v>
      </c>
      <c r="R83">
        <v>2139275.4346319647</v>
      </c>
      <c r="S83">
        <v>2146900.8832319644</v>
      </c>
    </row>
    <row r="84" spans="1:19" ht="14.5" x14ac:dyDescent="0.35">
      <c r="A84" t="s">
        <v>1720</v>
      </c>
      <c r="B84" t="s">
        <v>1721</v>
      </c>
      <c r="C84" t="s">
        <v>22</v>
      </c>
      <c r="D84" t="s">
        <v>33</v>
      </c>
      <c r="E84" t="s">
        <v>34</v>
      </c>
      <c r="F84" t="s">
        <v>35</v>
      </c>
      <c r="G84">
        <v>255.51346153846129</v>
      </c>
      <c r="H84">
        <v>0.2465480769230767</v>
      </c>
      <c r="I84">
        <v>469.56201923076884</v>
      </c>
      <c r="J84">
        <v>995.15769230769149</v>
      </c>
      <c r="K84">
        <v>142.5</v>
      </c>
      <c r="L84">
        <v>0.57000000000000006</v>
      </c>
      <c r="M84">
        <v>0</v>
      </c>
      <c r="N84">
        <v>0</v>
      </c>
      <c r="O84">
        <v>0</v>
      </c>
      <c r="P84">
        <v>0</v>
      </c>
      <c r="Q84">
        <v>3385.5892269230735</v>
      </c>
      <c r="R84">
        <v>3385.5892269230735</v>
      </c>
      <c r="S84">
        <v>5322.5347269230742</v>
      </c>
    </row>
    <row r="85" spans="1:19" ht="14.5" x14ac:dyDescent="0.35">
      <c r="A85" t="s">
        <v>1724</v>
      </c>
      <c r="B85" t="s">
        <v>1722</v>
      </c>
      <c r="C85" t="s">
        <v>22</v>
      </c>
      <c r="D85" t="s">
        <v>1727</v>
      </c>
      <c r="E85" t="s">
        <v>34</v>
      </c>
      <c r="F85" t="s">
        <v>35</v>
      </c>
      <c r="G85">
        <v>15.625</v>
      </c>
      <c r="H85">
        <v>6.25E-2</v>
      </c>
      <c r="I85">
        <v>208</v>
      </c>
      <c r="J85">
        <v>253.76</v>
      </c>
      <c r="K85">
        <v>37.5</v>
      </c>
      <c r="L85">
        <v>0.15</v>
      </c>
      <c r="M85">
        <v>0</v>
      </c>
      <c r="N85">
        <v>0</v>
      </c>
      <c r="O85">
        <v>0</v>
      </c>
      <c r="P85">
        <v>0</v>
      </c>
      <c r="Q85">
        <v>595.23375099999998</v>
      </c>
      <c r="R85">
        <v>595.23375099999998</v>
      </c>
      <c r="S85">
        <v>1104.9562509999998</v>
      </c>
    </row>
    <row r="86" spans="1:19" ht="14.5" x14ac:dyDescent="0.35">
      <c r="A86" t="s">
        <v>1725</v>
      </c>
      <c r="B86" t="s">
        <v>1723</v>
      </c>
      <c r="C86" t="s">
        <v>22</v>
      </c>
      <c r="D86" t="s">
        <v>1727</v>
      </c>
      <c r="E86" t="s">
        <v>34</v>
      </c>
      <c r="F86" t="s">
        <v>35</v>
      </c>
      <c r="G86">
        <v>16.875</v>
      </c>
      <c r="H86">
        <v>6.25E-2</v>
      </c>
      <c r="I86">
        <v>208</v>
      </c>
      <c r="J86">
        <v>343.2</v>
      </c>
      <c r="K86">
        <v>37.5</v>
      </c>
      <c r="L86">
        <v>0.15</v>
      </c>
      <c r="M86">
        <v>0</v>
      </c>
      <c r="N86">
        <v>0</v>
      </c>
      <c r="O86">
        <v>0</v>
      </c>
      <c r="P86">
        <v>0</v>
      </c>
      <c r="Q86">
        <v>661.16209500000002</v>
      </c>
      <c r="R86">
        <v>661.16209500000002</v>
      </c>
      <c r="S86">
        <v>1170.884595</v>
      </c>
    </row>
    <row r="87" spans="1:19" ht="14.5" x14ac:dyDescent="0.35">
      <c r="A87" t="s">
        <v>2005</v>
      </c>
      <c r="B87" t="s">
        <v>1726</v>
      </c>
      <c r="C87" t="s">
        <v>22</v>
      </c>
      <c r="D87" t="s">
        <v>1727</v>
      </c>
      <c r="E87" t="s">
        <v>34</v>
      </c>
      <c r="F87" t="s">
        <v>35</v>
      </c>
      <c r="G87">
        <v>0</v>
      </c>
      <c r="H87">
        <v>0</v>
      </c>
      <c r="I87">
        <v>0</v>
      </c>
      <c r="J87">
        <v>0</v>
      </c>
      <c r="K87">
        <v>0</v>
      </c>
      <c r="L87">
        <v>0</v>
      </c>
      <c r="M87">
        <v>0</v>
      </c>
      <c r="N87">
        <v>0</v>
      </c>
      <c r="O87">
        <v>0</v>
      </c>
      <c r="P87">
        <v>0</v>
      </c>
      <c r="Q87">
        <v>0</v>
      </c>
      <c r="R87">
        <v>0</v>
      </c>
      <c r="S87">
        <v>0</v>
      </c>
    </row>
    <row r="88" spans="1:19" ht="14.5" x14ac:dyDescent="0.35"/>
    <row r="89" spans="1:19" ht="14.5" x14ac:dyDescent="0.35"/>
    <row r="90" spans="1:19" ht="14.5" x14ac:dyDescent="0.35"/>
    <row r="91" spans="1:19" ht="14.5" x14ac:dyDescent="0.35"/>
    <row r="92" spans="1:19" ht="14.5" x14ac:dyDescent="0.35"/>
    <row r="93" spans="1:19" ht="14.5" x14ac:dyDescent="0.35"/>
    <row r="94" spans="1:19" ht="14.5" x14ac:dyDescent="0.35"/>
    <row r="95" spans="1:19" ht="14.5" x14ac:dyDescent="0.35"/>
    <row r="96" spans="1:19" ht="14.5" x14ac:dyDescent="0.35"/>
    <row r="97" ht="14.5" x14ac:dyDescent="0.35"/>
    <row r="98" ht="14.5" x14ac:dyDescent="0.35"/>
    <row r="99" ht="14.5" x14ac:dyDescent="0.35"/>
    <row r="100" ht="14.5" x14ac:dyDescent="0.35"/>
    <row r="101" ht="14.5" x14ac:dyDescent="0.35"/>
    <row r="102" ht="14.5" x14ac:dyDescent="0.35"/>
    <row r="103" ht="14.5" x14ac:dyDescent="0.35"/>
    <row r="104" ht="14.5" x14ac:dyDescent="0.35"/>
    <row r="105" ht="14.5" x14ac:dyDescent="0.35"/>
    <row r="106" ht="14.5" x14ac:dyDescent="0.35"/>
    <row r="107" ht="14.5" x14ac:dyDescent="0.35"/>
    <row r="108" ht="14.5" x14ac:dyDescent="0.35"/>
    <row r="109" ht="14.5" x14ac:dyDescent="0.35"/>
    <row r="110" ht="14.5" x14ac:dyDescent="0.35"/>
    <row r="111" ht="14.5" x14ac:dyDescent="0.35"/>
    <row r="112" ht="14.5" x14ac:dyDescent="0.35"/>
    <row r="113" ht="14.5" x14ac:dyDescent="0.35"/>
    <row r="114" ht="14.5" x14ac:dyDescent="0.35"/>
    <row r="115" ht="14.5" x14ac:dyDescent="0.35"/>
    <row r="116" ht="14.5" x14ac:dyDescent="0.35"/>
    <row r="117" ht="14.5" x14ac:dyDescent="0.35"/>
    <row r="118" ht="14.5" x14ac:dyDescent="0.35"/>
    <row r="119" ht="14.5" x14ac:dyDescent="0.35"/>
    <row r="120" ht="14.5" x14ac:dyDescent="0.35"/>
    <row r="121" ht="14.5" x14ac:dyDescent="0.35"/>
    <row r="122" ht="14.5" x14ac:dyDescent="0.35"/>
    <row r="123" ht="14.5" x14ac:dyDescent="0.35"/>
    <row r="124" ht="14.5" x14ac:dyDescent="0.35"/>
    <row r="125" ht="14.5" x14ac:dyDescent="0.35"/>
    <row r="126" ht="14.5" x14ac:dyDescent="0.35"/>
    <row r="127" ht="14.5" x14ac:dyDescent="0.35"/>
    <row r="128" ht="14.5" x14ac:dyDescent="0.35"/>
    <row r="129" ht="14.5" x14ac:dyDescent="0.35"/>
    <row r="130" ht="14.5" x14ac:dyDescent="0.35"/>
    <row r="131" ht="14.5" x14ac:dyDescent="0.35"/>
    <row r="132" ht="14.5" x14ac:dyDescent="0.35"/>
    <row r="133" ht="14.5" x14ac:dyDescent="0.35"/>
    <row r="134" ht="14.5" x14ac:dyDescent="0.35"/>
    <row r="135" ht="14.5" x14ac:dyDescent="0.35"/>
    <row r="136" ht="14.5" x14ac:dyDescent="0.35"/>
    <row r="137" ht="14.5" x14ac:dyDescent="0.35"/>
    <row r="138" ht="14.5" x14ac:dyDescent="0.35"/>
    <row r="139" ht="14.5" x14ac:dyDescent="0.35"/>
    <row r="140" ht="14.5" x14ac:dyDescent="0.35"/>
    <row r="141" ht="14.5" x14ac:dyDescent="0.35"/>
    <row r="142" ht="14.5" x14ac:dyDescent="0.35"/>
    <row r="143" ht="14.5" x14ac:dyDescent="0.35"/>
    <row r="144" ht="14.5" x14ac:dyDescent="0.35"/>
    <row r="145" ht="14.5" x14ac:dyDescent="0.35"/>
    <row r="146" ht="14.5" x14ac:dyDescent="0.35"/>
    <row r="147" ht="14.5" x14ac:dyDescent="0.35"/>
    <row r="148" ht="14.5" x14ac:dyDescent="0.35"/>
    <row r="149" ht="14.5" x14ac:dyDescent="0.35"/>
    <row r="150" ht="14.5" x14ac:dyDescent="0.35"/>
    <row r="151" ht="14.5" x14ac:dyDescent="0.35"/>
    <row r="152" ht="14.5" x14ac:dyDescent="0.35"/>
    <row r="153" ht="14.5" x14ac:dyDescent="0.35"/>
    <row r="154" ht="14.5" x14ac:dyDescent="0.35"/>
    <row r="155" ht="14.5" x14ac:dyDescent="0.35"/>
    <row r="156" ht="14.5" x14ac:dyDescent="0.35"/>
    <row r="157" ht="14.5" x14ac:dyDescent="0.35"/>
    <row r="158" ht="14.5" x14ac:dyDescent="0.35"/>
    <row r="159" ht="14.5" x14ac:dyDescent="0.35"/>
    <row r="160" ht="14.5" x14ac:dyDescent="0.35"/>
    <row r="161" ht="14.5" x14ac:dyDescent="0.35"/>
    <row r="162" ht="14.5" x14ac:dyDescent="0.35"/>
    <row r="163" ht="14.5" x14ac:dyDescent="0.35"/>
    <row r="164" ht="14.5" x14ac:dyDescent="0.35"/>
    <row r="165" ht="14.5" x14ac:dyDescent="0.35"/>
    <row r="166" ht="14.5" x14ac:dyDescent="0.35"/>
    <row r="167" ht="14.5" x14ac:dyDescent="0.35"/>
    <row r="168" ht="14.5" x14ac:dyDescent="0.35"/>
    <row r="169" ht="14.5" x14ac:dyDescent="0.35"/>
    <row r="170" ht="14.5" x14ac:dyDescent="0.35"/>
    <row r="171" ht="14.5" x14ac:dyDescent="0.35"/>
    <row r="172" ht="14.5" x14ac:dyDescent="0.35"/>
    <row r="173" ht="14.5" x14ac:dyDescent="0.35"/>
    <row r="174" ht="14.5" x14ac:dyDescent="0.35"/>
    <row r="175" ht="14.5" x14ac:dyDescent="0.35"/>
    <row r="176" ht="14.5" x14ac:dyDescent="0.35"/>
    <row r="177" ht="14.5" x14ac:dyDescent="0.35"/>
    <row r="178" ht="14.5" x14ac:dyDescent="0.35"/>
    <row r="179" ht="14.5" x14ac:dyDescent="0.35"/>
    <row r="180" ht="14.5" x14ac:dyDescent="0.35"/>
    <row r="181" ht="14.5" x14ac:dyDescent="0.35"/>
    <row r="182" ht="14.5" x14ac:dyDescent="0.35"/>
    <row r="183" ht="14.5" x14ac:dyDescent="0.35"/>
    <row r="184" ht="14.5" x14ac:dyDescent="0.35"/>
    <row r="185" ht="14.5" x14ac:dyDescent="0.35"/>
    <row r="186" ht="14.5" x14ac:dyDescent="0.35"/>
    <row r="187" ht="14.5" x14ac:dyDescent="0.35"/>
    <row r="188" ht="14.5" x14ac:dyDescent="0.35"/>
    <row r="189" ht="14.5" x14ac:dyDescent="0.35"/>
    <row r="190" ht="14.5" x14ac:dyDescent="0.35"/>
    <row r="191" ht="14.5" x14ac:dyDescent="0.35"/>
    <row r="192" ht="14.5" x14ac:dyDescent="0.35"/>
    <row r="193" ht="14.5" x14ac:dyDescent="0.35"/>
    <row r="194" ht="14.5" x14ac:dyDescent="0.35"/>
    <row r="195" ht="14.5" x14ac:dyDescent="0.35"/>
    <row r="196" ht="14.5" x14ac:dyDescent="0.35"/>
    <row r="197" ht="14.5" x14ac:dyDescent="0.35"/>
    <row r="198" ht="14.5" x14ac:dyDescent="0.35"/>
    <row r="199" ht="14.5" x14ac:dyDescent="0.35"/>
    <row r="200" ht="14.5" x14ac:dyDescent="0.35"/>
    <row r="201" ht="14.5" x14ac:dyDescent="0.35"/>
    <row r="202" ht="14.5" x14ac:dyDescent="0.35"/>
    <row r="203" ht="14.5" x14ac:dyDescent="0.35"/>
    <row r="204" ht="14.5" x14ac:dyDescent="0.35"/>
    <row r="205" ht="14.5" x14ac:dyDescent="0.35"/>
    <row r="206" ht="14.5" x14ac:dyDescent="0.35"/>
    <row r="207" ht="14.5" x14ac:dyDescent="0.35"/>
    <row r="208" ht="14.5" x14ac:dyDescent="0.35"/>
    <row r="209" ht="14.5" x14ac:dyDescent="0.35"/>
    <row r="210" ht="14.5" x14ac:dyDescent="0.35"/>
    <row r="211" ht="14.5" x14ac:dyDescent="0.35"/>
    <row r="212" ht="14.5" x14ac:dyDescent="0.35"/>
    <row r="213" ht="14.5" x14ac:dyDescent="0.35"/>
    <row r="214" ht="14.5" x14ac:dyDescent="0.35"/>
    <row r="215" ht="14.5" x14ac:dyDescent="0.35"/>
    <row r="216" ht="14.5" x14ac:dyDescent="0.35"/>
    <row r="217" ht="14.5" x14ac:dyDescent="0.35"/>
    <row r="218" ht="14.5" x14ac:dyDescent="0.35"/>
    <row r="219" ht="14.5" x14ac:dyDescent="0.35"/>
    <row r="220" ht="14.5" x14ac:dyDescent="0.35"/>
    <row r="221" ht="14.5" x14ac:dyDescent="0.35"/>
    <row r="222" ht="14.5" x14ac:dyDescent="0.35"/>
    <row r="223" ht="14.5" x14ac:dyDescent="0.35"/>
    <row r="224" ht="14.5" x14ac:dyDescent="0.35"/>
    <row r="225" ht="14.5" x14ac:dyDescent="0.35"/>
    <row r="226" ht="14.5" x14ac:dyDescent="0.35"/>
    <row r="227" ht="14.5" x14ac:dyDescent="0.35"/>
    <row r="228" ht="14.5" x14ac:dyDescent="0.35"/>
    <row r="229" ht="14.5" x14ac:dyDescent="0.35"/>
    <row r="230" ht="14.5" x14ac:dyDescent="0.35"/>
    <row r="231" ht="14.5" x14ac:dyDescent="0.35"/>
    <row r="232" ht="14.5" x14ac:dyDescent="0.35"/>
    <row r="233" ht="14.5" x14ac:dyDescent="0.35"/>
    <row r="234" ht="14.5" x14ac:dyDescent="0.35"/>
    <row r="235" ht="14.5" x14ac:dyDescent="0.35"/>
    <row r="236" ht="14.5" x14ac:dyDescent="0.35"/>
    <row r="237" ht="14.5" x14ac:dyDescent="0.35"/>
    <row r="238" ht="14.5" x14ac:dyDescent="0.35"/>
    <row r="239" ht="14.5" x14ac:dyDescent="0.35"/>
    <row r="240" ht="14.5" x14ac:dyDescent="0.35"/>
    <row r="241" ht="14.5" x14ac:dyDescent="0.35"/>
    <row r="242" ht="14.5" x14ac:dyDescent="0.35"/>
    <row r="243" ht="14.5" x14ac:dyDescent="0.35"/>
    <row r="244" ht="14.5" x14ac:dyDescent="0.35"/>
    <row r="245" ht="14.5" x14ac:dyDescent="0.35"/>
    <row r="246" ht="14.5" x14ac:dyDescent="0.35"/>
    <row r="247" ht="14.5" x14ac:dyDescent="0.35"/>
    <row r="248" ht="14.5" x14ac:dyDescent="0.35"/>
    <row r="249" ht="14.5" x14ac:dyDescent="0.35"/>
    <row r="250" ht="14.5" x14ac:dyDescent="0.35"/>
    <row r="251" ht="14.5" x14ac:dyDescent="0.35"/>
    <row r="252" ht="14.5" x14ac:dyDescent="0.35"/>
    <row r="253" ht="14.5" x14ac:dyDescent="0.35"/>
    <row r="254" ht="14.5" x14ac:dyDescent="0.35"/>
    <row r="255" ht="14.5" x14ac:dyDescent="0.35"/>
    <row r="256" ht="14.5" x14ac:dyDescent="0.35"/>
    <row r="257" ht="14.5" x14ac:dyDescent="0.35"/>
    <row r="258" ht="14.5" x14ac:dyDescent="0.35"/>
    <row r="259" ht="14.5" x14ac:dyDescent="0.35"/>
    <row r="260" ht="14.5" x14ac:dyDescent="0.35"/>
    <row r="261" ht="14.5" x14ac:dyDescent="0.35"/>
    <row r="262" ht="14.5" x14ac:dyDescent="0.35"/>
    <row r="263" ht="14.5" x14ac:dyDescent="0.35"/>
    <row r="264" ht="14.5" x14ac:dyDescent="0.35"/>
    <row r="265" ht="14.5" x14ac:dyDescent="0.35"/>
    <row r="266" ht="14.5" x14ac:dyDescent="0.35"/>
    <row r="267" ht="14.5" x14ac:dyDescent="0.35"/>
    <row r="268" ht="14.5" x14ac:dyDescent="0.35"/>
    <row r="269" ht="14.5" x14ac:dyDescent="0.35"/>
    <row r="270" ht="14.5" x14ac:dyDescent="0.35"/>
    <row r="271" ht="14.5" x14ac:dyDescent="0.35"/>
    <row r="272" ht="14.5" x14ac:dyDescent="0.35"/>
    <row r="273" ht="14.5" x14ac:dyDescent="0.35"/>
    <row r="274" ht="14.5" x14ac:dyDescent="0.35"/>
    <row r="275" ht="14.5" x14ac:dyDescent="0.35"/>
    <row r="276" ht="14.5" x14ac:dyDescent="0.35"/>
    <row r="277" ht="14.5" x14ac:dyDescent="0.35"/>
    <row r="278" ht="14.5" x14ac:dyDescent="0.35"/>
    <row r="279" ht="14.5" x14ac:dyDescent="0.35"/>
    <row r="280" ht="14.5" x14ac:dyDescent="0.35"/>
    <row r="281" ht="14.5" x14ac:dyDescent="0.35"/>
    <row r="282" ht="14.5" x14ac:dyDescent="0.35"/>
    <row r="283" ht="14.5" x14ac:dyDescent="0.35"/>
    <row r="284" ht="14.5" x14ac:dyDescent="0.35"/>
    <row r="285" ht="14.5" x14ac:dyDescent="0.35"/>
    <row r="286" ht="14.5" x14ac:dyDescent="0.35"/>
    <row r="287" ht="14.5" x14ac:dyDescent="0.35"/>
    <row r="288" ht="14.5" x14ac:dyDescent="0.35"/>
    <row r="289" ht="14.5" x14ac:dyDescent="0.35"/>
    <row r="290" ht="14.5" x14ac:dyDescent="0.35"/>
    <row r="291" ht="14.5" x14ac:dyDescent="0.35"/>
    <row r="292" ht="14.5" x14ac:dyDescent="0.35"/>
    <row r="293" ht="14.5" x14ac:dyDescent="0.35"/>
    <row r="294" ht="14.5" x14ac:dyDescent="0.35"/>
    <row r="295" ht="14.5" x14ac:dyDescent="0.35"/>
    <row r="296" ht="14.5" x14ac:dyDescent="0.35"/>
    <row r="297" ht="14.5" x14ac:dyDescent="0.35"/>
    <row r="298" ht="14.5" x14ac:dyDescent="0.35"/>
    <row r="299" ht="14.5" x14ac:dyDescent="0.35"/>
    <row r="300" ht="14.5" x14ac:dyDescent="0.35"/>
    <row r="301" ht="14.5" x14ac:dyDescent="0.35"/>
    <row r="302" ht="14.5" x14ac:dyDescent="0.35"/>
    <row r="303" ht="14.5" x14ac:dyDescent="0.35"/>
    <row r="304" ht="14.5" x14ac:dyDescent="0.35"/>
    <row r="305" ht="14.5" x14ac:dyDescent="0.35"/>
    <row r="306" ht="14.5" x14ac:dyDescent="0.35"/>
    <row r="307" ht="14.5" x14ac:dyDescent="0.35"/>
    <row r="308" ht="14.5" x14ac:dyDescent="0.35"/>
    <row r="309" ht="14.5" x14ac:dyDescent="0.35"/>
    <row r="310" ht="14.5" x14ac:dyDescent="0.35"/>
    <row r="311" ht="14.5" x14ac:dyDescent="0.35"/>
    <row r="312" ht="14.5" x14ac:dyDescent="0.35"/>
    <row r="313" ht="14.5" x14ac:dyDescent="0.35"/>
    <row r="314" ht="14.5" x14ac:dyDescent="0.35"/>
    <row r="315" ht="14.5" x14ac:dyDescent="0.35"/>
    <row r="316" ht="14.5" x14ac:dyDescent="0.35"/>
    <row r="317" ht="14.5" x14ac:dyDescent="0.35"/>
    <row r="318" ht="14.5" x14ac:dyDescent="0.35"/>
    <row r="319" ht="14.5" x14ac:dyDescent="0.35"/>
    <row r="320" ht="14.5" x14ac:dyDescent="0.35"/>
    <row r="321" ht="14.5" x14ac:dyDescent="0.35"/>
    <row r="322" ht="14.5" x14ac:dyDescent="0.35"/>
    <row r="323" ht="14.5" x14ac:dyDescent="0.35"/>
    <row r="324" ht="14.5" x14ac:dyDescent="0.35"/>
    <row r="325" ht="14.5" x14ac:dyDescent="0.35"/>
    <row r="326" ht="14.5" x14ac:dyDescent="0.35"/>
    <row r="327" ht="14.5" x14ac:dyDescent="0.35"/>
    <row r="328" ht="14.5" x14ac:dyDescent="0.35"/>
    <row r="329" ht="14.5" x14ac:dyDescent="0.35"/>
    <row r="330" ht="14.5" x14ac:dyDescent="0.35"/>
    <row r="331" ht="14.5" x14ac:dyDescent="0.35"/>
    <row r="332" ht="14.5" x14ac:dyDescent="0.35"/>
    <row r="333" ht="14.5" x14ac:dyDescent="0.35"/>
    <row r="334" ht="14.5" x14ac:dyDescent="0.35"/>
    <row r="335" ht="14.5" x14ac:dyDescent="0.35"/>
    <row r="336" ht="14.5" x14ac:dyDescent="0.35"/>
    <row r="337" ht="14.5" x14ac:dyDescent="0.35"/>
    <row r="338" ht="14.5" x14ac:dyDescent="0.35"/>
    <row r="339" ht="14.5" x14ac:dyDescent="0.35"/>
    <row r="340" ht="14.5" x14ac:dyDescent="0.35"/>
    <row r="341" ht="14.5" x14ac:dyDescent="0.35"/>
    <row r="342" ht="14.5" x14ac:dyDescent="0.35"/>
    <row r="343" ht="14.5" x14ac:dyDescent="0.35"/>
    <row r="344" ht="14.5" x14ac:dyDescent="0.35"/>
    <row r="345" ht="14.5" x14ac:dyDescent="0.35"/>
    <row r="346" ht="14.5" x14ac:dyDescent="0.35"/>
    <row r="347" ht="14.5" x14ac:dyDescent="0.35"/>
    <row r="348" ht="14.5" x14ac:dyDescent="0.35"/>
    <row r="349" ht="14.5" x14ac:dyDescent="0.35"/>
    <row r="350" ht="14.5" x14ac:dyDescent="0.35"/>
    <row r="351" ht="14.5" x14ac:dyDescent="0.35"/>
    <row r="352" ht="14.5" x14ac:dyDescent="0.35"/>
    <row r="353" ht="14.5" x14ac:dyDescent="0.35"/>
    <row r="354" ht="14.5" x14ac:dyDescent="0.35"/>
    <row r="355" ht="14.5" x14ac:dyDescent="0.35"/>
  </sheetData>
  <autoFilter ref="A1:S1" xr:uid="{00000000-0009-0000-0000-000002000000}"/>
  <dataValidations disablePrompts="1" count="4">
    <dataValidation type="list" allowBlank="1" showInputMessage="1" showErrorMessage="1" sqref="E2" xr:uid="{00000000-0002-0000-0200-000000000000}">
      <formula1>"regenerable, non regenerable"</formula1>
    </dataValidation>
    <dataValidation type="list" allowBlank="1" showInputMessage="1" showErrorMessage="1" sqref="D1:D2" xr:uid="{00000000-0002-0000-0200-000001000000}">
      <formula1>"Type,storage, O2 generation, N2 generation, urine processing, CO2 reduction, CO2 removal, control, monitor, distillation, filtration"</formula1>
    </dataValidation>
    <dataValidation type="list" allowBlank="1" showInputMessage="1" showErrorMessage="1" sqref="C1:C2" xr:uid="{00000000-0002-0000-0200-000002000000}">
      <formula1>"Subsystem,air-ACS,air-THC,air-AR,water-WRM,waste-WM,food-FM,crew-CS"</formula1>
    </dataValidation>
    <dataValidation type="list" allowBlank="1" showInputMessage="1" showErrorMessage="1" sqref="F1:F2" xr:uid="{00000000-0002-0000-0200-000003000000}">
      <formula1>level</formula1>
    </dataValidation>
  </dataValidations>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pageSetUpPr fitToPage="1"/>
  </sheetPr>
  <dimension ref="A1:BQ1048575"/>
  <sheetViews>
    <sheetView showGridLines="0" zoomScale="85" zoomScaleNormal="85" workbookViewId="0"/>
  </sheetViews>
  <sheetFormatPr defaultColWidth="0" defaultRowHeight="14.5" zeroHeight="1" x14ac:dyDescent="0.35"/>
  <cols>
    <col min="1" max="1" width="16.36328125" bestFit="1" customWidth="1"/>
    <col min="2" max="2" width="14.90625" bestFit="1" customWidth="1"/>
    <col min="3" max="12" width="14.90625" customWidth="1"/>
    <col min="13" max="13" width="26.6328125" customWidth="1"/>
    <col min="14" max="14" width="24.36328125" bestFit="1" customWidth="1"/>
    <col min="15" max="15" width="11.54296875" customWidth="1"/>
    <col min="16" max="16" width="13.36328125" bestFit="1" customWidth="1"/>
    <col min="17" max="19" width="11.54296875" customWidth="1"/>
    <col min="20" max="20" width="13.08984375" customWidth="1"/>
    <col min="21" max="21" width="12.6328125" customWidth="1"/>
    <col min="22" max="23" width="12.54296875" customWidth="1"/>
    <col min="24" max="24" width="13" customWidth="1"/>
    <col min="25" max="32" width="11.54296875" customWidth="1"/>
    <col min="33" max="38" width="14.90625" hidden="1" customWidth="1"/>
    <col min="39" max="39" width="9.08984375" hidden="1" customWidth="1"/>
    <col min="40" max="43" width="14.90625" hidden="1" customWidth="1"/>
    <col min="44" max="44" width="6.6328125" hidden="1" customWidth="1"/>
    <col min="45" max="45" width="9.08984375" hidden="1" customWidth="1"/>
    <col min="46" max="48" width="14.90625" hidden="1" customWidth="1"/>
    <col min="49" max="49" width="5.08984375" hidden="1" customWidth="1"/>
    <col min="50" max="50" width="6.6328125" hidden="1" customWidth="1"/>
    <col min="51" max="51" width="9.08984375" hidden="1" customWidth="1"/>
    <col min="52" max="53" width="14.90625" hidden="1" customWidth="1"/>
    <col min="54" max="54" width="7" hidden="1" customWidth="1"/>
    <col min="55" max="55" width="5.08984375" hidden="1" customWidth="1"/>
    <col min="56" max="56" width="6.6328125" hidden="1" customWidth="1"/>
    <col min="57" max="57" width="9.08984375" hidden="1" customWidth="1"/>
    <col min="58" max="58" width="14.90625" hidden="1" customWidth="1"/>
    <col min="59" max="59" width="4.6328125" hidden="1" customWidth="1"/>
    <col min="60" max="60" width="7" hidden="1" customWidth="1"/>
    <col min="61" max="61" width="5.08984375" hidden="1" customWidth="1"/>
    <col min="62" max="62" width="6.6328125" hidden="1" customWidth="1"/>
    <col min="63" max="63" width="9.08984375" hidden="1" customWidth="1"/>
    <col min="64" max="64" width="14.90625" hidden="1" customWidth="1"/>
    <col min="65" max="65" width="4.6328125" hidden="1" customWidth="1"/>
    <col min="66" max="66" width="7" hidden="1" customWidth="1"/>
    <col min="67" max="67" width="5.08984375" hidden="1" customWidth="1"/>
    <col min="68" max="68" width="6.6328125" hidden="1" customWidth="1"/>
    <col min="69" max="69" width="0" hidden="1" customWidth="1"/>
    <col min="70" max="16384" width="11.54296875" hidden="1"/>
  </cols>
  <sheetData>
    <row r="1" spans="1:69" ht="74.400000000000006" customHeight="1" x14ac:dyDescent="0.35">
      <c r="A1" s="149" t="s">
        <v>2008</v>
      </c>
      <c r="B1" s="142"/>
      <c r="C1" s="142"/>
      <c r="D1" s="142"/>
      <c r="E1" s="142"/>
      <c r="F1" s="142"/>
      <c r="G1" s="142"/>
      <c r="H1" s="142"/>
      <c r="I1" s="142"/>
      <c r="J1" s="142"/>
      <c r="K1" s="142"/>
      <c r="L1" s="142"/>
      <c r="N1" s="1" t="s">
        <v>1075</v>
      </c>
      <c r="O1" s="41" t="s">
        <v>817</v>
      </c>
      <c r="P1" s="4" t="s">
        <v>1404</v>
      </c>
      <c r="Q1" s="4" t="s">
        <v>1405</v>
      </c>
      <c r="R1" s="4" t="s">
        <v>1407</v>
      </c>
      <c r="S1" s="4" t="s">
        <v>1406</v>
      </c>
      <c r="T1" s="4" t="s">
        <v>1408</v>
      </c>
      <c r="U1" s="4" t="s">
        <v>1418</v>
      </c>
      <c r="V1" s="4" t="s">
        <v>1409</v>
      </c>
      <c r="W1" s="4" t="s">
        <v>1417</v>
      </c>
      <c r="X1" s="4" t="s">
        <v>1410</v>
      </c>
      <c r="Y1" s="4" t="s">
        <v>1419</v>
      </c>
      <c r="Z1" s="4" t="s">
        <v>1412</v>
      </c>
      <c r="AA1" s="97" t="s">
        <v>1413</v>
      </c>
      <c r="AB1" s="97" t="s">
        <v>1414</v>
      </c>
      <c r="AC1" s="97" t="s">
        <v>1415</v>
      </c>
      <c r="AD1" s="97" t="s">
        <v>1416</v>
      </c>
      <c r="AE1" s="147"/>
      <c r="AF1" s="147"/>
      <c r="AG1" s="4"/>
      <c r="AH1" s="41"/>
      <c r="AI1" s="41"/>
      <c r="AJ1" s="41"/>
      <c r="AK1" s="41"/>
      <c r="AL1" s="41"/>
      <c r="AM1" s="4"/>
      <c r="AN1" s="41"/>
      <c r="AO1" s="41"/>
      <c r="AP1" s="41"/>
      <c r="AQ1" s="41"/>
      <c r="AR1" s="41"/>
      <c r="AS1" s="4"/>
      <c r="AT1" s="41"/>
      <c r="AU1" s="41"/>
      <c r="AV1" s="41"/>
      <c r="AW1" s="41"/>
      <c r="AX1" s="41"/>
      <c r="AY1" s="4"/>
      <c r="AZ1" s="41"/>
      <c r="BA1" s="41"/>
      <c r="BB1" s="41"/>
      <c r="BC1" s="41"/>
      <c r="BD1" s="41"/>
      <c r="BE1" s="4"/>
      <c r="BF1" s="41"/>
      <c r="BG1" s="41"/>
      <c r="BH1" s="41"/>
      <c r="BI1" s="41"/>
      <c r="BJ1" s="41"/>
      <c r="BK1" s="4"/>
      <c r="BL1" s="41"/>
      <c r="BM1" s="41"/>
      <c r="BN1" s="41"/>
      <c r="BO1" s="41"/>
      <c r="BP1" s="41"/>
      <c r="BQ1" s="41"/>
    </row>
    <row r="2" spans="1:69" x14ac:dyDescent="0.35">
      <c r="A2" t="s">
        <v>795</v>
      </c>
      <c r="B2" s="42" t="s">
        <v>796</v>
      </c>
      <c r="C2" s="43" t="s">
        <v>797</v>
      </c>
      <c r="D2" t="s">
        <v>798</v>
      </c>
      <c r="E2" t="s">
        <v>799</v>
      </c>
      <c r="F2" t="s">
        <v>800</v>
      </c>
      <c r="G2" t="s">
        <v>801</v>
      </c>
      <c r="H2" t="s">
        <v>802</v>
      </c>
      <c r="I2" t="s">
        <v>803</v>
      </c>
      <c r="J2" t="s">
        <v>804</v>
      </c>
      <c r="K2" t="s">
        <v>805</v>
      </c>
      <c r="L2" t="s">
        <v>806</v>
      </c>
      <c r="M2" s="39"/>
      <c r="N2" s="263" t="s">
        <v>1403</v>
      </c>
      <c r="O2" s="260"/>
      <c r="P2" s="261" t="s">
        <v>1253</v>
      </c>
      <c r="Q2" s="261" t="s">
        <v>1253</v>
      </c>
      <c r="R2" s="261" t="s">
        <v>1253</v>
      </c>
      <c r="S2" s="261" t="s">
        <v>1253</v>
      </c>
      <c r="T2" s="261" t="s">
        <v>1253</v>
      </c>
      <c r="U2" s="261" t="s">
        <v>1253</v>
      </c>
      <c r="V2" s="261" t="s">
        <v>1253</v>
      </c>
      <c r="W2" s="261" t="s">
        <v>1253</v>
      </c>
      <c r="X2" s="261" t="s">
        <v>1253</v>
      </c>
      <c r="Y2" s="262" t="s">
        <v>1411</v>
      </c>
      <c r="Z2" s="261" t="s">
        <v>1253</v>
      </c>
      <c r="AA2" s="261" t="s">
        <v>1253</v>
      </c>
      <c r="AB2" s="263" t="s">
        <v>1253</v>
      </c>
      <c r="AC2" s="261" t="s">
        <v>1253</v>
      </c>
      <c r="AD2" s="261" t="s">
        <v>1253</v>
      </c>
      <c r="AE2" s="148"/>
      <c r="AF2" s="148"/>
      <c r="AG2" s="4"/>
      <c r="AH2" s="41"/>
      <c r="AI2" s="41"/>
      <c r="AJ2" s="41"/>
      <c r="AK2" s="41"/>
      <c r="AL2" s="41"/>
      <c r="AM2" s="4"/>
      <c r="AN2" s="41"/>
      <c r="AO2" s="41"/>
      <c r="AP2" s="41"/>
      <c r="AQ2" s="41"/>
      <c r="AR2" s="41"/>
      <c r="AS2" s="4"/>
      <c r="AT2" s="41"/>
      <c r="AU2" s="41"/>
      <c r="AV2" s="41"/>
      <c r="AW2" s="41"/>
      <c r="AX2" s="41"/>
      <c r="AY2" s="4"/>
      <c r="AZ2" s="41"/>
      <c r="BA2" s="41"/>
      <c r="BB2" s="41"/>
      <c r="BC2" s="41"/>
      <c r="BD2" s="41"/>
      <c r="BE2" s="4"/>
      <c r="BF2" s="41"/>
      <c r="BG2" s="41"/>
      <c r="BH2" s="41"/>
      <c r="BI2" s="41"/>
      <c r="BJ2" s="41"/>
      <c r="BK2" s="4"/>
      <c r="BL2" s="41"/>
      <c r="BM2" s="41"/>
      <c r="BN2" s="41"/>
      <c r="BO2" s="41"/>
      <c r="BP2" s="41"/>
    </row>
    <row r="3" spans="1:69" x14ac:dyDescent="0.35">
      <c r="A3" s="138">
        <v>0</v>
      </c>
      <c r="B3" s="126" t="s">
        <v>807</v>
      </c>
      <c r="C3" s="126">
        <f t="shared" ref="C3:C50" si="0">Crew_Size</f>
        <v>4</v>
      </c>
      <c r="D3" s="127">
        <v>8.6399999999999991E-2</v>
      </c>
      <c r="E3" s="127">
        <v>0.10920000000000001</v>
      </c>
      <c r="F3" s="127">
        <v>0</v>
      </c>
      <c r="G3" s="127">
        <v>0</v>
      </c>
      <c r="H3" s="127">
        <v>0</v>
      </c>
      <c r="I3" s="127">
        <v>0</v>
      </c>
      <c r="J3" s="127">
        <v>0</v>
      </c>
      <c r="K3" s="127">
        <v>0.1512</v>
      </c>
      <c r="L3" s="127">
        <v>1268</v>
      </c>
      <c r="M3" s="39"/>
      <c r="N3" s="238" t="s">
        <v>807</v>
      </c>
      <c r="O3" s="266">
        <v>8</v>
      </c>
      <c r="P3" s="267">
        <f>3.6*60/10000</f>
        <v>2.1600000000000001E-2</v>
      </c>
      <c r="Q3" s="267">
        <f>4.55*60/10000</f>
        <v>2.7300000000000001E-2</v>
      </c>
      <c r="R3" s="267">
        <v>0</v>
      </c>
      <c r="S3" s="267">
        <v>0</v>
      </c>
      <c r="T3" s="267">
        <v>0</v>
      </c>
      <c r="U3" s="267">
        <v>0</v>
      </c>
      <c r="V3" s="267">
        <v>0</v>
      </c>
      <c r="W3" s="267">
        <v>0</v>
      </c>
      <c r="X3" s="267">
        <f>6.3*60/10000</f>
        <v>3.78E-2</v>
      </c>
      <c r="Y3" s="266">
        <v>317</v>
      </c>
      <c r="Z3" s="267">
        <v>0</v>
      </c>
      <c r="AA3" s="267">
        <f>(0.059/1.6)*schedule_nomal[[#This Row],[Urine Water Production]]</f>
        <v>0</v>
      </c>
      <c r="AB3" s="267">
        <f>(0.032/0.132)*schedule_nomal[[#This Row],[Feces Production]]</f>
        <v>0</v>
      </c>
      <c r="AC3" s="267">
        <f>0.001018*schedule_nomal[[#This Row],[Hygiene Water Consumption]]/schedule_nomal[[#This Row],[hr/day]]</f>
        <v>0</v>
      </c>
      <c r="AD3" s="265">
        <f>(0.018/1.9)*schedule_nomal[[#This Row],[Sweat/Water Vapor Production]]</f>
        <v>3.5810526315789467E-4</v>
      </c>
      <c r="AE3" s="143"/>
      <c r="AF3" s="143"/>
      <c r="AG3" s="46"/>
      <c r="AM3" s="46"/>
      <c r="AS3" s="46"/>
      <c r="AY3" s="46"/>
      <c r="BE3" s="46"/>
      <c r="BK3" s="46"/>
    </row>
    <row r="4" spans="1:69" x14ac:dyDescent="0.35">
      <c r="A4" s="138">
        <v>2.0833333333333332E-2</v>
      </c>
      <c r="B4" s="126" t="s">
        <v>807</v>
      </c>
      <c r="C4" s="126">
        <f t="shared" si="0"/>
        <v>4</v>
      </c>
      <c r="D4" s="127">
        <v>8.6399999999999991E-2</v>
      </c>
      <c r="E4" s="127">
        <v>0.10920000000000001</v>
      </c>
      <c r="F4" s="127">
        <v>0</v>
      </c>
      <c r="G4" s="127">
        <v>0</v>
      </c>
      <c r="H4" s="127">
        <v>0</v>
      </c>
      <c r="I4" s="127">
        <v>0</v>
      </c>
      <c r="J4" s="127">
        <v>0</v>
      </c>
      <c r="K4" s="127">
        <v>0.1512</v>
      </c>
      <c r="L4" s="127">
        <v>1268</v>
      </c>
      <c r="M4" s="39"/>
      <c r="N4" s="241" t="s">
        <v>808</v>
      </c>
      <c r="O4" s="242">
        <v>0.5</v>
      </c>
      <c r="P4" s="243">
        <f>5.68*60/10000</f>
        <v>3.4079999999999992E-2</v>
      </c>
      <c r="Q4" s="243">
        <f>7.2*60/10000</f>
        <v>4.3200000000000002E-2</v>
      </c>
      <c r="R4" s="243">
        <f>(1.6/3)/schedule_nomal[[#This Row],[hr/day]]</f>
        <v>1.0666666666666667</v>
      </c>
      <c r="S4" s="243">
        <f>(0.132/2)/schedule_nomal[[#This Row],[hr/day]]</f>
        <v>0.13200000000000001</v>
      </c>
      <c r="T4" s="243">
        <v>0</v>
      </c>
      <c r="U4" s="243">
        <v>0</v>
      </c>
      <c r="V4" s="243">
        <v>0</v>
      </c>
      <c r="W4" s="243">
        <v>0</v>
      </c>
      <c r="X4" s="243">
        <f>11.77*60/10000</f>
        <v>7.0619999999999988E-2</v>
      </c>
      <c r="Y4" s="242">
        <v>500</v>
      </c>
      <c r="Z4" s="243">
        <v>0</v>
      </c>
      <c r="AA4" s="243">
        <f>(0.059/1.6)*schedule_nomal[[#This Row],[Urine Water Production]]</f>
        <v>3.9333333333333331E-2</v>
      </c>
      <c r="AB4" s="243">
        <f>(0.032/0.132)*schedule_nomal[[#This Row],[Feces Production]]</f>
        <v>3.2000000000000001E-2</v>
      </c>
      <c r="AC4" s="243">
        <f>0.001018*schedule_nomal[[#This Row],[Hygiene Water Consumption]]/schedule_nomal[[#This Row],[hr/day]]</f>
        <v>0</v>
      </c>
      <c r="AD4" s="240">
        <f>(0.018/1.9)*schedule_nomal[[#This Row],[Sweat/Water Vapor Production]]</f>
        <v>6.6903157894736818E-4</v>
      </c>
      <c r="AE4" s="143"/>
      <c r="AF4" s="143"/>
      <c r="AG4" s="46"/>
      <c r="AM4" s="46"/>
      <c r="AS4" s="46"/>
      <c r="AY4" s="46"/>
      <c r="BE4" s="46"/>
      <c r="BK4" s="46"/>
    </row>
    <row r="5" spans="1:69" x14ac:dyDescent="0.35">
      <c r="A5" s="138">
        <v>4.1666666666666699E-2</v>
      </c>
      <c r="B5" s="126" t="s">
        <v>807</v>
      </c>
      <c r="C5" s="126">
        <f t="shared" si="0"/>
        <v>4</v>
      </c>
      <c r="D5" s="127">
        <v>8.6399999999999991E-2</v>
      </c>
      <c r="E5" s="127">
        <v>0.10920000000000001</v>
      </c>
      <c r="F5" s="127">
        <v>0</v>
      </c>
      <c r="G5" s="127">
        <v>0</v>
      </c>
      <c r="H5" s="127">
        <v>0</v>
      </c>
      <c r="I5" s="127">
        <v>0</v>
      </c>
      <c r="J5" s="127">
        <v>0</v>
      </c>
      <c r="K5" s="127">
        <v>0.1512</v>
      </c>
      <c r="L5" s="127">
        <v>1268</v>
      </c>
      <c r="M5" s="39"/>
      <c r="N5" s="241" t="s">
        <v>809</v>
      </c>
      <c r="O5" s="266">
        <v>1</v>
      </c>
      <c r="P5" s="267">
        <f>5.68*60/10000</f>
        <v>3.4079999999999992E-2</v>
      </c>
      <c r="Q5" s="267">
        <f>7.2*60/10000</f>
        <v>4.3200000000000002E-2</v>
      </c>
      <c r="R5" s="267">
        <f>(1.6/3)/schedule_nomal[[#This Row],[hr/day]]</f>
        <v>0.53333333333333333</v>
      </c>
      <c r="S5" s="267">
        <v>0</v>
      </c>
      <c r="T5" s="267">
        <v>0</v>
      </c>
      <c r="U5" s="267">
        <v>0</v>
      </c>
      <c r="V5" s="267">
        <v>0</v>
      </c>
      <c r="W5" s="267">
        <v>0</v>
      </c>
      <c r="X5" s="267">
        <f>11.77*60/10000</f>
        <v>7.0619999999999988E-2</v>
      </c>
      <c r="Y5" s="266">
        <v>500</v>
      </c>
      <c r="Z5" s="267">
        <v>0</v>
      </c>
      <c r="AA5" s="267">
        <f>(0.059/1.6)*schedule_nomal[[#This Row],[Urine Water Production]]</f>
        <v>1.9666666666666666E-2</v>
      </c>
      <c r="AB5" s="267">
        <f>(0.032/0.132)*schedule_nomal[[#This Row],[Feces Production]]</f>
        <v>0</v>
      </c>
      <c r="AC5" s="267">
        <f>0.001018*schedule_nomal[[#This Row],[Hygiene Water Consumption]]/schedule_nomal[[#This Row],[hr/day]]</f>
        <v>0</v>
      </c>
      <c r="AD5" s="265">
        <f>(0.018/1.9)*schedule_nomal[[#This Row],[Sweat/Water Vapor Production]]</f>
        <v>6.6903157894736818E-4</v>
      </c>
      <c r="AE5" s="143"/>
      <c r="AF5" s="143"/>
      <c r="AG5" s="46"/>
      <c r="AM5" s="46"/>
      <c r="AS5" s="46"/>
      <c r="AY5" s="46"/>
      <c r="BE5" s="46"/>
      <c r="BK5" s="46"/>
    </row>
    <row r="6" spans="1:69" x14ac:dyDescent="0.35">
      <c r="A6" s="138">
        <v>6.25E-2</v>
      </c>
      <c r="B6" s="126" t="s">
        <v>807</v>
      </c>
      <c r="C6" s="126">
        <f t="shared" si="0"/>
        <v>4</v>
      </c>
      <c r="D6" s="127">
        <v>8.6399999999999991E-2</v>
      </c>
      <c r="E6" s="127">
        <v>0.10920000000000001</v>
      </c>
      <c r="F6" s="127">
        <v>0</v>
      </c>
      <c r="G6" s="127">
        <v>0</v>
      </c>
      <c r="H6" s="127">
        <v>0</v>
      </c>
      <c r="I6" s="127">
        <v>0</v>
      </c>
      <c r="J6" s="127">
        <v>0</v>
      </c>
      <c r="K6" s="127">
        <v>0.1512</v>
      </c>
      <c r="L6" s="127">
        <v>1268</v>
      </c>
      <c r="M6" s="39"/>
      <c r="N6" s="244" t="s">
        <v>810</v>
      </c>
      <c r="O6" s="242">
        <v>0.5</v>
      </c>
      <c r="P6" s="243">
        <f>5.68*60/10000</f>
        <v>3.4079999999999992E-2</v>
      </c>
      <c r="Q6" s="243">
        <f>7.2*60/10000</f>
        <v>4.3200000000000002E-2</v>
      </c>
      <c r="R6" s="243">
        <f>(1.6/3)/schedule_nomal[[#This Row],[hr/day]]</f>
        <v>1.0666666666666667</v>
      </c>
      <c r="S6" s="243">
        <f>(0.132/2)/schedule_nomal[[#This Row],[hr/day]]</f>
        <v>0.13200000000000001</v>
      </c>
      <c r="T6" s="243">
        <v>0</v>
      </c>
      <c r="U6" s="243">
        <f>0.4/schedule_nomal[[#This Row],[hr/day]]</f>
        <v>0.8</v>
      </c>
      <c r="V6" s="243">
        <v>0</v>
      </c>
      <c r="W6" s="243">
        <v>0</v>
      </c>
      <c r="X6" s="243">
        <f>11.77*60/10000</f>
        <v>7.0619999999999988E-2</v>
      </c>
      <c r="Y6" s="242">
        <v>500</v>
      </c>
      <c r="Z6" s="243">
        <v>0</v>
      </c>
      <c r="AA6" s="243">
        <f>(0.059/1.6)*schedule_nomal[[#This Row],[Urine Water Production]]</f>
        <v>3.9333333333333331E-2</v>
      </c>
      <c r="AB6" s="243">
        <f>(0.032/0.132)*schedule_nomal[[#This Row],[Feces Production]]</f>
        <v>3.2000000000000001E-2</v>
      </c>
      <c r="AC6" s="243">
        <f>0.001018*schedule_nomal[[#This Row],[Hygiene Water Consumption]]/schedule_nomal[[#This Row],[hr/day]]</f>
        <v>1.6288000000000001E-3</v>
      </c>
      <c r="AD6" s="240">
        <f>(0.018/1.9)*schedule_nomal[[#This Row],[Sweat/Water Vapor Production]]</f>
        <v>6.6903157894736818E-4</v>
      </c>
      <c r="AE6" s="143"/>
      <c r="AF6" s="143"/>
      <c r="AG6" s="46"/>
      <c r="AM6" s="46"/>
      <c r="AS6" s="46"/>
      <c r="AY6" s="46"/>
      <c r="BE6" s="46"/>
      <c r="BK6" s="46"/>
    </row>
    <row r="7" spans="1:69" x14ac:dyDescent="0.35">
      <c r="A7" s="138">
        <v>8.3333333333333301E-2</v>
      </c>
      <c r="B7" s="126" t="s">
        <v>807</v>
      </c>
      <c r="C7" s="126">
        <f t="shared" si="0"/>
        <v>4</v>
      </c>
      <c r="D7" s="127">
        <v>8.6399999999999991E-2</v>
      </c>
      <c r="E7" s="127">
        <v>0.10920000000000001</v>
      </c>
      <c r="F7" s="127">
        <v>0</v>
      </c>
      <c r="G7" s="127">
        <v>0</v>
      </c>
      <c r="H7" s="127">
        <v>0</v>
      </c>
      <c r="I7" s="127">
        <v>0</v>
      </c>
      <c r="J7" s="127">
        <v>0</v>
      </c>
      <c r="K7" s="127">
        <v>0.1512</v>
      </c>
      <c r="L7" s="127">
        <v>1268</v>
      </c>
      <c r="M7" s="39"/>
      <c r="N7" s="245" t="s">
        <v>1242</v>
      </c>
      <c r="O7" s="266">
        <v>6.5</v>
      </c>
      <c r="P7" s="267">
        <f>5.68*60/10000</f>
        <v>3.4079999999999992E-2</v>
      </c>
      <c r="Q7" s="267">
        <f>7.2*60/10000</f>
        <v>4.3200000000000002E-2</v>
      </c>
      <c r="R7" s="267">
        <v>0</v>
      </c>
      <c r="S7" s="267">
        <v>0</v>
      </c>
      <c r="T7" s="267">
        <v>0</v>
      </c>
      <c r="U7" s="267">
        <v>0</v>
      </c>
      <c r="V7" s="267">
        <v>0</v>
      </c>
      <c r="W7" s="267">
        <v>0</v>
      </c>
      <c r="X7" s="267">
        <f>11.77*60/10000</f>
        <v>7.0619999999999988E-2</v>
      </c>
      <c r="Y7" s="266">
        <v>500</v>
      </c>
      <c r="Z7" s="267">
        <v>0</v>
      </c>
      <c r="AA7" s="267">
        <f>(0.059/1.6)*schedule_nomal[[#This Row],[Urine Water Production]]</f>
        <v>0</v>
      </c>
      <c r="AB7" s="267">
        <f>(0.032/0.132)*schedule_nomal[[#This Row],[Feces Production]]</f>
        <v>0</v>
      </c>
      <c r="AC7" s="267">
        <f>0.001018*schedule_nomal[[#This Row],[Hygiene Water Consumption]]/schedule_nomal[[#This Row],[hr/day]]</f>
        <v>0</v>
      </c>
      <c r="AD7" s="265">
        <f>(0.018/1.9)*schedule_nomal[[#This Row],[Sweat/Water Vapor Production]]</f>
        <v>6.6903157894736818E-4</v>
      </c>
      <c r="AE7" s="143"/>
      <c r="AF7" s="143"/>
      <c r="AG7" s="46"/>
      <c r="AM7" s="46"/>
      <c r="AS7" s="46"/>
      <c r="AY7" s="46"/>
      <c r="BE7" s="46"/>
      <c r="BK7" s="46"/>
    </row>
    <row r="8" spans="1:69" x14ac:dyDescent="0.35">
      <c r="A8" s="138">
        <v>0.104166666666667</v>
      </c>
      <c r="B8" s="126" t="s">
        <v>807</v>
      </c>
      <c r="C8" s="126">
        <f t="shared" si="0"/>
        <v>4</v>
      </c>
      <c r="D8" s="127">
        <v>8.6399999999999991E-2</v>
      </c>
      <c r="E8" s="127">
        <v>0.10920000000000001</v>
      </c>
      <c r="F8" s="127">
        <v>0</v>
      </c>
      <c r="G8" s="127">
        <v>0</v>
      </c>
      <c r="H8" s="127">
        <v>0</v>
      </c>
      <c r="I8" s="127">
        <v>0</v>
      </c>
      <c r="J8" s="127">
        <v>0</v>
      </c>
      <c r="K8" s="127">
        <v>0.1512</v>
      </c>
      <c r="L8" s="127">
        <v>1268</v>
      </c>
      <c r="M8" s="39"/>
      <c r="N8" s="246" t="s">
        <v>811</v>
      </c>
      <c r="O8" s="242">
        <v>3.5</v>
      </c>
      <c r="P8" s="243">
        <f>5.68*60/10000</f>
        <v>3.4079999999999992E-2</v>
      </c>
      <c r="Q8" s="243">
        <f>7.2*60/10000</f>
        <v>4.3200000000000002E-2</v>
      </c>
      <c r="R8" s="243">
        <v>0</v>
      </c>
      <c r="S8" s="243">
        <v>0</v>
      </c>
      <c r="T8" s="243">
        <v>0</v>
      </c>
      <c r="U8" s="243">
        <v>0</v>
      </c>
      <c r="V8" s="243">
        <v>0</v>
      </c>
      <c r="W8" s="243">
        <v>0</v>
      </c>
      <c r="X8" s="243">
        <f>11.77*60/10000</f>
        <v>7.0619999999999988E-2</v>
      </c>
      <c r="Y8" s="242">
        <v>500</v>
      </c>
      <c r="Z8" s="243">
        <v>0</v>
      </c>
      <c r="AA8" s="243">
        <f>(0.059/1.6)*schedule_nomal[[#This Row],[Urine Water Production]]</f>
        <v>0</v>
      </c>
      <c r="AB8" s="243">
        <f>(0.032/0.132)*schedule_nomal[[#This Row],[Feces Production]]</f>
        <v>0</v>
      </c>
      <c r="AC8" s="243">
        <f>0.001018*schedule_nomal[[#This Row],[Hygiene Water Consumption]]/schedule_nomal[[#This Row],[hr/day]]</f>
        <v>0</v>
      </c>
      <c r="AD8" s="240">
        <f>(0.018/1.9)*schedule_nomal[[#This Row],[Sweat/Water Vapor Production]]</f>
        <v>6.6903157894736818E-4</v>
      </c>
      <c r="AE8" s="143"/>
      <c r="AF8" s="143"/>
      <c r="AG8" s="46"/>
      <c r="AM8" s="46"/>
      <c r="AS8" s="46"/>
      <c r="AY8" s="46"/>
      <c r="BE8" s="46"/>
      <c r="BK8" s="46"/>
    </row>
    <row r="9" spans="1:69" x14ac:dyDescent="0.35">
      <c r="A9" s="138">
        <v>0.125</v>
      </c>
      <c r="B9" s="126" t="s">
        <v>807</v>
      </c>
      <c r="C9" s="126">
        <f t="shared" si="0"/>
        <v>4</v>
      </c>
      <c r="D9" s="127">
        <v>8.6399999999999991E-2</v>
      </c>
      <c r="E9" s="127">
        <v>0.10920000000000001</v>
      </c>
      <c r="F9" s="127">
        <v>0</v>
      </c>
      <c r="G9" s="127">
        <v>0</v>
      </c>
      <c r="H9" s="127">
        <v>0</v>
      </c>
      <c r="I9" s="127">
        <v>0</v>
      </c>
      <c r="J9" s="127">
        <v>0</v>
      </c>
      <c r="K9" s="127">
        <v>0.1512</v>
      </c>
      <c r="L9" s="127">
        <v>1268</v>
      </c>
      <c r="M9" s="39"/>
      <c r="N9" s="247" t="s">
        <v>1402</v>
      </c>
      <c r="O9" s="266">
        <v>0.25</v>
      </c>
      <c r="P9" s="267">
        <f>39.4*60/10000</f>
        <v>0.2364</v>
      </c>
      <c r="Q9" s="267">
        <f>49.85*60/10000</f>
        <v>0.29909999999999998</v>
      </c>
      <c r="R9" s="267">
        <f>0</f>
        <v>0</v>
      </c>
      <c r="S9" s="267">
        <f>0</f>
        <v>0</v>
      </c>
      <c r="T9" s="267">
        <f>0</f>
        <v>0</v>
      </c>
      <c r="U9" s="267">
        <f>0</f>
        <v>0</v>
      </c>
      <c r="V9" s="267">
        <f>0</f>
        <v>0</v>
      </c>
      <c r="W9" s="267">
        <v>0</v>
      </c>
      <c r="X9" s="267">
        <f>(16.16+1.56)*60/10000</f>
        <v>0.10631999999999998</v>
      </c>
      <c r="Y9" s="266">
        <f>1143</f>
        <v>1143</v>
      </c>
      <c r="Z9" s="267">
        <f>0</f>
        <v>0</v>
      </c>
      <c r="AA9" s="267">
        <f>(0.059/1.6)*schedule_nomal[[#This Row],[Urine Water Production]]</f>
        <v>0</v>
      </c>
      <c r="AB9" s="267">
        <f>(0.032/0.132)*schedule_nomal[[#This Row],[Feces Production]]</f>
        <v>0</v>
      </c>
      <c r="AC9" s="267">
        <f>0.001018*schedule_nomal[[#This Row],[Hygiene Water Consumption]]/schedule_nomal[[#This Row],[hr/day]]</f>
        <v>0</v>
      </c>
      <c r="AD9" s="265">
        <f>(0.018/1.9)*schedule_nomal[[#This Row],[Sweat/Water Vapor Production]]</f>
        <v>1.0072421052631576E-3</v>
      </c>
      <c r="AE9" s="143"/>
      <c r="AF9" s="143"/>
      <c r="AG9" s="46"/>
      <c r="AM9" s="46"/>
      <c r="AS9" s="46"/>
      <c r="AY9" s="46"/>
      <c r="BE9" s="46"/>
      <c r="BK9" s="46"/>
    </row>
    <row r="10" spans="1:69" x14ac:dyDescent="0.35">
      <c r="A10" s="138">
        <v>0.14583333333333301</v>
      </c>
      <c r="B10" s="126" t="s">
        <v>807</v>
      </c>
      <c r="C10" s="126">
        <f t="shared" si="0"/>
        <v>4</v>
      </c>
      <c r="D10" s="127">
        <v>8.6399999999999991E-2</v>
      </c>
      <c r="E10" s="127">
        <v>0.10920000000000001</v>
      </c>
      <c r="F10" s="127">
        <v>0</v>
      </c>
      <c r="G10" s="127">
        <v>0</v>
      </c>
      <c r="H10" s="127">
        <v>0</v>
      </c>
      <c r="I10" s="127">
        <v>0</v>
      </c>
      <c r="J10" s="127">
        <v>0</v>
      </c>
      <c r="K10" s="127">
        <v>0.1512</v>
      </c>
      <c r="L10" s="127">
        <v>1268</v>
      </c>
      <c r="M10" s="39"/>
      <c r="N10" s="248" t="s">
        <v>812</v>
      </c>
      <c r="O10" s="242">
        <v>0.25</v>
      </c>
      <c r="P10" s="243">
        <f>39.4*60/10000</f>
        <v>0.2364</v>
      </c>
      <c r="Q10" s="243">
        <f>49.85*60/10000</f>
        <v>0.29909999999999998</v>
      </c>
      <c r="R10" s="243">
        <v>0</v>
      </c>
      <c r="S10" s="243">
        <v>0</v>
      </c>
      <c r="T10" s="243">
        <v>0</v>
      </c>
      <c r="U10" s="243">
        <v>0</v>
      </c>
      <c r="V10" s="243">
        <v>0</v>
      </c>
      <c r="W10" s="243">
        <v>0</v>
      </c>
      <c r="X10" s="243">
        <f>(128.42+33.52)*60/10000</f>
        <v>0.97163999999999995</v>
      </c>
      <c r="Y10" s="242">
        <f>2974</f>
        <v>2974</v>
      </c>
      <c r="Z10" s="243">
        <v>0</v>
      </c>
      <c r="AA10" s="243">
        <f>(0.059/1.6)*schedule_nomal[[#This Row],[Urine Water Production]]</f>
        <v>0</v>
      </c>
      <c r="AB10" s="243">
        <f>(0.032/0.132)*schedule_nomal[[#This Row],[Feces Production]]</f>
        <v>0</v>
      </c>
      <c r="AC10" s="243">
        <f>0.001018*schedule_nomal[[#This Row],[Hygiene Water Consumption]]/schedule_nomal[[#This Row],[hr/day]]</f>
        <v>0</v>
      </c>
      <c r="AD10" s="240">
        <f>(0.018/1.9)*schedule_nomal[[#This Row],[Sweat/Water Vapor Production]]</f>
        <v>9.2050105263157874E-3</v>
      </c>
      <c r="AE10" s="143"/>
      <c r="AF10" s="143"/>
      <c r="AG10" s="46"/>
      <c r="AM10" s="46"/>
      <c r="AS10" s="46"/>
      <c r="AY10" s="46"/>
      <c r="BE10" s="46"/>
      <c r="BK10" s="46"/>
    </row>
    <row r="11" spans="1:69" x14ac:dyDescent="0.35">
      <c r="A11" s="138">
        <v>0.16666666666666699</v>
      </c>
      <c r="B11" s="126" t="s">
        <v>807</v>
      </c>
      <c r="C11" s="126">
        <f t="shared" si="0"/>
        <v>4</v>
      </c>
      <c r="D11" s="127">
        <v>8.6399999999999991E-2</v>
      </c>
      <c r="E11" s="127">
        <v>0.10920000000000001</v>
      </c>
      <c r="F11" s="127">
        <v>0</v>
      </c>
      <c r="G11" s="127">
        <v>0</v>
      </c>
      <c r="H11" s="127">
        <v>0</v>
      </c>
      <c r="I11" s="127">
        <v>0</v>
      </c>
      <c r="J11" s="127">
        <v>0</v>
      </c>
      <c r="K11" s="127">
        <v>0.1512</v>
      </c>
      <c r="L11" s="127">
        <v>1268</v>
      </c>
      <c r="M11" s="39"/>
      <c r="N11" s="249" t="s">
        <v>813</v>
      </c>
      <c r="O11" s="266">
        <v>1</v>
      </c>
      <c r="P11" s="267">
        <f>5.68*60/10000</f>
        <v>3.4079999999999992E-2</v>
      </c>
      <c r="Q11" s="267">
        <f>7.2*60/10000</f>
        <v>4.3200000000000002E-2</v>
      </c>
      <c r="R11" s="267">
        <v>0</v>
      </c>
      <c r="S11" s="267">
        <v>0</v>
      </c>
      <c r="T11" s="267" cm="1">
        <f t="array" ref="T11">(SUM(X9:X11*O9:O11) - ((11.77*60/10000)*SUM(O9:O11)))/schedule_nomal[[#This Row],[hr/day]]</f>
        <v>0.44478000000000006</v>
      </c>
      <c r="U11" s="267">
        <f>0.1/schedule_nomal[[#This Row],[hr/day]]</f>
        <v>0.1</v>
      </c>
      <c r="V11" s="267">
        <v>0</v>
      </c>
      <c r="W11" s="267">
        <v>0</v>
      </c>
      <c r="X11" s="267">
        <f>(83.83+15.16+40.29+0.36+27.44+20.4)/4*60/10000</f>
        <v>0.28122000000000003</v>
      </c>
      <c r="Y11" s="266">
        <f>(2005+1078+865+751)/4</f>
        <v>1174.75</v>
      </c>
      <c r="Z11" s="267">
        <v>0</v>
      </c>
      <c r="AA11" s="267">
        <f>(0.059/1.6)*schedule_nomal[[#This Row],[Urine Water Production]]</f>
        <v>0</v>
      </c>
      <c r="AB11" s="267">
        <f>(0.032/0.132)*schedule_nomal[[#This Row],[Feces Production]]</f>
        <v>0</v>
      </c>
      <c r="AC11" s="267">
        <f>0.001018*schedule_nomal[[#This Row],[Hygiene Water Consumption]]/schedule_nomal[[#This Row],[hr/day]]</f>
        <v>1.0180000000000001E-4</v>
      </c>
      <c r="AD11" s="265">
        <f>(0.018/1.9)*schedule_nomal[[#This Row],[Sweat/Water Vapor Production]]</f>
        <v>2.6641894736842103E-3</v>
      </c>
      <c r="AE11" s="143"/>
      <c r="AF11" s="143"/>
      <c r="AG11" s="46"/>
      <c r="AM11" s="46"/>
      <c r="AS11" s="46"/>
      <c r="AY11" s="46"/>
      <c r="BE11" s="46"/>
      <c r="BK11" s="46"/>
    </row>
    <row r="12" spans="1:69" x14ac:dyDescent="0.35">
      <c r="A12" s="138">
        <v>0.1875</v>
      </c>
      <c r="B12" s="126" t="s">
        <v>807</v>
      </c>
      <c r="C12" s="126">
        <f t="shared" si="0"/>
        <v>4</v>
      </c>
      <c r="D12" s="127">
        <v>8.6399999999999991E-2</v>
      </c>
      <c r="E12" s="127">
        <v>0.10920000000000001</v>
      </c>
      <c r="F12" s="127">
        <v>0</v>
      </c>
      <c r="G12" s="127">
        <v>0</v>
      </c>
      <c r="H12" s="127">
        <v>0</v>
      </c>
      <c r="I12" s="127">
        <v>0</v>
      </c>
      <c r="J12" s="127">
        <v>0</v>
      </c>
      <c r="K12" s="127">
        <v>0.1512</v>
      </c>
      <c r="L12" s="127">
        <v>1268</v>
      </c>
      <c r="M12" s="39"/>
      <c r="N12" s="250" t="s">
        <v>814</v>
      </c>
      <c r="O12" s="242">
        <v>0.5</v>
      </c>
      <c r="P12" s="243">
        <f>5.68*60/10000</f>
        <v>3.4079999999999992E-2</v>
      </c>
      <c r="Q12" s="243">
        <f>7.2*60/10000</f>
        <v>4.3200000000000002E-2</v>
      </c>
      <c r="R12" s="243">
        <v>0</v>
      </c>
      <c r="S12" s="243">
        <v>0</v>
      </c>
      <c r="T12" s="239" cm="1">
        <f t="array" ref="T12">((SUM(X3:X8*O3:O8)+SUM(X12:X14*O12:O14)+R16+(S16-AB16)-Z16-W16 + ((11.77*60/10000)*SUM(O9:O11)))/3)/schedule_nomal[[#This Row],[hr/day]]</f>
        <v>1.3915466666666665</v>
      </c>
      <c r="U12" s="243">
        <v>0</v>
      </c>
      <c r="V12" s="243">
        <f>(1.51/3)/schedule_nomal[[#This Row],[hr/day]]</f>
        <v>1.0066666666666666</v>
      </c>
      <c r="W12" s="243">
        <f>(0.7/3)/schedule_nomal[[#This Row],[hr/day]]</f>
        <v>0.46666666666666662</v>
      </c>
      <c r="X12" s="243">
        <f>11.77*60/10000</f>
        <v>7.0619999999999988E-2</v>
      </c>
      <c r="Y12" s="242">
        <v>500</v>
      </c>
      <c r="Z12" s="243">
        <f>($Z$16/3)/schedule_nomal[[#This Row],[hr/day]]</f>
        <v>0.22999999999999998</v>
      </c>
      <c r="AA12" s="243">
        <f>(0.059/1.6)*schedule_nomal[[#This Row],[Urine Water Production]]</f>
        <v>0</v>
      </c>
      <c r="AB12" s="243">
        <f>(0.032/0.132)*schedule_nomal[[#This Row],[Feces Production]]</f>
        <v>0</v>
      </c>
      <c r="AC12" s="243">
        <f>0.001018*schedule_nomal[[#This Row],[Hygiene Water Consumption]]/schedule_nomal[[#This Row],[hr/day]]</f>
        <v>0</v>
      </c>
      <c r="AD12" s="240">
        <f>(0.018/1.9)*schedule_nomal[[#This Row],[Sweat/Water Vapor Production]]</f>
        <v>6.6903157894736818E-4</v>
      </c>
      <c r="AE12" s="143"/>
      <c r="AF12" s="143"/>
      <c r="AG12" s="46"/>
      <c r="AM12" s="46"/>
      <c r="AS12" s="46"/>
      <c r="AY12" s="46"/>
      <c r="BE12" s="46"/>
      <c r="BK12" s="46"/>
    </row>
    <row r="13" spans="1:69" x14ac:dyDescent="0.35">
      <c r="A13" s="138">
        <v>0.20833333333333301</v>
      </c>
      <c r="B13" s="135" t="s">
        <v>808</v>
      </c>
      <c r="C13" s="135">
        <f t="shared" si="0"/>
        <v>4</v>
      </c>
      <c r="D13" s="136">
        <v>0.13631999999999997</v>
      </c>
      <c r="E13" s="136">
        <v>0.17279999999999998</v>
      </c>
      <c r="F13" s="136">
        <v>4.2666666666666666</v>
      </c>
      <c r="G13" s="136">
        <v>0.59153600000000006</v>
      </c>
      <c r="H13" s="136">
        <v>0</v>
      </c>
      <c r="I13" s="136">
        <v>0</v>
      </c>
      <c r="J13" s="136">
        <v>0</v>
      </c>
      <c r="K13" s="136">
        <v>0.28247999999999995</v>
      </c>
      <c r="L13" s="136">
        <v>2000</v>
      </c>
      <c r="M13" s="39"/>
      <c r="N13" s="250" t="s">
        <v>815</v>
      </c>
      <c r="O13" s="266">
        <v>1</v>
      </c>
      <c r="P13" s="267">
        <f>5.68*60/10000</f>
        <v>3.4079999999999992E-2</v>
      </c>
      <c r="Q13" s="267">
        <f>7.2*60/10000</f>
        <v>4.3200000000000002E-2</v>
      </c>
      <c r="R13" s="267">
        <v>0</v>
      </c>
      <c r="S13" s="267">
        <v>0</v>
      </c>
      <c r="T13" s="243" cm="1">
        <f t="array" ref="T13">((SUM(X3:X8*O3:O8)+SUM(X12:X14*O12:O14)+R16+(S16-AB16)-Z16-W16 + ((11.77*60/10000)*SUM(O9:O11)))/3)/schedule_nomal[[#This Row],[hr/day]]</f>
        <v>0.69577333333333324</v>
      </c>
      <c r="U13" s="267">
        <f>0.1/schedule_nomal[[#This Row],[hr/day]]</f>
        <v>0.1</v>
      </c>
      <c r="V13" s="267">
        <f>(1.51/3)/schedule_nomal[[#This Row],[hr/day]]</f>
        <v>0.5033333333333333</v>
      </c>
      <c r="W13" s="264">
        <f>(0.7/3)/schedule_nomal[[#This Row],[hr/day]]</f>
        <v>0.23333333333333331</v>
      </c>
      <c r="X13" s="267">
        <f>11.77*60/10000</f>
        <v>7.0619999999999988E-2</v>
      </c>
      <c r="Y13" s="266">
        <v>500</v>
      </c>
      <c r="Z13" s="243">
        <f>($Z$16/3)/schedule_nomal[[#This Row],[hr/day]]</f>
        <v>0.11499999999999999</v>
      </c>
      <c r="AA13" s="267">
        <f>(0.059/1.6)*schedule_nomal[[#This Row],[Urine Water Production]]</f>
        <v>0</v>
      </c>
      <c r="AB13" s="267">
        <f>(0.032/0.132)*schedule_nomal[[#This Row],[Feces Production]]</f>
        <v>0</v>
      </c>
      <c r="AC13" s="267">
        <f>0.001018*schedule_nomal[[#This Row],[Hygiene Water Consumption]]/schedule_nomal[[#This Row],[hr/day]]</f>
        <v>1.0180000000000001E-4</v>
      </c>
      <c r="AD13" s="265">
        <f>(0.018/1.9)*schedule_nomal[[#This Row],[Sweat/Water Vapor Production]]</f>
        <v>6.6903157894736818E-4</v>
      </c>
      <c r="AE13" s="144"/>
      <c r="AF13" s="144"/>
      <c r="AG13" s="46"/>
      <c r="AM13" s="46"/>
      <c r="AS13" s="46"/>
      <c r="AY13" s="46"/>
      <c r="BE13" s="46"/>
      <c r="BK13" s="46"/>
    </row>
    <row r="14" spans="1:69" x14ac:dyDescent="0.35">
      <c r="A14" s="138">
        <v>0.22916666666666699</v>
      </c>
      <c r="B14" s="44" t="s">
        <v>814</v>
      </c>
      <c r="C14" s="44">
        <f t="shared" si="0"/>
        <v>4</v>
      </c>
      <c r="D14" s="127">
        <v>0.13631999999999997</v>
      </c>
      <c r="E14" s="66">
        <v>0.17279999999999998</v>
      </c>
      <c r="F14" s="66">
        <v>0</v>
      </c>
      <c r="G14" s="66">
        <v>0</v>
      </c>
      <c r="H14" s="66">
        <v>5.5661866666666659</v>
      </c>
      <c r="I14" s="66">
        <v>0</v>
      </c>
      <c r="J14" s="66">
        <v>4.5112088888888886</v>
      </c>
      <c r="K14" s="66">
        <v>0.28247999999999995</v>
      </c>
      <c r="L14" s="66">
        <v>2000</v>
      </c>
      <c r="M14" s="39"/>
      <c r="N14" s="250" t="s">
        <v>816</v>
      </c>
      <c r="O14" s="242">
        <v>1</v>
      </c>
      <c r="P14" s="243">
        <f>5.68*60/10000</f>
        <v>3.4079999999999992E-2</v>
      </c>
      <c r="Q14" s="243">
        <f>7.2*60/10000</f>
        <v>4.3200000000000002E-2</v>
      </c>
      <c r="R14" s="243">
        <v>0</v>
      </c>
      <c r="S14" s="243">
        <v>0</v>
      </c>
      <c r="T14" s="239" cm="1">
        <f t="array" ref="T14">((SUM(X3:X8*O3:O8)+SUM(X12:X14*O12:O14)+R16+(S16-AB16)-Z16-W16 + ((11.77*60/10000)*SUM(O9:O11)))/3)/schedule_nomal[[#This Row],[hr/day]]</f>
        <v>0.69577333333333324</v>
      </c>
      <c r="U14" s="243">
        <f>0.1/schedule_nomal[[#This Row],[hr/day]]</f>
        <v>0.1</v>
      </c>
      <c r="V14" s="243">
        <f>(1.51/3)/schedule_nomal[[#This Row],[hr/day]]</f>
        <v>0.5033333333333333</v>
      </c>
      <c r="W14" s="243">
        <f>(0.7/3)/schedule_nomal[[#This Row],[hr/day]]</f>
        <v>0.23333333333333331</v>
      </c>
      <c r="X14" s="243">
        <f>11.77*60/10000</f>
        <v>7.0619999999999988E-2</v>
      </c>
      <c r="Y14" s="242">
        <v>500</v>
      </c>
      <c r="Z14" s="243">
        <f>($Z$16/3)/schedule_nomal[[#This Row],[hr/day]]</f>
        <v>0.11499999999999999</v>
      </c>
      <c r="AA14" s="243">
        <f>(0.059/1.6)*schedule_nomal[[#This Row],[Urine Water Production]]</f>
        <v>0</v>
      </c>
      <c r="AB14" s="243">
        <f>(0.032/0.132)*schedule_nomal[[#This Row],[Feces Production]]</f>
        <v>0</v>
      </c>
      <c r="AC14" s="243">
        <f>0.001018*schedule_nomal[[#This Row],[Hygiene Water Consumption]]/schedule_nomal[[#This Row],[hr/day]]</f>
        <v>1.0180000000000001E-4</v>
      </c>
      <c r="AD14" s="240">
        <f>(0.018/1.9)*schedule_nomal[[#This Row],[Sweat/Water Vapor Production]]</f>
        <v>6.6903157894736818E-4</v>
      </c>
      <c r="AE14" s="145"/>
      <c r="AF14" s="145"/>
      <c r="AG14" s="46"/>
      <c r="AM14" s="46"/>
      <c r="AS14" s="46"/>
      <c r="AY14" s="46"/>
      <c r="BE14" s="46"/>
      <c r="BK14" s="46"/>
    </row>
    <row r="15" spans="1:69" ht="14" customHeight="1" x14ac:dyDescent="0.35">
      <c r="A15" s="138">
        <v>0.25</v>
      </c>
      <c r="B15" s="44" t="s">
        <v>810</v>
      </c>
      <c r="C15" s="44">
        <f t="shared" si="0"/>
        <v>4</v>
      </c>
      <c r="D15" s="127">
        <v>0.13631999999999997</v>
      </c>
      <c r="E15" s="66">
        <v>0.17279999999999998</v>
      </c>
      <c r="F15" s="66">
        <v>4.2666666666666666</v>
      </c>
      <c r="G15" s="66">
        <v>0.59153600000000006</v>
      </c>
      <c r="H15" s="66">
        <v>0</v>
      </c>
      <c r="I15" s="66">
        <v>3.2000000000000006</v>
      </c>
      <c r="J15" s="66">
        <v>0</v>
      </c>
      <c r="K15" s="66">
        <v>0.28247999999999995</v>
      </c>
      <c r="L15" s="66">
        <v>2000</v>
      </c>
      <c r="M15" s="39"/>
      <c r="N15" s="271" t="s">
        <v>1176</v>
      </c>
      <c r="O15" s="267"/>
      <c r="P15" s="268">
        <f>AVERAGE(P3:P14)</f>
        <v>6.676E-2</v>
      </c>
      <c r="Q15" s="268">
        <f>AVERAGE(Q3:Q14)</f>
        <v>8.4525000000000003E-2</v>
      </c>
      <c r="R15" s="268">
        <f>AVERAGE(R4:R6,R8)</f>
        <v>0.66666666666666674</v>
      </c>
      <c r="S15" s="268">
        <f>AVERAGE(S4,S6,S8)</f>
        <v>8.8000000000000009E-2</v>
      </c>
      <c r="T15" s="268">
        <f>AVERAGE(T11:T14)</f>
        <v>0.80696833333333329</v>
      </c>
      <c r="U15" s="268">
        <f>AVERAGE(U4:U6,U8,U11:U14)</f>
        <v>0.13750000000000001</v>
      </c>
      <c r="V15" s="268">
        <f>AVERAGE(V12:V14)</f>
        <v>0.6711111111111111</v>
      </c>
      <c r="W15" s="268">
        <f>AVERAGE(W12:W14)</f>
        <v>0.31111111111111106</v>
      </c>
      <c r="X15" s="268">
        <f>AVERAGE(X3:X14)</f>
        <v>0.16349499999999997</v>
      </c>
      <c r="Y15" s="269">
        <f>AVERAGE(Y3:Y14)</f>
        <v>800.72916666666663</v>
      </c>
      <c r="Z15" s="268">
        <f>AVERAGE(Z12,Z14)</f>
        <v>0.17249999999999999</v>
      </c>
      <c r="AA15" s="268">
        <f>AVERAGE(AA3,AA14)</f>
        <v>0</v>
      </c>
      <c r="AB15" s="268">
        <f>AVERAGE(AB3,AB14)</f>
        <v>0</v>
      </c>
      <c r="AC15" s="268">
        <f>AVERAGE(AC3,AC14)</f>
        <v>5.0900000000000004E-5</v>
      </c>
      <c r="AD15" s="270">
        <f>AVERAGE(AD3:AD14)</f>
        <v>1.5489E-3</v>
      </c>
      <c r="AE15" s="85"/>
      <c r="AF15" s="85"/>
      <c r="AG15" s="46"/>
      <c r="AH15" s="45"/>
      <c r="AM15" s="46"/>
      <c r="AS15" s="46"/>
      <c r="AY15" s="46"/>
      <c r="BE15" s="46"/>
      <c r="BK15" s="46"/>
    </row>
    <row r="16" spans="1:69" x14ac:dyDescent="0.35">
      <c r="A16" s="138">
        <v>0.27083333333333298</v>
      </c>
      <c r="B16" s="44" t="s">
        <v>1242</v>
      </c>
      <c r="C16" s="44">
        <f t="shared" si="0"/>
        <v>4</v>
      </c>
      <c r="D16" s="127">
        <v>0.13631999999999997</v>
      </c>
      <c r="E16" s="66">
        <v>0.17279999999999998</v>
      </c>
      <c r="F16" s="66">
        <v>0</v>
      </c>
      <c r="G16" s="66">
        <v>0</v>
      </c>
      <c r="H16" s="66">
        <v>0</v>
      </c>
      <c r="I16" s="66">
        <v>0</v>
      </c>
      <c r="J16" s="66">
        <v>0</v>
      </c>
      <c r="K16" s="66">
        <v>0.28247999999999995</v>
      </c>
      <c r="L16" s="66">
        <v>2000</v>
      </c>
      <c r="M16" s="39"/>
      <c r="N16" s="251" t="s">
        <v>1074</v>
      </c>
      <c r="O16" s="252">
        <f>SUM(O3:O14)</f>
        <v>24</v>
      </c>
      <c r="P16" s="253" cm="1">
        <f t="array" ref="P16">SUM(P3:P14*O3:O14)</f>
        <v>0.81923999999999997</v>
      </c>
      <c r="Q16" s="253" cm="1">
        <f t="array" ref="Q16">SUM(Q3:Q14*O3:O14)</f>
        <v>1.03755</v>
      </c>
      <c r="R16" s="254" cm="1">
        <f t="array" ref="R16">SUM(R3:R14*$O$3:$O$14)</f>
        <v>1.6</v>
      </c>
      <c r="S16" s="254" cm="1">
        <f t="array" ref="S16">SUM(S3:S14*$O$3:$O$14)</f>
        <v>0.13200000000000001</v>
      </c>
      <c r="T16" s="254" cm="1">
        <f t="array" ref="T16">SUM(T3:T14*$O$3:$O$14)</f>
        <v>2.5320999999999998</v>
      </c>
      <c r="U16" s="254" cm="1">
        <f t="array" ref="U16">SUM(U3:U14*$O$3:$O$14)</f>
        <v>0.7</v>
      </c>
      <c r="V16" s="254" cm="1">
        <f t="array" ref="V16">SUM(V3:V14*$O$3:$O$14)</f>
        <v>1.5099999999999998</v>
      </c>
      <c r="W16" s="254" cm="1">
        <f t="array" ref="W16">SUM(W3:W14*$O$3:$O$14)</f>
        <v>0.7</v>
      </c>
      <c r="X16" s="253" cm="1">
        <f t="array" ref="X16">SUM(X3:X14*$O$3:$O$14)</f>
        <v>1.8770999999999995</v>
      </c>
      <c r="Y16" s="253" cm="1">
        <f t="array" ref="Y16">SUM(Y3:Y14*$O$3:$O$14)</f>
        <v>11990</v>
      </c>
      <c r="Z16" s="253">
        <v>0.34499999999999997</v>
      </c>
      <c r="AA16" s="253" cm="1">
        <f t="array" ref="AA16">SUM(AA3:AA14*$O$3:$O$14)</f>
        <v>5.8999999999999997E-2</v>
      </c>
      <c r="AB16" s="253" cm="1">
        <f t="array" ref="AB16">SUM(AB3:AB14*$O$3:$O$14)</f>
        <v>3.2000000000000001E-2</v>
      </c>
      <c r="AC16" s="253" cm="1">
        <f t="array" ref="AC16">SUM(AC3:AC14*$O$3:$O$14)</f>
        <v>1.1198E-3</v>
      </c>
      <c r="AD16" s="253" cm="1">
        <f t="array" ref="AD16">SUM(AD3:AD14*$O$3:$O$14)</f>
        <v>1.7783052631578946E-2</v>
      </c>
      <c r="AE16" s="85"/>
      <c r="AF16" s="85"/>
      <c r="AG16" s="46"/>
      <c r="AH16" s="45"/>
      <c r="AM16" s="46"/>
      <c r="AS16" s="46"/>
      <c r="AY16" s="46"/>
      <c r="BE16" s="46"/>
      <c r="BK16" s="46"/>
    </row>
    <row r="17" spans="1:63" x14ac:dyDescent="0.35">
      <c r="A17" s="138">
        <v>0.29166666666666702</v>
      </c>
      <c r="B17" s="44" t="s">
        <v>1242</v>
      </c>
      <c r="C17" s="44">
        <f t="shared" si="0"/>
        <v>4</v>
      </c>
      <c r="D17" s="127">
        <v>0.13631999999999997</v>
      </c>
      <c r="E17" s="66">
        <v>0.17279999999999998</v>
      </c>
      <c r="F17" s="66">
        <v>0</v>
      </c>
      <c r="G17" s="66">
        <v>0</v>
      </c>
      <c r="H17" s="66">
        <v>0</v>
      </c>
      <c r="I17" s="66">
        <v>0</v>
      </c>
      <c r="J17" s="66">
        <v>0</v>
      </c>
      <c r="K17" s="66">
        <v>0.28247999999999995</v>
      </c>
      <c r="L17" s="66">
        <v>2000</v>
      </c>
      <c r="M17" s="39"/>
      <c r="N17" s="255" t="s">
        <v>1401</v>
      </c>
      <c r="O17" s="256"/>
      <c r="P17" s="257">
        <v>0.81599999999999995</v>
      </c>
      <c r="Q17" s="257">
        <v>1.04</v>
      </c>
      <c r="R17" s="257">
        <v>1.6</v>
      </c>
      <c r="S17" s="257">
        <v>0.13200000000000001</v>
      </c>
      <c r="T17" s="257">
        <v>2.5</v>
      </c>
      <c r="U17" s="257">
        <v>0.7</v>
      </c>
      <c r="V17" s="257">
        <v>1.51</v>
      </c>
      <c r="W17" s="257">
        <v>0.7</v>
      </c>
      <c r="X17" s="257">
        <v>1.9</v>
      </c>
      <c r="Y17" s="257">
        <v>12000</v>
      </c>
      <c r="Z17" s="258">
        <v>0.34499999999999997</v>
      </c>
      <c r="AA17" s="258"/>
      <c r="AB17" s="258"/>
      <c r="AC17" s="258"/>
      <c r="AD17" s="259"/>
      <c r="AE17" s="85"/>
      <c r="AF17" s="85"/>
      <c r="AG17" s="46"/>
      <c r="AM17" s="46"/>
      <c r="AS17" s="46"/>
      <c r="AY17" s="46"/>
      <c r="BE17" s="46"/>
      <c r="BK17" s="46"/>
    </row>
    <row r="18" spans="1:63" x14ac:dyDescent="0.35">
      <c r="A18" s="138">
        <v>0.3125</v>
      </c>
      <c r="B18" s="44" t="s">
        <v>1242</v>
      </c>
      <c r="C18" s="44">
        <f t="shared" si="0"/>
        <v>4</v>
      </c>
      <c r="D18" s="127">
        <v>0.13631999999999997</v>
      </c>
      <c r="E18" s="66">
        <v>0.17279999999999998</v>
      </c>
      <c r="F18" s="66">
        <v>0</v>
      </c>
      <c r="G18" s="66">
        <v>0</v>
      </c>
      <c r="H18" s="66">
        <v>0</v>
      </c>
      <c r="I18" s="66">
        <v>0</v>
      </c>
      <c r="J18" s="66">
        <v>0</v>
      </c>
      <c r="K18" s="66">
        <v>0.28247999999999995</v>
      </c>
      <c r="L18" s="66">
        <v>2000</v>
      </c>
      <c r="M18" s="39"/>
      <c r="P18" s="143"/>
      <c r="Q18" s="143"/>
      <c r="R18" s="39"/>
      <c r="S18" s="237"/>
      <c r="T18" s="39"/>
      <c r="U18" s="39"/>
      <c r="V18" s="39"/>
      <c r="W18" s="39"/>
      <c r="X18" s="237"/>
      <c r="Y18" s="39"/>
      <c r="Z18" s="85"/>
      <c r="AA18" s="85"/>
      <c r="AB18" s="85"/>
      <c r="AC18" s="85"/>
      <c r="AD18" s="85"/>
      <c r="AE18" s="85"/>
      <c r="AF18" s="85"/>
      <c r="AG18" s="46"/>
      <c r="AM18" s="46"/>
      <c r="AS18" s="46"/>
      <c r="AY18" s="46"/>
      <c r="BE18" s="46"/>
      <c r="BK18" s="46"/>
    </row>
    <row r="19" spans="1:63" x14ac:dyDescent="0.35">
      <c r="A19" s="138">
        <v>0.33333333333333298</v>
      </c>
      <c r="B19" s="44" t="s">
        <v>1242</v>
      </c>
      <c r="C19" s="44">
        <f t="shared" si="0"/>
        <v>4</v>
      </c>
      <c r="D19" s="127">
        <v>0.13631999999999997</v>
      </c>
      <c r="E19" s="66">
        <v>0.17279999999999998</v>
      </c>
      <c r="F19" s="66">
        <v>0</v>
      </c>
      <c r="G19" s="66">
        <v>0</v>
      </c>
      <c r="H19" s="66">
        <v>0</v>
      </c>
      <c r="I19" s="66">
        <v>0</v>
      </c>
      <c r="J19" s="66">
        <v>0</v>
      </c>
      <c r="K19" s="66">
        <v>0.28247999999999995</v>
      </c>
      <c r="L19" s="66">
        <v>2000</v>
      </c>
      <c r="M19" s="39"/>
      <c r="N19" t="s">
        <v>1420</v>
      </c>
      <c r="O19" s="90">
        <f>T16+W16+Z16-R16-(S16-AB16)-X16</f>
        <v>0</v>
      </c>
      <c r="P19" s="143"/>
      <c r="Q19" s="143"/>
      <c r="R19" s="39"/>
      <c r="S19" s="39"/>
      <c r="T19" s="39"/>
      <c r="U19" s="39"/>
      <c r="V19" s="39"/>
      <c r="W19" s="39"/>
      <c r="X19" s="237"/>
      <c r="Y19" s="39"/>
      <c r="Z19" s="85"/>
      <c r="AA19" s="85"/>
      <c r="AB19" s="85"/>
      <c r="AC19" s="85"/>
      <c r="AD19" s="85"/>
      <c r="AE19" s="85"/>
      <c r="AF19" s="85"/>
      <c r="AG19" s="46"/>
      <c r="AM19" s="46"/>
      <c r="AS19" s="46"/>
      <c r="AY19" s="46"/>
      <c r="BE19" s="46"/>
      <c r="BK19" s="46"/>
    </row>
    <row r="20" spans="1:63" x14ac:dyDescent="0.35">
      <c r="A20" s="138">
        <v>0.35416666666666702</v>
      </c>
      <c r="B20" s="44" t="s">
        <v>1242</v>
      </c>
      <c r="C20" s="44">
        <f t="shared" si="0"/>
        <v>4</v>
      </c>
      <c r="D20" s="127">
        <v>0.13631999999999997</v>
      </c>
      <c r="E20" s="66">
        <v>0.17279999999999998</v>
      </c>
      <c r="F20" s="66">
        <v>0</v>
      </c>
      <c r="G20" s="66">
        <v>0</v>
      </c>
      <c r="H20" s="66">
        <v>0</v>
      </c>
      <c r="I20" s="66">
        <v>0</v>
      </c>
      <c r="J20" s="66">
        <v>0</v>
      </c>
      <c r="K20" s="66">
        <v>0.28247999999999995</v>
      </c>
      <c r="L20" s="66">
        <v>2000</v>
      </c>
      <c r="M20" s="39"/>
      <c r="N20" t="s">
        <v>1432</v>
      </c>
      <c r="O20">
        <v>0</v>
      </c>
      <c r="P20" s="39"/>
      <c r="Q20" s="39"/>
      <c r="R20" s="39"/>
      <c r="S20" s="39"/>
      <c r="T20" s="39"/>
      <c r="U20" s="39"/>
      <c r="V20" s="39"/>
      <c r="W20" s="39"/>
      <c r="X20" s="39"/>
      <c r="Y20" s="39"/>
      <c r="Z20" s="39"/>
      <c r="AA20" s="39"/>
      <c r="AB20" s="39"/>
      <c r="AC20" s="39"/>
      <c r="AD20" s="39"/>
      <c r="AE20" s="85"/>
      <c r="AF20" s="85"/>
      <c r="AG20" s="46"/>
      <c r="AM20" s="46"/>
      <c r="AS20" s="46"/>
      <c r="AY20" s="46"/>
      <c r="BE20" s="46"/>
      <c r="BK20" s="46"/>
    </row>
    <row r="21" spans="1:63" x14ac:dyDescent="0.35">
      <c r="A21" s="138">
        <v>0.375</v>
      </c>
      <c r="B21" s="44" t="s">
        <v>1242</v>
      </c>
      <c r="C21" s="44">
        <f t="shared" si="0"/>
        <v>4</v>
      </c>
      <c r="D21" s="127">
        <v>0.13631999999999997</v>
      </c>
      <c r="E21" s="66">
        <v>0.17279999999999998</v>
      </c>
      <c r="F21" s="66">
        <v>0</v>
      </c>
      <c r="G21" s="66">
        <v>0</v>
      </c>
      <c r="H21" s="66">
        <v>0</v>
      </c>
      <c r="I21" s="66">
        <v>0</v>
      </c>
      <c r="J21" s="66">
        <v>0</v>
      </c>
      <c r="K21" s="66">
        <v>0.28247999999999995</v>
      </c>
      <c r="L21" s="66">
        <v>2000</v>
      </c>
      <c r="M21" s="39"/>
      <c r="N21" t="s">
        <v>1431</v>
      </c>
      <c r="O21">
        <v>0</v>
      </c>
      <c r="AE21" s="85"/>
      <c r="AF21" s="85"/>
      <c r="AG21" s="46"/>
      <c r="AM21" s="46"/>
      <c r="AS21" s="46"/>
      <c r="AY21" s="46"/>
      <c r="BE21" s="46"/>
      <c r="BK21" s="46"/>
    </row>
    <row r="22" spans="1:63" x14ac:dyDescent="0.35">
      <c r="A22" s="138">
        <v>0.39583333333333298</v>
      </c>
      <c r="B22" s="44" t="s">
        <v>812</v>
      </c>
      <c r="C22" s="44">
        <f t="shared" si="0"/>
        <v>4</v>
      </c>
      <c r="D22" s="127">
        <v>0.94560000000000011</v>
      </c>
      <c r="E22" s="66">
        <v>1.1963999999999999</v>
      </c>
      <c r="F22" s="66">
        <v>0</v>
      </c>
      <c r="G22" s="66">
        <v>0</v>
      </c>
      <c r="H22" s="66">
        <v>0</v>
      </c>
      <c r="I22" s="66">
        <v>0</v>
      </c>
      <c r="J22" s="66">
        <v>0</v>
      </c>
      <c r="K22" s="66">
        <v>2.1559200000000001</v>
      </c>
      <c r="L22" s="66">
        <v>8234</v>
      </c>
      <c r="M22" s="39"/>
      <c r="N22" s="93" t="s">
        <v>1197</v>
      </c>
      <c r="O22" s="95" t="s">
        <v>1198</v>
      </c>
      <c r="AE22" s="85"/>
      <c r="AF22" s="85"/>
      <c r="AG22" s="46"/>
      <c r="AM22" s="46"/>
      <c r="AS22" s="46"/>
      <c r="AY22" s="46"/>
      <c r="BE22" s="46"/>
      <c r="BK22" s="46"/>
    </row>
    <row r="23" spans="1:63" x14ac:dyDescent="0.35">
      <c r="A23" s="138">
        <v>0.41666666666666702</v>
      </c>
      <c r="B23" s="44" t="s">
        <v>813</v>
      </c>
      <c r="C23" s="44">
        <f t="shared" si="0"/>
        <v>4</v>
      </c>
      <c r="D23" s="127">
        <v>0.13631999999999997</v>
      </c>
      <c r="E23" s="66">
        <v>0.17279999999999998</v>
      </c>
      <c r="F23" s="66">
        <v>0</v>
      </c>
      <c r="G23" s="66">
        <v>0</v>
      </c>
      <c r="H23" s="66">
        <v>1.55169</v>
      </c>
      <c r="I23" s="66">
        <v>0.40000000000000008</v>
      </c>
      <c r="J23" s="66">
        <v>0</v>
      </c>
      <c r="K23" s="66">
        <v>1.1248800000000001</v>
      </c>
      <c r="L23" s="66">
        <v>4699</v>
      </c>
      <c r="M23" s="39"/>
      <c r="N23" s="94" t="s">
        <v>1196</v>
      </c>
      <c r="O23" s="125">
        <v>0.7</v>
      </c>
      <c r="AE23" s="85"/>
      <c r="AF23" s="85"/>
      <c r="AG23" s="46"/>
      <c r="AM23" s="46"/>
      <c r="AS23" s="46"/>
      <c r="AY23" s="46"/>
      <c r="BE23" s="46"/>
      <c r="BK23" s="46"/>
    </row>
    <row r="24" spans="1:63" x14ac:dyDescent="0.35">
      <c r="A24" s="138">
        <v>0.4375</v>
      </c>
      <c r="B24" s="44" t="s">
        <v>813</v>
      </c>
      <c r="C24" s="44">
        <f t="shared" si="0"/>
        <v>4</v>
      </c>
      <c r="D24" s="127">
        <v>0.13631999999999997</v>
      </c>
      <c r="E24" s="66">
        <v>0.17279999999999998</v>
      </c>
      <c r="F24" s="66">
        <v>0</v>
      </c>
      <c r="G24" s="66">
        <v>0</v>
      </c>
      <c r="H24" s="66">
        <v>1.55169</v>
      </c>
      <c r="I24" s="66">
        <v>0.40000000000000008</v>
      </c>
      <c r="J24" s="66">
        <v>0</v>
      </c>
      <c r="K24" s="66">
        <v>1.1248800000000001</v>
      </c>
      <c r="L24" s="66">
        <v>4699</v>
      </c>
      <c r="M24" s="39"/>
      <c r="N24" t="s">
        <v>1201</v>
      </c>
      <c r="O24" s="105">
        <v>15.2</v>
      </c>
      <c r="AE24" s="85"/>
      <c r="AF24" s="85"/>
      <c r="AG24" s="46"/>
      <c r="AM24" s="46"/>
      <c r="AS24" s="46"/>
      <c r="AY24" s="46"/>
      <c r="BE24" s="46"/>
      <c r="BK24" s="46"/>
    </row>
    <row r="25" spans="1:63" x14ac:dyDescent="0.35">
      <c r="A25" s="138">
        <v>0.45833333333333298</v>
      </c>
      <c r="B25" s="44" t="s">
        <v>815</v>
      </c>
      <c r="C25" s="44">
        <f t="shared" si="0"/>
        <v>4</v>
      </c>
      <c r="D25" s="127">
        <v>0.13631999999999997</v>
      </c>
      <c r="E25" s="66">
        <v>0.17279999999999998</v>
      </c>
      <c r="F25" s="66">
        <v>0</v>
      </c>
      <c r="G25" s="66">
        <v>0</v>
      </c>
      <c r="H25" s="66">
        <v>2.783093333333333</v>
      </c>
      <c r="I25" s="66">
        <v>0.40000000000000008</v>
      </c>
      <c r="J25" s="66">
        <v>2.2556044444444443</v>
      </c>
      <c r="K25" s="66">
        <v>0.28247999999999995</v>
      </c>
      <c r="L25" s="66">
        <v>2000</v>
      </c>
      <c r="M25" s="39"/>
      <c r="AE25" s="85"/>
      <c r="AF25" s="85"/>
      <c r="AG25" s="46"/>
      <c r="AM25" s="46"/>
      <c r="AS25" s="46"/>
      <c r="AY25" s="46"/>
      <c r="BE25" s="46"/>
      <c r="BK25" s="46"/>
    </row>
    <row r="26" spans="1:63" x14ac:dyDescent="0.35">
      <c r="A26" s="138">
        <v>0.47916666666666702</v>
      </c>
      <c r="B26" s="44" t="s">
        <v>815</v>
      </c>
      <c r="C26" s="44">
        <f t="shared" si="0"/>
        <v>4</v>
      </c>
      <c r="D26" s="127">
        <v>0.13631999999999997</v>
      </c>
      <c r="E26" s="66">
        <v>0.17279999999999998</v>
      </c>
      <c r="F26" s="66">
        <v>0</v>
      </c>
      <c r="G26" s="66">
        <v>0</v>
      </c>
      <c r="H26" s="66">
        <v>2.783093333333333</v>
      </c>
      <c r="I26" s="66">
        <v>0.40000000000000008</v>
      </c>
      <c r="J26" s="66">
        <v>2.2556044444444443</v>
      </c>
      <c r="K26" s="66">
        <v>0.28247999999999995</v>
      </c>
      <c r="L26" s="66">
        <v>2000</v>
      </c>
      <c r="M26" s="39"/>
      <c r="AE26" s="39"/>
      <c r="AF26" s="39"/>
      <c r="AG26" s="46"/>
      <c r="AM26" s="46"/>
      <c r="AS26" s="46"/>
      <c r="AY26" s="46"/>
      <c r="BE26" s="46"/>
      <c r="BK26" s="46"/>
    </row>
    <row r="27" spans="1:63" x14ac:dyDescent="0.35">
      <c r="A27" s="138">
        <v>0.5</v>
      </c>
      <c r="B27" s="44" t="s">
        <v>811</v>
      </c>
      <c r="C27" s="44">
        <f t="shared" si="0"/>
        <v>4</v>
      </c>
      <c r="D27" s="127">
        <v>0.13631999999999997</v>
      </c>
      <c r="E27" s="66">
        <v>0.17279999999999998</v>
      </c>
      <c r="F27" s="66">
        <v>0</v>
      </c>
      <c r="G27" s="66">
        <v>0</v>
      </c>
      <c r="H27" s="66">
        <v>0</v>
      </c>
      <c r="I27" s="66">
        <v>0</v>
      </c>
      <c r="J27" s="66">
        <v>0</v>
      </c>
      <c r="K27" s="66">
        <v>0.28247999999999995</v>
      </c>
      <c r="L27" s="66">
        <v>2000</v>
      </c>
      <c r="M27" s="39"/>
      <c r="AE27" s="39"/>
      <c r="AF27" s="39"/>
      <c r="AG27" s="46"/>
      <c r="AM27" s="46"/>
      <c r="AS27" s="46"/>
      <c r="AY27" s="46"/>
      <c r="BE27" s="46"/>
      <c r="BK27" s="46"/>
    </row>
    <row r="28" spans="1:63" x14ac:dyDescent="0.35">
      <c r="A28" s="138">
        <v>0.52083333333333304</v>
      </c>
      <c r="B28" s="44" t="s">
        <v>811</v>
      </c>
      <c r="C28" s="44">
        <f t="shared" si="0"/>
        <v>4</v>
      </c>
      <c r="D28" s="127">
        <v>0.13631999999999997</v>
      </c>
      <c r="E28" s="66">
        <v>0.17279999999999998</v>
      </c>
      <c r="F28" s="66">
        <v>0</v>
      </c>
      <c r="G28" s="66">
        <v>0</v>
      </c>
      <c r="H28" s="66">
        <v>0</v>
      </c>
      <c r="I28" s="66">
        <v>0</v>
      </c>
      <c r="J28" s="66">
        <v>0</v>
      </c>
      <c r="K28" s="66">
        <v>0.28247999999999995</v>
      </c>
      <c r="L28" s="66">
        <v>2000</v>
      </c>
      <c r="M28" s="39"/>
      <c r="N28" s="275"/>
      <c r="O28" s="275"/>
      <c r="AE28" s="39"/>
      <c r="AF28" s="39"/>
      <c r="AG28" s="46"/>
      <c r="AM28" s="46"/>
      <c r="AS28" s="46"/>
      <c r="AY28" s="46"/>
      <c r="BE28" s="46"/>
      <c r="BK28" s="46"/>
    </row>
    <row r="29" spans="1:63" x14ac:dyDescent="0.35">
      <c r="A29" s="138">
        <v>0.54166666666666696</v>
      </c>
      <c r="B29" s="44" t="s">
        <v>811</v>
      </c>
      <c r="C29" s="44">
        <f t="shared" si="0"/>
        <v>4</v>
      </c>
      <c r="D29" s="127">
        <v>0.13631999999999997</v>
      </c>
      <c r="E29" s="66">
        <v>0.17279999999999998</v>
      </c>
      <c r="F29" s="66">
        <v>0</v>
      </c>
      <c r="G29" s="66">
        <v>0</v>
      </c>
      <c r="H29" s="66">
        <v>0</v>
      </c>
      <c r="I29" s="66">
        <v>0</v>
      </c>
      <c r="J29" s="66">
        <v>0</v>
      </c>
      <c r="K29" s="66">
        <v>0.28247999999999995</v>
      </c>
      <c r="L29" s="66">
        <v>2000</v>
      </c>
      <c r="M29" s="39"/>
      <c r="AE29" s="39"/>
      <c r="AF29" s="39"/>
      <c r="AG29" s="46"/>
      <c r="AM29" s="46"/>
      <c r="AS29" s="46"/>
      <c r="AY29" s="46"/>
      <c r="BE29" s="46"/>
      <c r="BK29" s="46"/>
    </row>
    <row r="30" spans="1:63" x14ac:dyDescent="0.35">
      <c r="A30" s="138">
        <v>0.5625</v>
      </c>
      <c r="B30" s="44" t="s">
        <v>811</v>
      </c>
      <c r="C30" s="44">
        <f t="shared" si="0"/>
        <v>4</v>
      </c>
      <c r="D30" s="127">
        <v>0.13631999999999997</v>
      </c>
      <c r="E30" s="66">
        <v>0.17279999999999998</v>
      </c>
      <c r="F30" s="66">
        <v>0</v>
      </c>
      <c r="G30" s="66">
        <v>0</v>
      </c>
      <c r="H30" s="66">
        <v>0</v>
      </c>
      <c r="I30" s="66">
        <v>0</v>
      </c>
      <c r="J30" s="66">
        <v>0</v>
      </c>
      <c r="K30" s="66">
        <v>0.28247999999999995</v>
      </c>
      <c r="L30" s="66">
        <v>2000</v>
      </c>
      <c r="M30" s="39"/>
      <c r="AE30" s="39"/>
      <c r="AF30" s="39"/>
      <c r="AG30" s="46"/>
      <c r="AM30" s="46"/>
      <c r="AS30" s="46"/>
      <c r="AY30" s="46"/>
      <c r="BE30" s="46"/>
      <c r="BK30" s="46"/>
    </row>
    <row r="31" spans="1:63" x14ac:dyDescent="0.35">
      <c r="A31" s="138">
        <v>0.58333333333333304</v>
      </c>
      <c r="B31" s="44" t="s">
        <v>811</v>
      </c>
      <c r="C31" s="44">
        <f t="shared" si="0"/>
        <v>4</v>
      </c>
      <c r="D31" s="127">
        <v>0.13631999999999997</v>
      </c>
      <c r="E31" s="66">
        <v>0.17279999999999998</v>
      </c>
      <c r="F31" s="66">
        <v>0</v>
      </c>
      <c r="G31" s="66">
        <v>0</v>
      </c>
      <c r="H31" s="66">
        <v>0</v>
      </c>
      <c r="I31" s="66">
        <v>0</v>
      </c>
      <c r="J31" s="66">
        <v>0</v>
      </c>
      <c r="K31" s="66">
        <v>0.28247999999999995</v>
      </c>
      <c r="L31" s="66">
        <v>2000</v>
      </c>
      <c r="M31" s="39"/>
      <c r="AE31" s="39"/>
      <c r="AF31" s="39"/>
      <c r="AG31" s="46"/>
      <c r="AM31" s="46"/>
      <c r="AS31" s="46"/>
      <c r="AY31" s="46"/>
      <c r="BE31" s="46"/>
      <c r="BK31" s="46"/>
    </row>
    <row r="32" spans="1:63" x14ac:dyDescent="0.35">
      <c r="A32" s="138">
        <v>0.60416666666666696</v>
      </c>
      <c r="B32" s="44" t="s">
        <v>812</v>
      </c>
      <c r="C32" s="44">
        <f t="shared" si="0"/>
        <v>4</v>
      </c>
      <c r="D32" s="127">
        <v>0.94560000000000011</v>
      </c>
      <c r="E32" s="66">
        <v>1.1963999999999999</v>
      </c>
      <c r="F32" s="66">
        <v>0</v>
      </c>
      <c r="G32" s="66">
        <v>0</v>
      </c>
      <c r="H32" s="66">
        <v>0</v>
      </c>
      <c r="I32" s="66">
        <v>0</v>
      </c>
      <c r="J32" s="66">
        <v>0</v>
      </c>
      <c r="K32" s="66">
        <v>2.1559200000000001</v>
      </c>
      <c r="L32" s="66">
        <v>8234</v>
      </c>
      <c r="M32" s="39"/>
      <c r="AE32" s="39"/>
      <c r="AF32" s="39"/>
      <c r="AG32" s="46"/>
      <c r="AM32" s="46"/>
      <c r="AS32" s="46"/>
      <c r="AY32" s="46"/>
      <c r="BE32" s="46"/>
      <c r="BK32" s="46"/>
    </row>
    <row r="33" spans="1:63" x14ac:dyDescent="0.35">
      <c r="A33" s="138">
        <v>0.625</v>
      </c>
      <c r="B33" s="44" t="s">
        <v>813</v>
      </c>
      <c r="C33" s="44">
        <f t="shared" si="0"/>
        <v>4</v>
      </c>
      <c r="D33" s="127">
        <v>0.13631999999999997</v>
      </c>
      <c r="E33" s="66">
        <v>0.17279999999999998</v>
      </c>
      <c r="F33" s="66">
        <v>0</v>
      </c>
      <c r="G33" s="66">
        <v>0</v>
      </c>
      <c r="H33" s="66">
        <v>1.55169</v>
      </c>
      <c r="I33" s="66">
        <v>0.40000000000000008</v>
      </c>
      <c r="J33" s="66">
        <v>0</v>
      </c>
      <c r="K33" s="66">
        <v>1.1248800000000001</v>
      </c>
      <c r="L33" s="66">
        <v>4699</v>
      </c>
      <c r="M33" s="39"/>
      <c r="AE33" s="39"/>
      <c r="AF33" s="39"/>
      <c r="AG33" s="46"/>
      <c r="AM33" s="46"/>
      <c r="AS33" s="46"/>
      <c r="AY33" s="46"/>
      <c r="BE33" s="46"/>
      <c r="BK33" s="46"/>
    </row>
    <row r="34" spans="1:63" x14ac:dyDescent="0.35">
      <c r="A34" s="138">
        <v>0.64583333333333304</v>
      </c>
      <c r="B34" s="44" t="s">
        <v>813</v>
      </c>
      <c r="C34" s="44">
        <f t="shared" si="0"/>
        <v>4</v>
      </c>
      <c r="D34" s="127">
        <v>0.13631999999999997</v>
      </c>
      <c r="E34" s="66">
        <v>0.17279999999999998</v>
      </c>
      <c r="F34" s="66">
        <v>0</v>
      </c>
      <c r="G34" s="66">
        <v>0</v>
      </c>
      <c r="H34" s="66">
        <v>1.55169</v>
      </c>
      <c r="I34" s="66">
        <v>0.40000000000000008</v>
      </c>
      <c r="J34" s="66">
        <v>0</v>
      </c>
      <c r="K34" s="66">
        <v>1.1248800000000001</v>
      </c>
      <c r="L34" s="66">
        <v>4699</v>
      </c>
      <c r="M34" s="39"/>
      <c r="AE34" s="39"/>
      <c r="AF34" s="39"/>
      <c r="AG34" s="46"/>
      <c r="AM34" s="46"/>
      <c r="AS34" s="46"/>
      <c r="AY34" s="46"/>
      <c r="BE34" s="46"/>
      <c r="BK34" s="46"/>
    </row>
    <row r="35" spans="1:63" x14ac:dyDescent="0.35">
      <c r="A35" s="138">
        <v>0.66666666666666696</v>
      </c>
      <c r="B35" s="44" t="s">
        <v>811</v>
      </c>
      <c r="C35" s="44">
        <f t="shared" si="0"/>
        <v>4</v>
      </c>
      <c r="D35" s="127">
        <v>0.13631999999999997</v>
      </c>
      <c r="E35" s="66">
        <v>0.17279999999999998</v>
      </c>
      <c r="F35" s="66">
        <v>0</v>
      </c>
      <c r="G35" s="66">
        <v>0</v>
      </c>
      <c r="H35" s="66">
        <v>0</v>
      </c>
      <c r="I35" s="66">
        <v>0</v>
      </c>
      <c r="J35" s="66">
        <v>0</v>
      </c>
      <c r="K35" s="66">
        <v>0.28247999999999995</v>
      </c>
      <c r="L35" s="66">
        <v>2000</v>
      </c>
      <c r="M35" s="39"/>
      <c r="AE35" s="39"/>
      <c r="AF35" s="39"/>
      <c r="AG35" s="46"/>
      <c r="AM35" s="46"/>
      <c r="AS35" s="46"/>
      <c r="AY35" s="46"/>
      <c r="BE35" s="46"/>
      <c r="BK35" s="46"/>
    </row>
    <row r="36" spans="1:63" x14ac:dyDescent="0.35">
      <c r="A36" s="138">
        <v>0.6875</v>
      </c>
      <c r="B36" s="44" t="s">
        <v>811</v>
      </c>
      <c r="C36" s="44">
        <f t="shared" si="0"/>
        <v>4</v>
      </c>
      <c r="D36" s="127">
        <v>0.13631999999999997</v>
      </c>
      <c r="E36" s="66">
        <v>0.17279999999999998</v>
      </c>
      <c r="F36" s="66">
        <v>0</v>
      </c>
      <c r="G36" s="66">
        <v>0</v>
      </c>
      <c r="H36" s="66">
        <v>0</v>
      </c>
      <c r="I36" s="66">
        <v>0</v>
      </c>
      <c r="J36" s="66">
        <v>0</v>
      </c>
      <c r="K36" s="66">
        <v>0.28247999999999995</v>
      </c>
      <c r="L36" s="66">
        <v>2000</v>
      </c>
      <c r="M36" s="39"/>
      <c r="AE36" s="39"/>
      <c r="AF36" s="39"/>
      <c r="AG36" s="46"/>
      <c r="AM36" s="46"/>
      <c r="AS36" s="46"/>
      <c r="AY36" s="46"/>
      <c r="BE36" s="46"/>
      <c r="BK36" s="46"/>
    </row>
    <row r="37" spans="1:63" x14ac:dyDescent="0.35">
      <c r="A37" s="138">
        <v>0.70833333333333304</v>
      </c>
      <c r="B37" s="44" t="s">
        <v>816</v>
      </c>
      <c r="C37" s="44">
        <f t="shared" si="0"/>
        <v>4</v>
      </c>
      <c r="D37" s="127">
        <v>0.13631999999999997</v>
      </c>
      <c r="E37" s="66">
        <v>0.17279999999999998</v>
      </c>
      <c r="F37" s="66">
        <v>0</v>
      </c>
      <c r="G37" s="66">
        <v>0</v>
      </c>
      <c r="H37" s="66">
        <v>2.783093333333333</v>
      </c>
      <c r="I37" s="66">
        <v>0.40000000000000008</v>
      </c>
      <c r="J37" s="66">
        <v>2.2556044444444443</v>
      </c>
      <c r="K37" s="66">
        <v>0.28247999999999995</v>
      </c>
      <c r="L37" s="66">
        <v>2000</v>
      </c>
      <c r="M37" s="39"/>
      <c r="AE37" s="39"/>
      <c r="AF37" s="39"/>
      <c r="AG37" s="46"/>
      <c r="AM37" s="46"/>
      <c r="AS37" s="46"/>
      <c r="AY37" s="46"/>
      <c r="BE37" s="46"/>
      <c r="BK37" s="46"/>
    </row>
    <row r="38" spans="1:63" x14ac:dyDescent="0.35">
      <c r="A38" s="138">
        <v>0.72916666666666696</v>
      </c>
      <c r="B38" s="44" t="s">
        <v>816</v>
      </c>
      <c r="C38" s="44">
        <f t="shared" si="0"/>
        <v>4</v>
      </c>
      <c r="D38" s="127">
        <v>0.13631999999999997</v>
      </c>
      <c r="E38" s="66">
        <v>0.17279999999999998</v>
      </c>
      <c r="F38" s="66">
        <v>0</v>
      </c>
      <c r="G38" s="66">
        <v>0</v>
      </c>
      <c r="H38" s="66">
        <v>2.783093333333333</v>
      </c>
      <c r="I38" s="66">
        <v>0.40000000000000008</v>
      </c>
      <c r="J38" s="66">
        <v>2.2556044444444443</v>
      </c>
      <c r="K38" s="66">
        <v>0.28247999999999995</v>
      </c>
      <c r="L38" s="66">
        <v>2000</v>
      </c>
      <c r="M38" s="39"/>
      <c r="AE38" s="39"/>
      <c r="AF38" s="39"/>
      <c r="AG38" s="46"/>
      <c r="AM38" s="46"/>
      <c r="AS38" s="46"/>
      <c r="AY38" s="46"/>
      <c r="BE38" s="46"/>
      <c r="BK38" s="46"/>
    </row>
    <row r="39" spans="1:63" x14ac:dyDescent="0.35">
      <c r="A39" s="138">
        <v>0.75</v>
      </c>
      <c r="B39" s="44" t="s">
        <v>1242</v>
      </c>
      <c r="C39" s="44">
        <f t="shared" si="0"/>
        <v>4</v>
      </c>
      <c r="D39" s="127">
        <v>0.13631999999999997</v>
      </c>
      <c r="E39" s="66">
        <v>0.17279999999999998</v>
      </c>
      <c r="F39" s="66">
        <v>0</v>
      </c>
      <c r="G39" s="66">
        <v>0</v>
      </c>
      <c r="H39" s="66">
        <v>0</v>
      </c>
      <c r="I39" s="66">
        <v>0</v>
      </c>
      <c r="J39" s="66">
        <v>0</v>
      </c>
      <c r="K39" s="66">
        <v>0.28247999999999995</v>
      </c>
      <c r="L39" s="66">
        <v>2000</v>
      </c>
      <c r="M39" s="39"/>
      <c r="AE39" s="39"/>
      <c r="AF39" s="39"/>
      <c r="AG39" s="46"/>
      <c r="AM39" s="46"/>
      <c r="AS39" s="46"/>
      <c r="AY39" s="46"/>
      <c r="BE39" s="46"/>
      <c r="BK39" s="46"/>
    </row>
    <row r="40" spans="1:63" x14ac:dyDescent="0.35">
      <c r="A40" s="138">
        <v>0.77083333333333304</v>
      </c>
      <c r="B40" s="44" t="s">
        <v>1242</v>
      </c>
      <c r="C40" s="44">
        <f t="shared" si="0"/>
        <v>4</v>
      </c>
      <c r="D40" s="127">
        <v>0.13631999999999997</v>
      </c>
      <c r="E40" s="66">
        <v>0.17279999999999998</v>
      </c>
      <c r="F40" s="66">
        <v>0</v>
      </c>
      <c r="G40" s="66">
        <v>0</v>
      </c>
      <c r="H40" s="66">
        <v>0</v>
      </c>
      <c r="I40" s="66">
        <v>0</v>
      </c>
      <c r="J40" s="66">
        <v>0</v>
      </c>
      <c r="K40" s="66">
        <v>0.28247999999999995</v>
      </c>
      <c r="L40" s="66">
        <v>2000</v>
      </c>
      <c r="M40" s="39"/>
      <c r="AE40" s="39"/>
      <c r="AF40" s="39"/>
      <c r="AG40" s="46"/>
      <c r="AM40" s="46"/>
      <c r="AS40" s="46"/>
      <c r="AY40" s="46"/>
      <c r="BE40" s="46"/>
      <c r="BK40" s="46"/>
    </row>
    <row r="41" spans="1:63" x14ac:dyDescent="0.35">
      <c r="A41" s="138">
        <v>0.79166666666666696</v>
      </c>
      <c r="B41" s="44" t="s">
        <v>1242</v>
      </c>
      <c r="C41" s="44">
        <f t="shared" si="0"/>
        <v>4</v>
      </c>
      <c r="D41" s="127">
        <v>0.13631999999999997</v>
      </c>
      <c r="E41" s="66">
        <v>0.17279999999999998</v>
      </c>
      <c r="F41" s="66">
        <v>0</v>
      </c>
      <c r="G41" s="66">
        <v>0</v>
      </c>
      <c r="H41" s="66">
        <v>0</v>
      </c>
      <c r="I41" s="66">
        <v>0</v>
      </c>
      <c r="J41" s="66">
        <v>0</v>
      </c>
      <c r="K41" s="66">
        <v>0.28247999999999995</v>
      </c>
      <c r="L41" s="66">
        <v>2000</v>
      </c>
      <c r="M41" s="39"/>
      <c r="AE41" s="39"/>
      <c r="AF41" s="39"/>
      <c r="AG41" s="46"/>
      <c r="AM41" s="46"/>
      <c r="AS41" s="46"/>
      <c r="AY41" s="46"/>
      <c r="BE41" s="46"/>
      <c r="BK41" s="46"/>
    </row>
    <row r="42" spans="1:63" x14ac:dyDescent="0.35">
      <c r="A42" s="138">
        <v>0.8125</v>
      </c>
      <c r="B42" s="44" t="s">
        <v>1242</v>
      </c>
      <c r="C42" s="44">
        <f t="shared" si="0"/>
        <v>4</v>
      </c>
      <c r="D42" s="127">
        <v>0.13631999999999997</v>
      </c>
      <c r="E42" s="66">
        <v>0.17279999999999998</v>
      </c>
      <c r="F42" s="66">
        <v>0</v>
      </c>
      <c r="G42" s="66">
        <v>0</v>
      </c>
      <c r="H42" s="66">
        <v>0</v>
      </c>
      <c r="I42" s="66">
        <v>0</v>
      </c>
      <c r="J42" s="66">
        <v>0</v>
      </c>
      <c r="K42" s="66">
        <v>0.28247999999999995</v>
      </c>
      <c r="L42" s="66">
        <v>2000</v>
      </c>
      <c r="M42" s="39"/>
      <c r="AE42" s="39"/>
      <c r="AF42" s="39"/>
      <c r="AG42" s="46"/>
      <c r="AM42" s="46"/>
      <c r="AS42" s="46"/>
      <c r="AY42" s="46"/>
      <c r="BE42" s="46"/>
      <c r="BK42" s="46"/>
    </row>
    <row r="43" spans="1:63" x14ac:dyDescent="0.35">
      <c r="A43" s="138">
        <v>0.83333333333333304</v>
      </c>
      <c r="B43" s="44" t="s">
        <v>809</v>
      </c>
      <c r="C43" s="44">
        <f t="shared" si="0"/>
        <v>4</v>
      </c>
      <c r="D43" s="127">
        <v>0.13631999999999997</v>
      </c>
      <c r="E43" s="66">
        <v>0.17279999999999998</v>
      </c>
      <c r="F43" s="66">
        <v>2.1333333333333333</v>
      </c>
      <c r="G43" s="66">
        <v>0</v>
      </c>
      <c r="H43" s="66">
        <v>0</v>
      </c>
      <c r="I43" s="66">
        <v>0</v>
      </c>
      <c r="J43" s="66">
        <v>0</v>
      </c>
      <c r="K43" s="66">
        <v>0.28247999999999995</v>
      </c>
      <c r="L43" s="66">
        <v>2000</v>
      </c>
      <c r="M43" s="39"/>
      <c r="AE43" s="39"/>
      <c r="AF43" s="39"/>
      <c r="AG43" s="46"/>
      <c r="AM43" s="46"/>
      <c r="AS43" s="46"/>
      <c r="AY43" s="46"/>
      <c r="BE43" s="46"/>
      <c r="BK43" s="46"/>
    </row>
    <row r="44" spans="1:63" x14ac:dyDescent="0.35">
      <c r="A44" s="138">
        <v>0.85416666666666696</v>
      </c>
      <c r="B44" s="44" t="s">
        <v>809</v>
      </c>
      <c r="C44" s="44">
        <f t="shared" si="0"/>
        <v>4</v>
      </c>
      <c r="D44" s="127">
        <v>0.13631999999999997</v>
      </c>
      <c r="E44" s="66">
        <v>0.17279999999999998</v>
      </c>
      <c r="F44" s="66">
        <v>2.1333333333333333</v>
      </c>
      <c r="G44" s="66">
        <v>0</v>
      </c>
      <c r="H44" s="66">
        <v>0</v>
      </c>
      <c r="I44" s="66">
        <v>0</v>
      </c>
      <c r="J44" s="66">
        <v>0</v>
      </c>
      <c r="K44" s="66">
        <v>0.28247999999999995</v>
      </c>
      <c r="L44" s="66">
        <v>2000</v>
      </c>
      <c r="M44" s="39"/>
      <c r="AE44" s="39"/>
      <c r="AF44" s="39"/>
      <c r="AG44" s="46"/>
      <c r="AM44" s="46"/>
      <c r="AS44" s="46"/>
      <c r="AY44" s="46"/>
      <c r="BE44" s="46"/>
      <c r="BK44" s="46"/>
    </row>
    <row r="45" spans="1:63" x14ac:dyDescent="0.35">
      <c r="A45" s="138">
        <v>0.875</v>
      </c>
      <c r="B45" s="44" t="s">
        <v>807</v>
      </c>
      <c r="C45" s="44">
        <f t="shared" si="0"/>
        <v>4</v>
      </c>
      <c r="D45" s="127">
        <v>8.6399999999999991E-2</v>
      </c>
      <c r="E45" s="66">
        <v>0.10920000000000001</v>
      </c>
      <c r="F45" s="66">
        <v>0</v>
      </c>
      <c r="G45" s="66">
        <v>0</v>
      </c>
      <c r="H45" s="66">
        <v>0</v>
      </c>
      <c r="I45" s="66">
        <v>0</v>
      </c>
      <c r="J45" s="66">
        <v>0</v>
      </c>
      <c r="K45" s="66">
        <v>0.1512</v>
      </c>
      <c r="L45" s="66">
        <v>1268</v>
      </c>
      <c r="M45" s="39"/>
      <c r="AE45" s="39"/>
      <c r="AF45" s="39"/>
      <c r="AG45" s="46"/>
      <c r="AM45" s="46"/>
      <c r="AS45" s="46"/>
      <c r="AY45" s="46"/>
      <c r="BE45" s="46"/>
      <c r="BK45" s="46"/>
    </row>
    <row r="46" spans="1:63" x14ac:dyDescent="0.35">
      <c r="A46" s="138">
        <v>0.89583333333333304</v>
      </c>
      <c r="B46" s="44" t="s">
        <v>807</v>
      </c>
      <c r="C46" s="44">
        <f t="shared" si="0"/>
        <v>4</v>
      </c>
      <c r="D46" s="127">
        <v>8.6399999999999991E-2</v>
      </c>
      <c r="E46" s="66">
        <v>0.10920000000000001</v>
      </c>
      <c r="F46" s="66">
        <v>0</v>
      </c>
      <c r="G46" s="66">
        <v>0</v>
      </c>
      <c r="H46" s="66">
        <v>0</v>
      </c>
      <c r="I46" s="66">
        <v>0</v>
      </c>
      <c r="J46" s="66">
        <v>0</v>
      </c>
      <c r="K46" s="66">
        <v>0.1512</v>
      </c>
      <c r="L46" s="66">
        <v>1268</v>
      </c>
      <c r="M46" s="39"/>
      <c r="N46" s="39"/>
      <c r="O46" s="39"/>
      <c r="P46" s="39"/>
      <c r="Q46" s="39"/>
      <c r="R46" s="39"/>
      <c r="S46" s="39"/>
      <c r="T46" s="39"/>
      <c r="U46" s="39"/>
      <c r="V46" s="39"/>
      <c r="W46" s="39"/>
      <c r="X46" s="39"/>
      <c r="Y46" s="39"/>
      <c r="Z46" s="39"/>
      <c r="AA46" s="39"/>
      <c r="AB46" s="39"/>
      <c r="AC46" s="39"/>
      <c r="AD46" s="39"/>
      <c r="AE46" s="39"/>
      <c r="AF46" s="39"/>
      <c r="AG46" s="46"/>
      <c r="AM46" s="46"/>
      <c r="AS46" s="46"/>
      <c r="AY46" s="46"/>
      <c r="BE46" s="46"/>
      <c r="BK46" s="46"/>
    </row>
    <row r="47" spans="1:63" x14ac:dyDescent="0.35">
      <c r="A47" s="138">
        <v>0.91666666666666696</v>
      </c>
      <c r="B47" s="44" t="s">
        <v>807</v>
      </c>
      <c r="C47" s="44">
        <f t="shared" si="0"/>
        <v>4</v>
      </c>
      <c r="D47" s="127">
        <v>8.6399999999999991E-2</v>
      </c>
      <c r="E47" s="66">
        <v>0.10920000000000001</v>
      </c>
      <c r="F47" s="66">
        <v>0</v>
      </c>
      <c r="G47" s="66">
        <v>0</v>
      </c>
      <c r="H47" s="66">
        <v>0</v>
      </c>
      <c r="I47" s="66">
        <v>0</v>
      </c>
      <c r="J47" s="66">
        <v>0</v>
      </c>
      <c r="K47" s="66">
        <v>0.1512</v>
      </c>
      <c r="L47" s="66">
        <v>1268</v>
      </c>
      <c r="M47" s="39"/>
      <c r="N47" s="39"/>
      <c r="O47" s="39"/>
      <c r="P47" s="39"/>
      <c r="Q47" s="39"/>
      <c r="R47" s="39"/>
      <c r="S47" s="39"/>
      <c r="T47" s="39"/>
      <c r="U47" s="39"/>
      <c r="V47" s="39"/>
      <c r="W47" s="39"/>
      <c r="X47" s="39"/>
      <c r="Y47" s="39"/>
      <c r="Z47" s="39"/>
      <c r="AA47" s="39"/>
      <c r="AB47" s="39"/>
      <c r="AC47" s="39"/>
      <c r="AD47" s="39"/>
      <c r="AE47" s="39"/>
      <c r="AF47" s="39"/>
      <c r="AG47" s="46"/>
      <c r="AM47" s="46"/>
      <c r="AS47" s="46"/>
      <c r="AY47" s="46"/>
      <c r="BE47" s="46"/>
      <c r="BK47" s="46"/>
    </row>
    <row r="48" spans="1:63" x14ac:dyDescent="0.35">
      <c r="A48" s="138">
        <v>0.9375</v>
      </c>
      <c r="B48" s="44" t="s">
        <v>807</v>
      </c>
      <c r="C48" s="44">
        <f t="shared" si="0"/>
        <v>4</v>
      </c>
      <c r="D48" s="127">
        <v>8.6399999999999991E-2</v>
      </c>
      <c r="E48" s="66">
        <v>0.10920000000000001</v>
      </c>
      <c r="F48" s="66">
        <v>0</v>
      </c>
      <c r="G48" s="66">
        <v>0</v>
      </c>
      <c r="H48" s="66">
        <v>0</v>
      </c>
      <c r="I48" s="66">
        <v>0</v>
      </c>
      <c r="J48" s="66">
        <v>0</v>
      </c>
      <c r="K48" s="66">
        <v>0.1512</v>
      </c>
      <c r="L48" s="66">
        <v>1268</v>
      </c>
      <c r="M48" s="39"/>
      <c r="N48" s="39"/>
      <c r="O48" s="39"/>
      <c r="P48" s="39"/>
      <c r="Q48" s="39"/>
      <c r="R48" s="39"/>
      <c r="S48" s="39"/>
      <c r="T48" s="39"/>
      <c r="U48" s="39"/>
      <c r="V48" s="39"/>
      <c r="W48" s="39"/>
      <c r="X48" s="39"/>
      <c r="Y48" s="39"/>
      <c r="Z48" s="39"/>
      <c r="AA48" s="39"/>
      <c r="AB48" s="39"/>
      <c r="AC48" s="39"/>
      <c r="AD48" s="39"/>
      <c r="AE48" s="39"/>
      <c r="AF48" s="39"/>
      <c r="AG48" s="46"/>
      <c r="AM48" s="46"/>
      <c r="AS48" s="46"/>
      <c r="AY48" s="46"/>
      <c r="BE48" s="46"/>
      <c r="BK48" s="46"/>
    </row>
    <row r="49" spans="1:63" x14ac:dyDescent="0.35">
      <c r="A49" s="138">
        <v>0.95833333333333304</v>
      </c>
      <c r="B49" s="44" t="s">
        <v>807</v>
      </c>
      <c r="C49" s="44">
        <f t="shared" si="0"/>
        <v>4</v>
      </c>
      <c r="D49" s="127">
        <v>8.6399999999999991E-2</v>
      </c>
      <c r="E49" s="66">
        <v>0.10920000000000001</v>
      </c>
      <c r="F49" s="66">
        <v>0</v>
      </c>
      <c r="G49" s="66">
        <v>0</v>
      </c>
      <c r="H49" s="66">
        <v>0</v>
      </c>
      <c r="I49" s="66">
        <v>0</v>
      </c>
      <c r="J49" s="66">
        <v>0</v>
      </c>
      <c r="K49" s="66">
        <v>0.1512</v>
      </c>
      <c r="L49" s="66">
        <v>1268</v>
      </c>
      <c r="M49" s="39"/>
      <c r="N49" s="39"/>
      <c r="O49" s="39"/>
      <c r="P49" s="39"/>
      <c r="Q49" s="39"/>
      <c r="R49" s="39"/>
      <c r="S49" s="39"/>
      <c r="T49" s="39"/>
      <c r="U49" s="39"/>
      <c r="V49" s="39"/>
      <c r="W49" s="39"/>
      <c r="X49" s="39"/>
      <c r="Y49" s="39"/>
      <c r="Z49" s="39"/>
      <c r="AA49" s="39"/>
      <c r="AB49" s="39"/>
      <c r="AC49" s="39"/>
      <c r="AD49" s="39"/>
      <c r="AE49" s="39"/>
      <c r="AF49" s="39"/>
      <c r="AG49" s="46"/>
      <c r="AM49" s="46"/>
      <c r="AS49" s="46"/>
      <c r="AY49" s="46"/>
      <c r="BE49" s="46"/>
      <c r="BK49" s="46"/>
    </row>
    <row r="50" spans="1:63" x14ac:dyDescent="0.35">
      <c r="A50" s="138">
        <v>0.97916666666666696</v>
      </c>
      <c r="B50" s="44" t="s">
        <v>807</v>
      </c>
      <c r="C50" s="44">
        <f t="shared" si="0"/>
        <v>4</v>
      </c>
      <c r="D50" s="127">
        <v>8.6399999999999991E-2</v>
      </c>
      <c r="E50" s="66">
        <v>0.10920000000000001</v>
      </c>
      <c r="F50" s="66">
        <v>0</v>
      </c>
      <c r="G50" s="66">
        <v>0</v>
      </c>
      <c r="H50" s="66">
        <v>0</v>
      </c>
      <c r="I50" s="66">
        <v>0</v>
      </c>
      <c r="J50" s="66">
        <v>0</v>
      </c>
      <c r="K50" s="66">
        <v>0.1512</v>
      </c>
      <c r="L50" s="66">
        <v>1268</v>
      </c>
      <c r="M50" s="39"/>
      <c r="N50" s="39"/>
      <c r="O50" s="39"/>
      <c r="P50" s="39"/>
      <c r="Q50" s="39"/>
      <c r="R50" s="39"/>
      <c r="S50" s="39"/>
      <c r="T50" s="39"/>
      <c r="U50" s="39"/>
      <c r="V50" s="39"/>
      <c r="W50" s="39"/>
      <c r="X50" s="39"/>
      <c r="Y50" s="39"/>
      <c r="Z50" s="39"/>
      <c r="AA50" s="39"/>
      <c r="AB50" s="39"/>
      <c r="AC50" s="39"/>
      <c r="AD50" s="39"/>
      <c r="AE50" s="39"/>
      <c r="AF50" s="39"/>
      <c r="AG50" s="46"/>
      <c r="AM50" s="46"/>
      <c r="AS50" s="46"/>
      <c r="AY50" s="46"/>
      <c r="BE50" s="46"/>
      <c r="BK50" s="46"/>
    </row>
    <row r="51" spans="1:63" x14ac:dyDescent="0.35">
      <c r="A51" s="46"/>
      <c r="B51" s="46"/>
      <c r="C51" s="46"/>
      <c r="D51" s="45" cm="1">
        <f t="array" ref="D51">SUM(schedule_compl[O2]*0.5)</f>
        <v>3.6815999999999978</v>
      </c>
      <c r="E51" s="45" cm="1">
        <f t="array" ref="E51">SUM(schedule_compl[CO2]*0.5)</f>
        <v>4.6619999999999964</v>
      </c>
      <c r="F51" s="45" cm="1">
        <f t="array" ref="F51">SUM(schedule_compl[urine]*0.5)</f>
        <v>6.3999999999999995</v>
      </c>
      <c r="G51" s="45" cm="1">
        <f t="array" ref="G51">SUM(schedule_compl[feces]*0.5)</f>
        <v>0.59153600000000006</v>
      </c>
      <c r="H51" s="45" cm="1">
        <f t="array" ref="H51">SUM(schedule_compl[potable]*0.5)</f>
        <v>11.45266</v>
      </c>
      <c r="I51" s="45" cm="1">
        <f t="array" ref="I51">SUM(schedule_compl[hygiene]*0.5)</f>
        <v>3.2000000000000015</v>
      </c>
      <c r="J51" s="45" cm="1">
        <f t="array" ref="J51">SUM(schedule_compl[food]*0.5)</f>
        <v>6.7668133333333325</v>
      </c>
      <c r="K51" s="45" cm="1">
        <f t="array" ref="K51">SUM(schedule_compl[sweat]*0.5)</f>
        <v>9.2875199999999953</v>
      </c>
      <c r="L51" s="45" cm="1">
        <f t="array" ref="L51">SUM(schedule_compl[heat]*0.5)</f>
        <v>53776</v>
      </c>
      <c r="M51" s="39"/>
      <c r="N51" s="39"/>
      <c r="O51" s="39"/>
      <c r="P51" s="39"/>
      <c r="Q51" s="39"/>
      <c r="R51" s="39"/>
      <c r="S51" s="39"/>
      <c r="T51" s="39"/>
      <c r="U51" s="39"/>
      <c r="V51" s="39"/>
      <c r="W51" s="39"/>
      <c r="X51" s="39"/>
      <c r="Y51" s="39"/>
      <c r="Z51" s="39"/>
      <c r="AA51" s="39"/>
      <c r="AB51" s="39"/>
      <c r="AC51" s="39"/>
      <c r="AD51" s="39"/>
      <c r="AE51" s="146"/>
      <c r="AF51" s="146"/>
      <c r="AG51" s="46"/>
    </row>
    <row r="52" spans="1:63" x14ac:dyDescent="0.3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146"/>
      <c r="AF52" s="146"/>
      <c r="AG52" s="46"/>
    </row>
    <row r="53" spans="1:63" x14ac:dyDescent="0.35">
      <c r="A53" s="39"/>
      <c r="B53" s="39" t="s">
        <v>1420</v>
      </c>
      <c r="C53" s="39">
        <f>schedule_compl[[#Totals],[potable]]-schedule_compl[[#Totals],[sweat]]-schedule_compl[[#Totals],[urine]]+(SUM_Metabolic_Water+SUM_Food_Water-(S16-AB16))*(schedule_compl[[#Totals],[food]]/V16)</f>
        <v>0</v>
      </c>
      <c r="D53" s="143"/>
      <c r="E53" s="39" t="s">
        <v>1430</v>
      </c>
      <c r="F53" s="39"/>
      <c r="G53" s="39">
        <f>SUM_Potable_Water_Need_2-SUM_Sweat_Production_2-SUM_Urine_Production_2+(0.345+0.7-0.1)*(SUM_Food_Need_2/V16)</f>
        <v>0</v>
      </c>
      <c r="H53" s="39"/>
      <c r="I53" s="39"/>
      <c r="J53" s="39"/>
      <c r="K53" s="272"/>
      <c r="L53" s="103"/>
      <c r="M53" s="39"/>
      <c r="N53" s="39"/>
      <c r="O53" s="39"/>
      <c r="P53" s="39"/>
      <c r="Q53" s="39"/>
      <c r="R53" s="39"/>
      <c r="S53" s="39"/>
      <c r="T53" s="39"/>
      <c r="U53" s="39"/>
      <c r="V53" s="39"/>
      <c r="W53" s="39"/>
      <c r="X53" s="39"/>
      <c r="Y53" s="39"/>
      <c r="Z53" s="39"/>
      <c r="AA53" s="39"/>
      <c r="AB53" s="39"/>
      <c r="AC53" s="39"/>
      <c r="AD53" s="39"/>
      <c r="AE53" s="146"/>
      <c r="AF53" s="146"/>
      <c r="AG53" s="46"/>
    </row>
    <row r="54" spans="1:63" x14ac:dyDescent="0.35">
      <c r="A54" s="132"/>
      <c r="B54" s="39"/>
      <c r="C54" s="103"/>
      <c r="D54" s="39"/>
      <c r="E54" s="39"/>
      <c r="F54" s="39"/>
      <c r="G54" s="39"/>
      <c r="H54" s="143"/>
      <c r="I54" s="143"/>
      <c r="J54" s="143"/>
      <c r="K54" s="143"/>
      <c r="L54" s="237"/>
      <c r="M54" s="39"/>
      <c r="N54" s="39"/>
      <c r="O54" s="39"/>
      <c r="P54" s="39"/>
      <c r="Q54" s="39"/>
      <c r="R54" s="39"/>
      <c r="S54" s="39"/>
      <c r="T54" s="39"/>
      <c r="U54" s="39"/>
      <c r="V54" s="39"/>
      <c r="W54" s="39"/>
      <c r="X54" s="39"/>
      <c r="Y54" s="39"/>
      <c r="Z54" s="39"/>
      <c r="AA54" s="39"/>
      <c r="AB54" s="39"/>
      <c r="AC54" s="39"/>
      <c r="AD54" s="39"/>
      <c r="AE54" s="146"/>
      <c r="AF54" s="146"/>
      <c r="AG54" s="46"/>
    </row>
    <row r="55" spans="1:63" x14ac:dyDescent="0.35">
      <c r="A55" s="131"/>
      <c r="B55" s="39"/>
      <c r="C55" s="39"/>
      <c r="D55" s="39"/>
      <c r="E55" s="39"/>
      <c r="F55" s="39"/>
      <c r="G55" s="39"/>
      <c r="H55" s="39"/>
      <c r="I55" s="39"/>
      <c r="J55" s="103"/>
      <c r="K55" s="39"/>
      <c r="L55" s="39"/>
      <c r="M55" s="39"/>
      <c r="N55" s="39"/>
      <c r="O55" s="39"/>
      <c r="P55" s="39"/>
      <c r="Q55" s="39"/>
      <c r="R55" s="39"/>
      <c r="S55" s="39"/>
      <c r="T55" s="39"/>
      <c r="U55" s="39"/>
      <c r="V55" s="39"/>
      <c r="W55" s="39"/>
      <c r="X55" s="39"/>
      <c r="Y55" s="39"/>
      <c r="Z55" s="39"/>
      <c r="AA55" s="39"/>
      <c r="AB55" s="39"/>
      <c r="AC55" s="39"/>
      <c r="AD55" s="39"/>
      <c r="AE55" s="146"/>
      <c r="AF55" s="146"/>
      <c r="AG55" s="46"/>
    </row>
    <row r="56" spans="1:63" x14ac:dyDescent="0.35">
      <c r="A56" s="131"/>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146"/>
      <c r="AF56" s="146"/>
      <c r="AG56" s="46"/>
    </row>
    <row r="57" spans="1:63" x14ac:dyDescent="0.35">
      <c r="A57" s="131"/>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146"/>
      <c r="AF57" s="146"/>
      <c r="AG57" s="46"/>
    </row>
    <row r="58" spans="1:63" x14ac:dyDescent="0.3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146"/>
      <c r="AF58" s="146"/>
      <c r="AG58" s="46"/>
    </row>
    <row r="59" spans="1:63" x14ac:dyDescent="0.35">
      <c r="A59" s="99"/>
      <c r="B59" s="273" t="s">
        <v>1422</v>
      </c>
      <c r="C59" s="273" t="s">
        <v>1423</v>
      </c>
      <c r="D59" s="273" t="s">
        <v>1425</v>
      </c>
      <c r="E59" s="273" t="s">
        <v>1426</v>
      </c>
      <c r="F59" s="273" t="s">
        <v>1427</v>
      </c>
      <c r="G59" s="273" t="s">
        <v>1428</v>
      </c>
      <c r="H59" s="278" t="s">
        <v>1429</v>
      </c>
      <c r="I59" s="39"/>
      <c r="J59" s="39"/>
      <c r="K59" s="39"/>
      <c r="L59" s="39"/>
      <c r="M59" s="39"/>
      <c r="N59" s="39"/>
      <c r="O59" s="39"/>
      <c r="P59" s="39"/>
      <c r="Q59" s="39"/>
      <c r="R59" s="39"/>
      <c r="S59" s="39"/>
      <c r="T59" s="39"/>
      <c r="U59" s="39"/>
      <c r="V59" s="39"/>
      <c r="W59" s="39"/>
      <c r="X59" s="39"/>
      <c r="Y59" s="39"/>
      <c r="Z59" s="39"/>
      <c r="AA59" s="146"/>
      <c r="AB59" s="146"/>
      <c r="AC59" s="146"/>
      <c r="AD59" s="146"/>
      <c r="AE59" s="146"/>
      <c r="AF59" s="146"/>
      <c r="AG59" s="46"/>
    </row>
    <row r="60" spans="1:63" x14ac:dyDescent="0.35">
      <c r="A60" s="124" t="s">
        <v>1421</v>
      </c>
      <c r="B60" s="675">
        <v>4</v>
      </c>
      <c r="C60" s="675">
        <v>2</v>
      </c>
      <c r="D60" s="675">
        <v>2</v>
      </c>
      <c r="E60" s="675">
        <v>0</v>
      </c>
      <c r="F60" s="675">
        <v>0</v>
      </c>
      <c r="G60" s="675">
        <v>0</v>
      </c>
      <c r="H60" s="676">
        <v>0</v>
      </c>
      <c r="I60" s="111"/>
      <c r="J60" s="111"/>
      <c r="K60" s="111"/>
      <c r="L60" s="111"/>
      <c r="M60" s="111"/>
      <c r="N60" s="111"/>
      <c r="O60" s="111"/>
      <c r="P60" s="111"/>
      <c r="Q60" s="111"/>
      <c r="R60" s="111"/>
      <c r="S60" s="111"/>
      <c r="T60" s="111"/>
      <c r="U60" s="111"/>
      <c r="V60" s="111"/>
      <c r="W60" s="111"/>
      <c r="X60" s="111"/>
      <c r="Y60" s="111"/>
      <c r="Z60" s="111"/>
      <c r="AA60" s="677"/>
      <c r="AB60" s="677"/>
      <c r="AC60" s="677"/>
      <c r="AD60" s="677"/>
      <c r="AE60" s="677"/>
      <c r="AF60" s="677"/>
      <c r="AG60" s="678"/>
      <c r="AH60" s="105"/>
      <c r="AI60" s="105"/>
      <c r="AJ60" s="105"/>
      <c r="AK60" s="105"/>
      <c r="AL60" s="105"/>
      <c r="AM60" s="105"/>
      <c r="AN60" s="105"/>
      <c r="AO60" s="105"/>
      <c r="AP60" s="105"/>
      <c r="AQ60" s="105"/>
      <c r="AR60" s="105"/>
      <c r="AS60" s="105"/>
      <c r="AT60" s="105"/>
      <c r="AU60" s="105"/>
      <c r="AV60" s="105"/>
      <c r="AW60" s="105"/>
      <c r="AX60" s="105"/>
      <c r="AY60" s="105"/>
      <c r="AZ60" s="105"/>
      <c r="BA60" s="105"/>
    </row>
    <row r="61" spans="1:63" x14ac:dyDescent="0.35">
      <c r="A61" s="124" t="s">
        <v>795</v>
      </c>
      <c r="B61" s="274" t="s">
        <v>796</v>
      </c>
      <c r="C61" s="274" t="s">
        <v>796</v>
      </c>
      <c r="D61" s="274" t="s">
        <v>796</v>
      </c>
      <c r="E61" s="274" t="s">
        <v>796</v>
      </c>
      <c r="F61" s="274" t="s">
        <v>796</v>
      </c>
      <c r="G61" s="274" t="s">
        <v>796</v>
      </c>
      <c r="H61" s="278" t="s">
        <v>796</v>
      </c>
      <c r="I61" s="39"/>
      <c r="J61" s="39"/>
      <c r="K61" s="39"/>
      <c r="L61" s="39"/>
      <c r="M61" s="39"/>
      <c r="N61" s="39"/>
      <c r="O61" s="39"/>
      <c r="P61" s="39"/>
      <c r="Q61" s="39"/>
      <c r="R61" s="39"/>
      <c r="S61" s="39"/>
      <c r="T61" s="39"/>
      <c r="U61" s="39"/>
      <c r="V61" s="39"/>
      <c r="W61" s="39"/>
      <c r="X61" s="39"/>
      <c r="Y61" s="39"/>
      <c r="Z61" s="39"/>
      <c r="AA61" s="146"/>
      <c r="AB61" s="146"/>
      <c r="AC61" s="146"/>
      <c r="AD61" s="146"/>
      <c r="AE61" s="146"/>
      <c r="AF61" s="146"/>
      <c r="AG61" s="46"/>
    </row>
    <row r="62" spans="1:63" x14ac:dyDescent="0.35">
      <c r="A62" s="691">
        <v>0</v>
      </c>
      <c r="B62" s="679" t="s">
        <v>807</v>
      </c>
      <c r="C62" s="679" t="s">
        <v>807</v>
      </c>
      <c r="D62" s="679" t="s">
        <v>807</v>
      </c>
      <c r="E62" s="689"/>
      <c r="F62" s="682"/>
      <c r="G62" s="682"/>
      <c r="H62" s="682"/>
      <c r="I62" s="111"/>
      <c r="J62" s="111"/>
      <c r="K62" s="111"/>
      <c r="L62" s="111"/>
      <c r="M62" s="111"/>
      <c r="N62" s="111"/>
      <c r="O62" s="111"/>
      <c r="P62" s="111"/>
      <c r="Q62" s="111"/>
      <c r="R62" s="111"/>
      <c r="S62" s="111"/>
      <c r="T62" s="111"/>
      <c r="U62" s="111"/>
      <c r="V62" s="111"/>
      <c r="W62" s="111"/>
      <c r="X62" s="111"/>
      <c r="Y62" s="111"/>
      <c r="Z62" s="111"/>
      <c r="AA62" s="677"/>
      <c r="AB62" s="677"/>
      <c r="AC62" s="677"/>
      <c r="AD62" s="677"/>
      <c r="AE62" s="677"/>
      <c r="AF62" s="677"/>
      <c r="AG62" s="678"/>
      <c r="AH62" s="105"/>
      <c r="AI62" s="105"/>
      <c r="AJ62" s="105"/>
      <c r="AK62" s="105"/>
      <c r="AL62" s="105"/>
      <c r="AM62" s="105"/>
      <c r="AN62" s="105"/>
      <c r="AO62" s="105"/>
      <c r="AP62" s="105"/>
      <c r="AQ62" s="105"/>
      <c r="AR62" s="105"/>
      <c r="AS62" s="105"/>
      <c r="AT62" s="105"/>
      <c r="AU62" s="105"/>
      <c r="AV62" s="105"/>
      <c r="AW62" s="105"/>
      <c r="AX62" s="105"/>
      <c r="AY62" s="105"/>
      <c r="AZ62" s="105"/>
      <c r="BA62" s="105"/>
    </row>
    <row r="63" spans="1:63" x14ac:dyDescent="0.35">
      <c r="A63" s="692">
        <v>2.0833333333333332E-2</v>
      </c>
      <c r="B63" s="679" t="s">
        <v>807</v>
      </c>
      <c r="C63" s="679" t="s">
        <v>807</v>
      </c>
      <c r="D63" s="679" t="s">
        <v>807</v>
      </c>
      <c r="E63" s="690"/>
      <c r="F63" s="682"/>
      <c r="G63" s="682"/>
      <c r="H63" s="682"/>
      <c r="I63" s="111"/>
      <c r="J63" s="111"/>
      <c r="K63" s="111"/>
      <c r="L63" s="111"/>
      <c r="M63" s="111"/>
      <c r="N63" s="111"/>
      <c r="O63" s="111"/>
      <c r="P63" s="111"/>
      <c r="Q63" s="111"/>
      <c r="R63" s="111"/>
      <c r="S63" s="111"/>
      <c r="T63" s="111"/>
      <c r="U63" s="111"/>
      <c r="V63" s="111"/>
      <c r="W63" s="111"/>
      <c r="X63" s="111"/>
      <c r="Y63" s="111"/>
      <c r="Z63" s="111"/>
      <c r="AA63" s="677"/>
      <c r="AB63" s="677"/>
      <c r="AC63" s="677"/>
      <c r="AD63" s="677"/>
      <c r="AE63" s="677"/>
      <c r="AF63" s="677"/>
      <c r="AG63" s="105"/>
      <c r="AH63" s="105"/>
      <c r="AI63" s="105"/>
      <c r="AJ63" s="105"/>
      <c r="AK63" s="105"/>
      <c r="AL63" s="105"/>
      <c r="AM63" s="105"/>
      <c r="AN63" s="105"/>
      <c r="AO63" s="105"/>
      <c r="AP63" s="105"/>
      <c r="AQ63" s="105"/>
      <c r="AR63" s="105"/>
      <c r="AS63" s="105"/>
      <c r="AT63" s="105"/>
      <c r="AU63" s="105"/>
      <c r="AV63" s="105"/>
      <c r="AW63" s="105"/>
      <c r="AX63" s="105"/>
      <c r="AY63" s="105"/>
      <c r="AZ63" s="105"/>
      <c r="BA63" s="105"/>
    </row>
    <row r="64" spans="1:63" x14ac:dyDescent="0.35">
      <c r="A64" s="693">
        <v>4.1666666666666699E-2</v>
      </c>
      <c r="B64" s="679" t="s">
        <v>807</v>
      </c>
      <c r="C64" s="679" t="s">
        <v>807</v>
      </c>
      <c r="D64" s="679" t="s">
        <v>807</v>
      </c>
      <c r="E64" s="690"/>
      <c r="F64" s="682"/>
      <c r="G64" s="682"/>
      <c r="H64" s="682"/>
      <c r="I64" s="111"/>
      <c r="J64" s="111"/>
      <c r="K64" s="111"/>
      <c r="L64" s="111"/>
      <c r="M64" s="111"/>
      <c r="N64" s="111"/>
      <c r="O64" s="111"/>
      <c r="P64" s="111"/>
      <c r="Q64" s="111"/>
      <c r="R64" s="111"/>
      <c r="S64" s="111"/>
      <c r="T64" s="111"/>
      <c r="U64" s="111"/>
      <c r="V64" s="111"/>
      <c r="W64" s="111"/>
      <c r="X64" s="111"/>
      <c r="Y64" s="111"/>
      <c r="Z64" s="111"/>
      <c r="AA64" s="677"/>
      <c r="AB64" s="677"/>
      <c r="AC64" s="677"/>
      <c r="AD64" s="677"/>
      <c r="AE64" s="111"/>
      <c r="AF64" s="111"/>
      <c r="AG64" s="105"/>
      <c r="AH64" s="105"/>
      <c r="AI64" s="105"/>
      <c r="AJ64" s="105"/>
      <c r="AK64" s="105"/>
      <c r="AL64" s="105"/>
      <c r="AM64" s="105"/>
      <c r="AN64" s="105"/>
      <c r="AO64" s="105"/>
      <c r="AP64" s="105"/>
      <c r="AQ64" s="105"/>
      <c r="AR64" s="105"/>
      <c r="AS64" s="105"/>
      <c r="AT64" s="105"/>
      <c r="AU64" s="105"/>
      <c r="AV64" s="105"/>
      <c r="AW64" s="105"/>
      <c r="AX64" s="105"/>
      <c r="AY64" s="105"/>
      <c r="AZ64" s="105"/>
      <c r="BA64" s="105"/>
    </row>
    <row r="65" spans="1:53" x14ac:dyDescent="0.35">
      <c r="A65" s="692">
        <v>6.25E-2</v>
      </c>
      <c r="B65" s="679" t="s">
        <v>807</v>
      </c>
      <c r="C65" s="679" t="s">
        <v>807</v>
      </c>
      <c r="D65" s="679" t="s">
        <v>807</v>
      </c>
      <c r="E65" s="690"/>
      <c r="F65" s="682"/>
      <c r="G65" s="682"/>
      <c r="H65" s="682"/>
      <c r="I65" s="111"/>
      <c r="J65" s="111"/>
      <c r="K65" s="111"/>
      <c r="L65" s="111"/>
      <c r="M65" s="111"/>
      <c r="N65" s="111"/>
      <c r="O65" s="111"/>
      <c r="P65" s="111"/>
      <c r="Q65" s="111"/>
      <c r="R65" s="111"/>
      <c r="S65" s="111"/>
      <c r="T65" s="111"/>
      <c r="U65" s="111"/>
      <c r="V65" s="111"/>
      <c r="W65" s="111"/>
      <c r="X65" s="111"/>
      <c r="Y65" s="111"/>
      <c r="Z65" s="111"/>
      <c r="AA65" s="677"/>
      <c r="AB65" s="677"/>
      <c r="AC65" s="677"/>
      <c r="AD65" s="677"/>
      <c r="AE65" s="111"/>
      <c r="AF65" s="111"/>
      <c r="AG65" s="105"/>
      <c r="AH65" s="105"/>
      <c r="AI65" s="105"/>
      <c r="AJ65" s="105"/>
      <c r="AK65" s="105"/>
      <c r="AL65" s="105"/>
      <c r="AM65" s="105"/>
      <c r="AN65" s="105"/>
      <c r="AO65" s="105"/>
      <c r="AP65" s="105"/>
      <c r="AQ65" s="105"/>
      <c r="AR65" s="105"/>
      <c r="AS65" s="105"/>
      <c r="AT65" s="105"/>
      <c r="AU65" s="105"/>
      <c r="AV65" s="105"/>
      <c r="AW65" s="105"/>
      <c r="AX65" s="105"/>
      <c r="AY65" s="105"/>
      <c r="AZ65" s="105"/>
      <c r="BA65" s="105"/>
    </row>
    <row r="66" spans="1:53" x14ac:dyDescent="0.35">
      <c r="A66" s="693">
        <v>8.3333333333333301E-2</v>
      </c>
      <c r="B66" s="679" t="s">
        <v>807</v>
      </c>
      <c r="C66" s="679" t="s">
        <v>807</v>
      </c>
      <c r="D66" s="679" t="s">
        <v>807</v>
      </c>
      <c r="E66" s="690"/>
      <c r="F66" s="682"/>
      <c r="G66" s="682"/>
      <c r="H66" s="682"/>
      <c r="I66" s="111"/>
      <c r="J66" s="111"/>
      <c r="K66" s="111"/>
      <c r="L66" s="111"/>
      <c r="M66" s="111"/>
      <c r="N66" s="111"/>
      <c r="O66" s="111"/>
      <c r="P66" s="111"/>
      <c r="Q66" s="111"/>
      <c r="R66" s="111"/>
      <c r="S66" s="111"/>
      <c r="T66" s="111"/>
      <c r="U66" s="111"/>
      <c r="V66" s="111"/>
      <c r="W66" s="111"/>
      <c r="X66" s="111"/>
      <c r="Y66" s="111"/>
      <c r="Z66" s="111"/>
      <c r="AA66" s="677"/>
      <c r="AB66" s="677"/>
      <c r="AC66" s="677"/>
      <c r="AD66" s="677"/>
      <c r="AE66" s="111"/>
      <c r="AF66" s="111"/>
      <c r="AG66" s="105"/>
      <c r="AH66" s="105"/>
      <c r="AI66" s="105"/>
      <c r="AJ66" s="105"/>
      <c r="AK66" s="105"/>
      <c r="AL66" s="105"/>
      <c r="AM66" s="105"/>
      <c r="AN66" s="105"/>
      <c r="AO66" s="105"/>
      <c r="AP66" s="105"/>
      <c r="AQ66" s="105"/>
      <c r="AR66" s="105"/>
      <c r="AS66" s="105"/>
      <c r="AT66" s="105"/>
      <c r="AU66" s="105"/>
      <c r="AV66" s="105"/>
      <c r="AW66" s="105"/>
      <c r="AX66" s="105"/>
      <c r="AY66" s="105"/>
      <c r="AZ66" s="105"/>
      <c r="BA66" s="105"/>
    </row>
    <row r="67" spans="1:53" x14ac:dyDescent="0.35">
      <c r="A67" s="692">
        <v>0.104166666666667</v>
      </c>
      <c r="B67" s="679" t="s">
        <v>807</v>
      </c>
      <c r="C67" s="679" t="s">
        <v>807</v>
      </c>
      <c r="D67" s="679" t="s">
        <v>807</v>
      </c>
      <c r="E67" s="690"/>
      <c r="F67" s="682"/>
      <c r="G67" s="682"/>
      <c r="H67" s="682"/>
      <c r="I67" s="111"/>
      <c r="J67" s="111"/>
      <c r="K67" s="111"/>
      <c r="L67" s="111"/>
      <c r="M67" s="111"/>
      <c r="N67" s="111"/>
      <c r="O67" s="111"/>
      <c r="P67" s="111"/>
      <c r="Q67" s="111"/>
      <c r="R67" s="111"/>
      <c r="S67" s="111"/>
      <c r="T67" s="111"/>
      <c r="U67" s="111"/>
      <c r="V67" s="111"/>
      <c r="W67" s="111"/>
      <c r="X67" s="111"/>
      <c r="Y67" s="111"/>
      <c r="Z67" s="111"/>
      <c r="AA67" s="677"/>
      <c r="AB67" s="677"/>
      <c r="AC67" s="677"/>
      <c r="AD67" s="677"/>
      <c r="AE67" s="111"/>
      <c r="AF67" s="111"/>
      <c r="AG67" s="105"/>
      <c r="AH67" s="105"/>
      <c r="AI67" s="105"/>
      <c r="AJ67" s="105"/>
      <c r="AK67" s="105"/>
      <c r="AL67" s="105"/>
      <c r="AM67" s="105"/>
      <c r="AN67" s="105"/>
      <c r="AO67" s="105"/>
      <c r="AP67" s="105"/>
      <c r="AQ67" s="105"/>
      <c r="AR67" s="105"/>
      <c r="AS67" s="105"/>
      <c r="AT67" s="105"/>
      <c r="AU67" s="105"/>
      <c r="AV67" s="105"/>
      <c r="AW67" s="105"/>
      <c r="AX67" s="105"/>
      <c r="AY67" s="105"/>
      <c r="AZ67" s="105"/>
      <c r="BA67" s="105"/>
    </row>
    <row r="68" spans="1:53" x14ac:dyDescent="0.35">
      <c r="A68" s="693">
        <v>0.125</v>
      </c>
      <c r="B68" s="679" t="s">
        <v>807</v>
      </c>
      <c r="C68" s="679" t="s">
        <v>807</v>
      </c>
      <c r="D68" s="679" t="s">
        <v>807</v>
      </c>
      <c r="E68" s="690"/>
      <c r="F68" s="682"/>
      <c r="G68" s="682"/>
      <c r="H68" s="682"/>
      <c r="I68" s="111"/>
      <c r="J68" s="111"/>
      <c r="K68" s="111"/>
      <c r="L68" s="111"/>
      <c r="M68" s="111"/>
      <c r="N68" s="111"/>
      <c r="O68" s="111"/>
      <c r="P68" s="111"/>
      <c r="Q68" s="111"/>
      <c r="R68" s="111"/>
      <c r="S68" s="111"/>
      <c r="T68" s="111"/>
      <c r="U68" s="111"/>
      <c r="V68" s="111"/>
      <c r="W68" s="111"/>
      <c r="X68" s="111"/>
      <c r="Y68" s="111"/>
      <c r="Z68" s="111"/>
      <c r="AA68" s="677"/>
      <c r="AB68" s="677"/>
      <c r="AC68" s="677"/>
      <c r="AD68" s="677"/>
      <c r="AE68" s="111"/>
      <c r="AF68" s="111"/>
      <c r="AG68" s="105"/>
      <c r="AH68" s="105"/>
      <c r="AI68" s="105"/>
      <c r="AJ68" s="105"/>
      <c r="AK68" s="105"/>
      <c r="AL68" s="105"/>
      <c r="AM68" s="105"/>
      <c r="AN68" s="105"/>
      <c r="AO68" s="105"/>
      <c r="AP68" s="105"/>
      <c r="AQ68" s="105"/>
      <c r="AR68" s="105"/>
      <c r="AS68" s="105"/>
      <c r="AT68" s="105"/>
      <c r="AU68" s="105"/>
      <c r="AV68" s="105"/>
      <c r="AW68" s="105"/>
      <c r="AX68" s="105"/>
      <c r="AY68" s="105"/>
      <c r="AZ68" s="105"/>
      <c r="BA68" s="105"/>
    </row>
    <row r="69" spans="1:53" x14ac:dyDescent="0.35">
      <c r="A69" s="692">
        <v>0.14583333333333301</v>
      </c>
      <c r="B69" s="679" t="s">
        <v>807</v>
      </c>
      <c r="C69" s="679" t="s">
        <v>807</v>
      </c>
      <c r="D69" s="679" t="s">
        <v>807</v>
      </c>
      <c r="E69" s="690"/>
      <c r="F69" s="682"/>
      <c r="G69" s="682"/>
      <c r="H69" s="682"/>
      <c r="I69" s="111"/>
      <c r="J69" s="111"/>
      <c r="K69" s="111"/>
      <c r="L69" s="111"/>
      <c r="M69" s="111"/>
      <c r="N69" s="111"/>
      <c r="O69" s="111"/>
      <c r="P69" s="111"/>
      <c r="Q69" s="111"/>
      <c r="R69" s="111"/>
      <c r="S69" s="111"/>
      <c r="T69" s="111"/>
      <c r="U69" s="111"/>
      <c r="V69" s="111"/>
      <c r="W69" s="111"/>
      <c r="X69" s="111"/>
      <c r="Y69" s="111"/>
      <c r="Z69" s="111"/>
      <c r="AA69" s="677"/>
      <c r="AB69" s="677"/>
      <c r="AC69" s="677"/>
      <c r="AD69" s="677"/>
      <c r="AE69" s="111"/>
      <c r="AF69" s="111"/>
      <c r="AG69" s="105"/>
      <c r="AH69" s="105"/>
      <c r="AI69" s="105"/>
      <c r="AJ69" s="105"/>
      <c r="AK69" s="105"/>
      <c r="AL69" s="105"/>
      <c r="AM69" s="105"/>
      <c r="AN69" s="105"/>
      <c r="AO69" s="105"/>
      <c r="AP69" s="105"/>
      <c r="AQ69" s="105"/>
      <c r="AR69" s="105"/>
      <c r="AS69" s="105"/>
      <c r="AT69" s="105"/>
      <c r="AU69" s="105"/>
      <c r="AV69" s="105"/>
      <c r="AW69" s="105"/>
      <c r="AX69" s="105"/>
      <c r="AY69" s="105"/>
      <c r="AZ69" s="105"/>
      <c r="BA69" s="105"/>
    </row>
    <row r="70" spans="1:53" x14ac:dyDescent="0.35">
      <c r="A70" s="693">
        <v>0.16666666666666699</v>
      </c>
      <c r="B70" s="679" t="s">
        <v>807</v>
      </c>
      <c r="C70" s="679" t="s">
        <v>807</v>
      </c>
      <c r="D70" s="679" t="s">
        <v>807</v>
      </c>
      <c r="E70" s="690"/>
      <c r="F70" s="682"/>
      <c r="G70" s="682"/>
      <c r="H70" s="682"/>
      <c r="I70" s="111"/>
      <c r="J70" s="111"/>
      <c r="K70" s="111"/>
      <c r="L70" s="111"/>
      <c r="M70" s="111"/>
      <c r="N70" s="111"/>
      <c r="O70" s="111"/>
      <c r="P70" s="111"/>
      <c r="Q70" s="111"/>
      <c r="R70" s="111"/>
      <c r="S70" s="111"/>
      <c r="T70" s="111"/>
      <c r="U70" s="111"/>
      <c r="V70" s="111"/>
      <c r="W70" s="111"/>
      <c r="X70" s="111"/>
      <c r="Y70" s="111"/>
      <c r="Z70" s="111"/>
      <c r="AA70" s="677"/>
      <c r="AB70" s="677"/>
      <c r="AC70" s="677"/>
      <c r="AD70" s="677"/>
      <c r="AE70" s="111"/>
      <c r="AF70" s="111"/>
      <c r="AG70" s="105"/>
      <c r="AH70" s="105"/>
      <c r="AI70" s="105"/>
      <c r="AJ70" s="105"/>
      <c r="AK70" s="105"/>
      <c r="AL70" s="105"/>
      <c r="AM70" s="105"/>
      <c r="AN70" s="105"/>
      <c r="AO70" s="105"/>
      <c r="AP70" s="105"/>
      <c r="AQ70" s="105"/>
      <c r="AR70" s="105"/>
      <c r="AS70" s="105"/>
      <c r="AT70" s="105"/>
      <c r="AU70" s="105"/>
      <c r="AV70" s="105"/>
      <c r="AW70" s="105"/>
      <c r="AX70" s="105"/>
      <c r="AY70" s="105"/>
      <c r="AZ70" s="105"/>
      <c r="BA70" s="105"/>
    </row>
    <row r="71" spans="1:53" x14ac:dyDescent="0.35">
      <c r="A71" s="692">
        <v>0.1875</v>
      </c>
      <c r="B71" s="679" t="s">
        <v>807</v>
      </c>
      <c r="C71" s="679" t="s">
        <v>807</v>
      </c>
      <c r="D71" s="679" t="s">
        <v>807</v>
      </c>
      <c r="E71" s="690"/>
      <c r="F71" s="682"/>
      <c r="G71" s="682"/>
      <c r="H71" s="682"/>
      <c r="I71" s="111"/>
      <c r="J71" s="111"/>
      <c r="K71" s="111"/>
      <c r="L71" s="111"/>
      <c r="M71" s="111"/>
      <c r="N71" s="111"/>
      <c r="O71" s="111"/>
      <c r="P71" s="111"/>
      <c r="Q71" s="111"/>
      <c r="R71" s="111"/>
      <c r="S71" s="111"/>
      <c r="T71" s="111"/>
      <c r="U71" s="111"/>
      <c r="V71" s="111"/>
      <c r="W71" s="111"/>
      <c r="X71" s="111"/>
      <c r="Y71" s="111"/>
      <c r="Z71" s="111"/>
      <c r="AA71" s="677"/>
      <c r="AB71" s="677"/>
      <c r="AC71" s="677"/>
      <c r="AD71" s="677"/>
      <c r="AE71" s="111"/>
      <c r="AF71" s="111"/>
      <c r="AG71" s="105"/>
      <c r="AH71" s="105"/>
      <c r="AI71" s="105"/>
      <c r="AJ71" s="105"/>
      <c r="AK71" s="105"/>
      <c r="AL71" s="105"/>
      <c r="AM71" s="105"/>
      <c r="AN71" s="105"/>
      <c r="AO71" s="105"/>
      <c r="AP71" s="105"/>
      <c r="AQ71" s="105"/>
      <c r="AR71" s="105"/>
      <c r="AS71" s="105"/>
      <c r="AT71" s="105"/>
      <c r="AU71" s="105"/>
      <c r="AV71" s="105"/>
      <c r="AW71" s="105"/>
      <c r="AX71" s="105"/>
      <c r="AY71" s="105"/>
      <c r="AZ71" s="105"/>
      <c r="BA71" s="105"/>
    </row>
    <row r="72" spans="1:53" x14ac:dyDescent="0.35">
      <c r="A72" s="693">
        <v>0.20833333333333301</v>
      </c>
      <c r="B72" s="679" t="s">
        <v>807</v>
      </c>
      <c r="C72" s="679" t="s">
        <v>807</v>
      </c>
      <c r="D72" s="679" t="s">
        <v>807</v>
      </c>
      <c r="E72" s="690"/>
      <c r="F72" s="682"/>
      <c r="G72" s="682"/>
      <c r="H72" s="682"/>
      <c r="I72" s="111"/>
      <c r="J72" s="111"/>
      <c r="K72" s="111"/>
      <c r="L72" s="111"/>
      <c r="M72" s="111"/>
      <c r="N72" s="111"/>
      <c r="O72" s="111"/>
      <c r="P72" s="111"/>
      <c r="Q72" s="111"/>
      <c r="R72" s="111"/>
      <c r="S72" s="111"/>
      <c r="T72" s="111"/>
      <c r="U72" s="111"/>
      <c r="V72" s="111"/>
      <c r="W72" s="111"/>
      <c r="X72" s="111"/>
      <c r="Y72" s="111"/>
      <c r="Z72" s="111"/>
      <c r="AA72" s="111"/>
      <c r="AB72" s="111"/>
      <c r="AC72" s="111"/>
      <c r="AD72" s="111"/>
      <c r="AE72" s="111"/>
      <c r="AF72" s="111"/>
      <c r="AG72" s="105"/>
      <c r="AH72" s="105"/>
      <c r="AI72" s="105"/>
      <c r="AJ72" s="105"/>
      <c r="AK72" s="105"/>
      <c r="AL72" s="105"/>
      <c r="AM72" s="105"/>
      <c r="AN72" s="105"/>
      <c r="AO72" s="105"/>
      <c r="AP72" s="105"/>
      <c r="AQ72" s="105"/>
      <c r="AR72" s="105"/>
      <c r="AS72" s="105"/>
      <c r="AT72" s="105"/>
      <c r="AU72" s="105"/>
      <c r="AV72" s="105"/>
      <c r="AW72" s="105"/>
      <c r="AX72" s="105"/>
      <c r="AY72" s="105"/>
      <c r="AZ72" s="105"/>
      <c r="BA72" s="105"/>
    </row>
    <row r="73" spans="1:53" x14ac:dyDescent="0.35">
      <c r="A73" s="694">
        <v>0.22916666666666699</v>
      </c>
      <c r="B73" s="679" t="s">
        <v>807</v>
      </c>
      <c r="C73" s="679" t="s">
        <v>807</v>
      </c>
      <c r="D73" s="679" t="s">
        <v>807</v>
      </c>
      <c r="E73" s="690"/>
      <c r="F73" s="682"/>
      <c r="G73" s="682"/>
      <c r="H73" s="682"/>
      <c r="I73" s="111"/>
      <c r="J73" s="111"/>
      <c r="K73" s="111"/>
      <c r="L73" s="111"/>
      <c r="M73" s="111"/>
      <c r="N73" s="111"/>
      <c r="O73" s="111"/>
      <c r="P73" s="111"/>
      <c r="Q73" s="111"/>
      <c r="R73" s="111"/>
      <c r="S73" s="111"/>
      <c r="T73" s="111"/>
      <c r="U73" s="111"/>
      <c r="V73" s="111"/>
      <c r="W73" s="111"/>
      <c r="X73" s="111"/>
      <c r="Y73" s="111"/>
      <c r="Z73" s="111"/>
      <c r="AA73" s="111"/>
      <c r="AB73" s="111"/>
      <c r="AC73" s="111"/>
      <c r="AD73" s="111"/>
      <c r="AE73" s="111"/>
      <c r="AF73" s="111"/>
      <c r="AG73" s="105"/>
      <c r="AH73" s="105"/>
      <c r="AI73" s="105"/>
      <c r="AJ73" s="105"/>
      <c r="AK73" s="105"/>
      <c r="AL73" s="105"/>
      <c r="AM73" s="105"/>
      <c r="AN73" s="105"/>
      <c r="AO73" s="105"/>
      <c r="AP73" s="105"/>
      <c r="AQ73" s="105"/>
      <c r="AR73" s="105"/>
      <c r="AS73" s="105"/>
      <c r="AT73" s="105"/>
      <c r="AU73" s="105"/>
      <c r="AV73" s="105"/>
      <c r="AW73" s="105"/>
      <c r="AX73" s="105"/>
      <c r="AY73" s="105"/>
      <c r="AZ73" s="105"/>
      <c r="BA73" s="105"/>
    </row>
    <row r="74" spans="1:53" x14ac:dyDescent="0.35">
      <c r="A74" s="695">
        <v>0.25</v>
      </c>
      <c r="B74" s="684" t="s">
        <v>808</v>
      </c>
      <c r="C74" s="684" t="s">
        <v>808</v>
      </c>
      <c r="D74" s="684" t="s">
        <v>808</v>
      </c>
      <c r="E74" s="690"/>
      <c r="F74" s="682"/>
      <c r="G74" s="682"/>
      <c r="H74" s="682"/>
      <c r="I74" s="111"/>
      <c r="J74" s="111"/>
      <c r="K74" s="111"/>
      <c r="L74" s="111"/>
      <c r="M74" s="111"/>
      <c r="N74" s="111"/>
      <c r="O74" s="111"/>
      <c r="P74" s="111"/>
      <c r="Q74" s="111"/>
      <c r="R74" s="111"/>
      <c r="S74" s="111"/>
      <c r="T74" s="111"/>
      <c r="U74" s="111"/>
      <c r="V74" s="111"/>
      <c r="W74" s="111"/>
      <c r="X74" s="111"/>
      <c r="Y74" s="111"/>
      <c r="Z74" s="111"/>
      <c r="AA74" s="111"/>
      <c r="AB74" s="111"/>
      <c r="AC74" s="111"/>
      <c r="AD74" s="111"/>
      <c r="AE74" s="111"/>
      <c r="AF74" s="111"/>
      <c r="AG74" s="105"/>
      <c r="AH74" s="105"/>
      <c r="AI74" s="105"/>
      <c r="AJ74" s="105"/>
      <c r="AK74" s="105"/>
      <c r="AL74" s="105"/>
      <c r="AM74" s="105"/>
      <c r="AN74" s="105"/>
      <c r="AO74" s="105"/>
      <c r="AP74" s="105"/>
      <c r="AQ74" s="105"/>
      <c r="AR74" s="105"/>
      <c r="AS74" s="105"/>
      <c r="AT74" s="105"/>
      <c r="AU74" s="105"/>
      <c r="AV74" s="105"/>
      <c r="AW74" s="105"/>
      <c r="AX74" s="105"/>
      <c r="AY74" s="105"/>
      <c r="AZ74" s="105"/>
      <c r="BA74" s="105"/>
    </row>
    <row r="75" spans="1:53" x14ac:dyDescent="0.35">
      <c r="A75" s="696">
        <v>0.27083333333333298</v>
      </c>
      <c r="B75" s="686" t="s">
        <v>1424</v>
      </c>
      <c r="C75" s="686" t="s">
        <v>1424</v>
      </c>
      <c r="D75" s="686" t="s">
        <v>1424</v>
      </c>
      <c r="E75" s="690"/>
      <c r="F75" s="682"/>
      <c r="G75" s="682"/>
      <c r="H75" s="682"/>
      <c r="I75" s="111"/>
      <c r="J75" s="111"/>
      <c r="K75" s="111"/>
      <c r="L75" s="111"/>
      <c r="M75" s="111"/>
      <c r="N75" s="111"/>
      <c r="O75" s="111"/>
      <c r="P75" s="111"/>
      <c r="Q75" s="111"/>
      <c r="R75" s="111"/>
      <c r="S75" s="111"/>
      <c r="T75" s="111"/>
      <c r="U75" s="111"/>
      <c r="V75" s="111"/>
      <c r="W75" s="111"/>
      <c r="X75" s="111"/>
      <c r="Y75" s="111"/>
      <c r="Z75" s="111"/>
      <c r="AA75" s="111"/>
      <c r="AB75" s="111"/>
      <c r="AC75" s="111"/>
      <c r="AD75" s="111"/>
      <c r="AE75" s="111"/>
      <c r="AF75" s="111"/>
      <c r="AG75" s="105"/>
      <c r="AH75" s="105"/>
      <c r="AI75" s="105"/>
      <c r="AJ75" s="105"/>
      <c r="AK75" s="105"/>
      <c r="AL75" s="105"/>
      <c r="AM75" s="105"/>
      <c r="AN75" s="105"/>
      <c r="AO75" s="105"/>
      <c r="AP75" s="105"/>
      <c r="AQ75" s="105"/>
      <c r="AR75" s="105"/>
      <c r="AS75" s="105"/>
      <c r="AT75" s="105"/>
      <c r="AU75" s="105"/>
      <c r="AV75" s="105"/>
      <c r="AW75" s="105"/>
      <c r="AX75" s="105"/>
      <c r="AY75" s="105"/>
      <c r="AZ75" s="105"/>
      <c r="BA75" s="105"/>
    </row>
    <row r="76" spans="1:53" x14ac:dyDescent="0.35">
      <c r="A76" s="696">
        <v>0.29166666666666669</v>
      </c>
      <c r="B76" s="683" t="s">
        <v>814</v>
      </c>
      <c r="C76" s="683" t="s">
        <v>814</v>
      </c>
      <c r="D76" s="683" t="s">
        <v>814</v>
      </c>
      <c r="E76" s="690"/>
      <c r="F76" s="682"/>
      <c r="G76" s="682"/>
      <c r="H76" s="682"/>
      <c r="I76" s="111"/>
      <c r="J76" s="111"/>
      <c r="K76" s="111"/>
      <c r="L76" s="111"/>
      <c r="M76" s="111"/>
      <c r="N76" s="111"/>
      <c r="O76" s="111"/>
      <c r="P76" s="111"/>
      <c r="Q76" s="111"/>
      <c r="R76" s="111"/>
      <c r="S76" s="111"/>
      <c r="T76" s="111"/>
      <c r="U76" s="111"/>
      <c r="V76" s="111"/>
      <c r="W76" s="111"/>
      <c r="X76" s="111"/>
      <c r="Y76" s="111"/>
      <c r="Z76" s="111"/>
      <c r="AA76" s="111"/>
      <c r="AB76" s="111"/>
      <c r="AC76" s="111"/>
      <c r="AD76" s="111"/>
      <c r="AE76" s="111"/>
      <c r="AF76" s="111"/>
      <c r="AG76" s="105"/>
      <c r="AH76" s="105"/>
      <c r="AI76" s="105"/>
      <c r="AJ76" s="105"/>
      <c r="AK76" s="105"/>
      <c r="AL76" s="105"/>
      <c r="AM76" s="105"/>
      <c r="AN76" s="105"/>
      <c r="AO76" s="105"/>
      <c r="AP76" s="105"/>
      <c r="AQ76" s="105"/>
      <c r="AR76" s="105"/>
      <c r="AS76" s="105"/>
      <c r="AT76" s="105"/>
      <c r="AU76" s="105"/>
      <c r="AV76" s="105"/>
      <c r="AW76" s="105"/>
      <c r="AX76" s="105"/>
      <c r="AY76" s="105"/>
      <c r="AZ76" s="105"/>
      <c r="BA76" s="105"/>
    </row>
    <row r="77" spans="1:53" x14ac:dyDescent="0.35">
      <c r="A77" s="696">
        <v>0.3125</v>
      </c>
      <c r="B77" s="681" t="s">
        <v>1239</v>
      </c>
      <c r="C77" s="681" t="s">
        <v>1239</v>
      </c>
      <c r="D77" s="681" t="s">
        <v>1239</v>
      </c>
      <c r="E77" s="690"/>
      <c r="F77" s="682"/>
      <c r="G77" s="682"/>
      <c r="H77" s="682"/>
      <c r="I77" s="111"/>
      <c r="J77" s="111"/>
      <c r="K77" s="111"/>
      <c r="L77" s="111"/>
      <c r="M77" s="111"/>
      <c r="N77" s="111"/>
      <c r="O77" s="111"/>
      <c r="P77" s="111"/>
      <c r="Q77" s="111"/>
      <c r="R77" s="111"/>
      <c r="S77" s="111"/>
      <c r="T77" s="111"/>
      <c r="U77" s="111"/>
      <c r="V77" s="111"/>
      <c r="W77" s="111"/>
      <c r="X77" s="111"/>
      <c r="Y77" s="111"/>
      <c r="Z77" s="111"/>
      <c r="AA77" s="111"/>
      <c r="AB77" s="111"/>
      <c r="AC77" s="111"/>
      <c r="AD77" s="111"/>
      <c r="AE77" s="111"/>
      <c r="AF77" s="111"/>
      <c r="AG77" s="105"/>
      <c r="AH77" s="105"/>
      <c r="AI77" s="105"/>
      <c r="AJ77" s="105"/>
      <c r="AK77" s="105"/>
      <c r="AL77" s="105"/>
      <c r="AM77" s="105"/>
      <c r="AN77" s="105"/>
      <c r="AO77" s="105"/>
      <c r="AP77" s="105"/>
      <c r="AQ77" s="105"/>
      <c r="AR77" s="105"/>
      <c r="AS77" s="105"/>
      <c r="AT77" s="105"/>
      <c r="AU77" s="105"/>
      <c r="AV77" s="105"/>
      <c r="AW77" s="105"/>
      <c r="AX77" s="105"/>
      <c r="AY77" s="105"/>
      <c r="AZ77" s="105"/>
      <c r="BA77" s="105"/>
    </row>
    <row r="78" spans="1:53" x14ac:dyDescent="0.35">
      <c r="A78" s="695">
        <v>0.33333333333333298</v>
      </c>
      <c r="B78" s="681" t="s">
        <v>1239</v>
      </c>
      <c r="C78" s="681" t="s">
        <v>1239</v>
      </c>
      <c r="D78" s="681" t="s">
        <v>1239</v>
      </c>
      <c r="E78" s="690"/>
      <c r="F78" s="682"/>
      <c r="G78" s="682"/>
      <c r="H78" s="682"/>
      <c r="I78" s="111"/>
      <c r="J78" s="111"/>
      <c r="K78" s="111"/>
      <c r="L78" s="111"/>
      <c r="M78" s="111"/>
      <c r="N78" s="111"/>
      <c r="O78" s="111"/>
      <c r="P78" s="111"/>
      <c r="Q78" s="111"/>
      <c r="R78" s="111"/>
      <c r="S78" s="111"/>
      <c r="T78" s="111"/>
      <c r="U78" s="111"/>
      <c r="V78" s="111"/>
      <c r="W78" s="111"/>
      <c r="X78" s="111"/>
      <c r="Y78" s="111"/>
      <c r="Z78" s="111"/>
      <c r="AA78" s="111"/>
      <c r="AB78" s="111"/>
      <c r="AC78" s="111"/>
      <c r="AD78" s="111"/>
      <c r="AE78" s="111"/>
      <c r="AF78" s="111"/>
      <c r="AG78" s="105"/>
      <c r="AH78" s="105"/>
      <c r="AI78" s="105"/>
      <c r="AJ78" s="105"/>
      <c r="AK78" s="105"/>
      <c r="AL78" s="105"/>
      <c r="AM78" s="105"/>
      <c r="AN78" s="105"/>
      <c r="AO78" s="105"/>
      <c r="AP78" s="105"/>
      <c r="AQ78" s="105"/>
      <c r="AR78" s="105"/>
      <c r="AS78" s="105"/>
      <c r="AT78" s="105"/>
      <c r="AU78" s="105"/>
      <c r="AV78" s="105"/>
      <c r="AW78" s="105"/>
      <c r="AX78" s="105"/>
      <c r="AY78" s="105"/>
      <c r="AZ78" s="105"/>
      <c r="BA78" s="105"/>
    </row>
    <row r="79" spans="1:53" x14ac:dyDescent="0.35">
      <c r="A79" s="696">
        <v>0.35416666666666702</v>
      </c>
      <c r="B79" s="681" t="s">
        <v>1239</v>
      </c>
      <c r="C79" s="681" t="s">
        <v>1239</v>
      </c>
      <c r="D79" s="681" t="s">
        <v>1239</v>
      </c>
      <c r="E79" s="690"/>
      <c r="F79" s="682"/>
      <c r="G79" s="682"/>
      <c r="H79" s="682"/>
      <c r="I79" s="111"/>
      <c r="J79" s="111"/>
      <c r="K79" s="111"/>
      <c r="L79" s="111"/>
      <c r="M79" s="111"/>
      <c r="N79" s="111"/>
      <c r="O79" s="111"/>
      <c r="P79" s="111"/>
      <c r="Q79" s="111"/>
      <c r="R79" s="111"/>
      <c r="S79" s="111"/>
      <c r="T79" s="111"/>
      <c r="U79" s="111"/>
      <c r="V79" s="111"/>
      <c r="W79" s="111"/>
      <c r="X79" s="111"/>
      <c r="Y79" s="111"/>
      <c r="Z79" s="111"/>
      <c r="AA79" s="111"/>
      <c r="AB79" s="111"/>
      <c r="AC79" s="111"/>
      <c r="AD79" s="111"/>
      <c r="AE79" s="111"/>
      <c r="AF79" s="111"/>
      <c r="AG79" s="105"/>
      <c r="AH79" s="105"/>
      <c r="AI79" s="105"/>
      <c r="AJ79" s="105"/>
      <c r="AK79" s="105"/>
      <c r="AL79" s="105"/>
      <c r="AM79" s="105"/>
      <c r="AN79" s="105"/>
      <c r="AO79" s="105"/>
      <c r="AP79" s="105"/>
      <c r="AQ79" s="105"/>
      <c r="AR79" s="105"/>
      <c r="AS79" s="105"/>
      <c r="AT79" s="105"/>
      <c r="AU79" s="105"/>
      <c r="AV79" s="105"/>
      <c r="AW79" s="105"/>
      <c r="AX79" s="105"/>
      <c r="AY79" s="105"/>
      <c r="AZ79" s="105"/>
      <c r="BA79" s="105"/>
    </row>
    <row r="80" spans="1:53" x14ac:dyDescent="0.35">
      <c r="A80" s="695">
        <v>0.375</v>
      </c>
      <c r="B80" s="681" t="s">
        <v>1239</v>
      </c>
      <c r="C80" s="681" t="s">
        <v>1239</v>
      </c>
      <c r="D80" s="681" t="s">
        <v>1239</v>
      </c>
      <c r="E80" s="690"/>
      <c r="F80" s="682"/>
      <c r="G80" s="682"/>
      <c r="H80" s="682"/>
      <c r="I80" s="111"/>
      <c r="J80" s="111"/>
      <c r="K80" s="111"/>
      <c r="L80" s="111"/>
      <c r="M80" s="111"/>
      <c r="N80" s="111"/>
      <c r="O80" s="111"/>
      <c r="P80" s="111"/>
      <c r="Q80" s="111"/>
      <c r="R80" s="111"/>
      <c r="S80" s="111"/>
      <c r="T80" s="111"/>
      <c r="U80" s="111"/>
      <c r="V80" s="111"/>
      <c r="W80" s="111"/>
      <c r="X80" s="111"/>
      <c r="Y80" s="111"/>
      <c r="Z80" s="111"/>
      <c r="AA80" s="111"/>
      <c r="AB80" s="111"/>
      <c r="AC80" s="111"/>
      <c r="AD80" s="111"/>
      <c r="AE80" s="111"/>
      <c r="AF80" s="111"/>
      <c r="AG80" s="105"/>
      <c r="AH80" s="105"/>
      <c r="AI80" s="105"/>
      <c r="AJ80" s="105"/>
      <c r="AK80" s="105"/>
      <c r="AL80" s="105"/>
      <c r="AM80" s="105"/>
      <c r="AN80" s="105"/>
      <c r="AO80" s="105"/>
      <c r="AP80" s="105"/>
      <c r="AQ80" s="105"/>
      <c r="AR80" s="105"/>
      <c r="AS80" s="105"/>
      <c r="AT80" s="105"/>
      <c r="AU80" s="105"/>
      <c r="AV80" s="105"/>
      <c r="AW80" s="105"/>
      <c r="AX80" s="105"/>
      <c r="AY80" s="105"/>
      <c r="AZ80" s="105"/>
      <c r="BA80" s="105"/>
    </row>
    <row r="81" spans="1:53" x14ac:dyDescent="0.35">
      <c r="A81" s="696">
        <v>0.39583333333333298</v>
      </c>
      <c r="B81" s="681" t="s">
        <v>1239</v>
      </c>
      <c r="C81" s="681" t="s">
        <v>1239</v>
      </c>
      <c r="D81" s="681" t="s">
        <v>1239</v>
      </c>
      <c r="E81" s="690"/>
      <c r="F81" s="682"/>
      <c r="G81" s="682"/>
      <c r="H81" s="682"/>
      <c r="I81" s="111"/>
      <c r="J81" s="111"/>
      <c r="K81" s="111"/>
      <c r="L81" s="111"/>
      <c r="M81" s="111"/>
      <c r="N81" s="111"/>
      <c r="O81" s="111"/>
      <c r="P81" s="111"/>
      <c r="Q81" s="111"/>
      <c r="R81" s="111"/>
      <c r="S81" s="111"/>
      <c r="T81" s="111"/>
      <c r="U81" s="111"/>
      <c r="V81" s="111"/>
      <c r="W81" s="111"/>
      <c r="X81" s="111"/>
      <c r="Y81" s="111"/>
      <c r="Z81" s="111"/>
      <c r="AA81" s="111"/>
      <c r="AB81" s="111"/>
      <c r="AC81" s="111"/>
      <c r="AD81" s="111"/>
      <c r="AE81" s="111"/>
      <c r="AF81" s="111"/>
      <c r="AG81" s="105"/>
      <c r="AH81" s="105"/>
      <c r="AI81" s="105"/>
      <c r="AJ81" s="105"/>
      <c r="AK81" s="105"/>
      <c r="AL81" s="105"/>
      <c r="AM81" s="105"/>
      <c r="AN81" s="105"/>
      <c r="AO81" s="105"/>
      <c r="AP81" s="105"/>
      <c r="AQ81" s="105"/>
      <c r="AR81" s="105"/>
      <c r="AS81" s="105"/>
      <c r="AT81" s="105"/>
      <c r="AU81" s="105"/>
      <c r="AV81" s="105"/>
      <c r="AW81" s="105"/>
      <c r="AX81" s="105"/>
      <c r="AY81" s="105"/>
      <c r="AZ81" s="105"/>
      <c r="BA81" s="105"/>
    </row>
    <row r="82" spans="1:53" x14ac:dyDescent="0.35">
      <c r="A82" s="695">
        <v>0.41666666666666702</v>
      </c>
      <c r="B82" s="685" t="s">
        <v>812</v>
      </c>
      <c r="C82" s="681" t="s">
        <v>1239</v>
      </c>
      <c r="D82" s="681" t="s">
        <v>1239</v>
      </c>
      <c r="E82" s="682"/>
      <c r="F82" s="682"/>
      <c r="G82" s="682"/>
      <c r="H82" s="682"/>
      <c r="I82" s="111"/>
      <c r="J82" s="111"/>
      <c r="K82" s="111"/>
      <c r="L82" s="111"/>
      <c r="M82" s="111"/>
      <c r="N82" s="111"/>
      <c r="O82" s="111"/>
      <c r="P82" s="111"/>
      <c r="Q82" s="111"/>
      <c r="R82" s="111"/>
      <c r="S82" s="111"/>
      <c r="T82" s="111"/>
      <c r="U82" s="111"/>
      <c r="V82" s="111"/>
      <c r="W82" s="111"/>
      <c r="X82" s="111"/>
      <c r="Y82" s="111"/>
      <c r="Z82" s="111"/>
      <c r="AA82" s="111"/>
      <c r="AB82" s="111"/>
      <c r="AC82" s="111"/>
      <c r="AD82" s="111"/>
      <c r="AE82" s="111"/>
      <c r="AF82" s="111"/>
      <c r="AG82" s="105"/>
      <c r="AH82" s="105"/>
      <c r="AI82" s="105"/>
      <c r="AJ82" s="105"/>
      <c r="AK82" s="105"/>
      <c r="AL82" s="105"/>
      <c r="AM82" s="105"/>
      <c r="AN82" s="105"/>
      <c r="AO82" s="105"/>
      <c r="AP82" s="105"/>
      <c r="AQ82" s="105"/>
      <c r="AR82" s="105"/>
      <c r="AS82" s="105"/>
      <c r="AT82" s="105"/>
      <c r="AU82" s="105"/>
      <c r="AV82" s="105"/>
      <c r="AW82" s="105"/>
      <c r="AX82" s="105"/>
      <c r="AY82" s="105"/>
      <c r="AZ82" s="105"/>
      <c r="BA82" s="105"/>
    </row>
    <row r="83" spans="1:53" x14ac:dyDescent="0.35">
      <c r="A83" s="696">
        <v>0.4375</v>
      </c>
      <c r="B83" s="685" t="s">
        <v>812</v>
      </c>
      <c r="C83" s="681" t="s">
        <v>1239</v>
      </c>
      <c r="D83" s="681" t="s">
        <v>1239</v>
      </c>
      <c r="E83" s="690"/>
      <c r="F83" s="682"/>
      <c r="G83" s="682"/>
      <c r="H83" s="682"/>
      <c r="I83" s="111"/>
      <c r="J83" s="111"/>
      <c r="K83" s="111"/>
      <c r="L83" s="111"/>
      <c r="M83" s="111"/>
      <c r="N83" s="111"/>
      <c r="O83" s="111"/>
      <c r="P83" s="111"/>
      <c r="Q83" s="111"/>
      <c r="R83" s="111"/>
      <c r="S83" s="111"/>
      <c r="T83" s="111"/>
      <c r="U83" s="111"/>
      <c r="V83" s="111"/>
      <c r="W83" s="111"/>
      <c r="X83" s="111"/>
      <c r="Y83" s="111"/>
      <c r="Z83" s="111"/>
      <c r="AA83" s="111"/>
      <c r="AB83" s="111"/>
      <c r="AC83" s="111"/>
      <c r="AD83" s="111"/>
      <c r="AE83" s="111"/>
      <c r="AF83" s="111"/>
      <c r="AG83" s="105"/>
      <c r="AH83" s="105"/>
      <c r="AI83" s="105"/>
      <c r="AJ83" s="105"/>
      <c r="AK83" s="105"/>
      <c r="AL83" s="105"/>
      <c r="AM83" s="105"/>
      <c r="AN83" s="105"/>
      <c r="AO83" s="105"/>
      <c r="AP83" s="105"/>
      <c r="AQ83" s="105"/>
      <c r="AR83" s="105"/>
      <c r="AS83" s="105"/>
      <c r="AT83" s="105"/>
      <c r="AU83" s="105"/>
      <c r="AV83" s="105"/>
      <c r="AW83" s="105"/>
      <c r="AX83" s="105"/>
      <c r="AY83" s="105"/>
      <c r="AZ83" s="105"/>
      <c r="BA83" s="105"/>
    </row>
    <row r="84" spans="1:53" x14ac:dyDescent="0.35">
      <c r="A84" s="695">
        <v>0.45833333333333298</v>
      </c>
      <c r="B84" s="687" t="s">
        <v>813</v>
      </c>
      <c r="C84" s="681" t="s">
        <v>1239</v>
      </c>
      <c r="D84" s="681" t="s">
        <v>1239</v>
      </c>
      <c r="E84" s="690"/>
      <c r="F84" s="682"/>
      <c r="G84" s="682"/>
      <c r="H84" s="682"/>
      <c r="I84" s="111"/>
      <c r="J84" s="111"/>
      <c r="K84" s="111"/>
      <c r="L84" s="111"/>
      <c r="M84" s="111"/>
      <c r="N84" s="111"/>
      <c r="O84" s="111"/>
      <c r="P84" s="111"/>
      <c r="Q84" s="111"/>
      <c r="R84" s="111"/>
      <c r="S84" s="111"/>
      <c r="T84" s="111"/>
      <c r="U84" s="111"/>
      <c r="V84" s="111"/>
      <c r="W84" s="111"/>
      <c r="X84" s="111"/>
      <c r="Y84" s="111"/>
      <c r="Z84" s="111"/>
      <c r="AA84" s="111"/>
      <c r="AB84" s="111"/>
      <c r="AC84" s="111"/>
      <c r="AD84" s="111"/>
      <c r="AE84" s="111"/>
      <c r="AF84" s="111"/>
      <c r="AG84" s="105"/>
      <c r="AH84" s="105"/>
      <c r="AI84" s="105"/>
      <c r="AJ84" s="105"/>
      <c r="AK84" s="105"/>
      <c r="AL84" s="105"/>
      <c r="AM84" s="105"/>
      <c r="AN84" s="105"/>
      <c r="AO84" s="105"/>
      <c r="AP84" s="105"/>
      <c r="AQ84" s="105"/>
      <c r="AR84" s="105"/>
      <c r="AS84" s="105"/>
      <c r="AT84" s="105"/>
      <c r="AU84" s="105"/>
      <c r="AV84" s="105"/>
      <c r="AW84" s="105"/>
      <c r="AX84" s="105"/>
      <c r="AY84" s="105"/>
      <c r="AZ84" s="105"/>
      <c r="BA84" s="105"/>
    </row>
    <row r="85" spans="1:53" x14ac:dyDescent="0.35">
      <c r="A85" s="696">
        <v>0.47916666666666702</v>
      </c>
      <c r="B85" s="687" t="s">
        <v>813</v>
      </c>
      <c r="C85" s="681" t="s">
        <v>1239</v>
      </c>
      <c r="D85" s="681" t="s">
        <v>1239</v>
      </c>
      <c r="E85" s="690"/>
      <c r="F85" s="682"/>
      <c r="G85" s="682"/>
      <c r="H85" s="682"/>
      <c r="I85" s="111"/>
      <c r="J85" s="111"/>
      <c r="K85" s="111"/>
      <c r="L85" s="111"/>
      <c r="M85" s="111"/>
      <c r="N85" s="111"/>
      <c r="O85" s="111"/>
      <c r="P85" s="111"/>
      <c r="Q85" s="111"/>
      <c r="R85" s="111"/>
      <c r="S85" s="111"/>
      <c r="T85" s="111"/>
      <c r="U85" s="111"/>
      <c r="V85" s="111"/>
      <c r="W85" s="111"/>
      <c r="X85" s="111"/>
      <c r="Y85" s="111"/>
      <c r="Z85" s="111"/>
      <c r="AA85" s="111"/>
      <c r="AB85" s="111"/>
      <c r="AC85" s="111"/>
      <c r="AD85" s="111"/>
      <c r="AE85" s="111"/>
      <c r="AF85" s="111"/>
      <c r="AG85" s="105"/>
      <c r="AH85" s="105"/>
      <c r="AI85" s="105"/>
      <c r="AJ85" s="105"/>
      <c r="AK85" s="105"/>
      <c r="AL85" s="105"/>
      <c r="AM85" s="105"/>
      <c r="AN85" s="105"/>
      <c r="AO85" s="105"/>
      <c r="AP85" s="105"/>
      <c r="AQ85" s="105"/>
      <c r="AR85" s="105"/>
      <c r="AS85" s="105"/>
      <c r="AT85" s="105"/>
      <c r="AU85" s="105"/>
      <c r="AV85" s="105"/>
      <c r="AW85" s="105"/>
      <c r="AX85" s="105"/>
      <c r="AY85" s="105"/>
      <c r="AZ85" s="105"/>
      <c r="BA85" s="105"/>
    </row>
    <row r="86" spans="1:53" x14ac:dyDescent="0.35">
      <c r="A86" s="691">
        <v>0.5</v>
      </c>
      <c r="B86" s="683" t="s">
        <v>815</v>
      </c>
      <c r="C86" s="683" t="s">
        <v>815</v>
      </c>
      <c r="D86" s="683" t="s">
        <v>815</v>
      </c>
      <c r="E86" s="690"/>
      <c r="F86" s="682"/>
      <c r="G86" s="682"/>
      <c r="H86" s="682"/>
      <c r="I86" s="111"/>
      <c r="J86" s="111"/>
      <c r="K86" s="111"/>
      <c r="L86" s="111"/>
      <c r="M86" s="111"/>
      <c r="N86" s="111"/>
      <c r="O86" s="111"/>
      <c r="P86" s="111"/>
      <c r="Q86" s="111"/>
      <c r="R86" s="111"/>
      <c r="S86" s="111"/>
      <c r="T86" s="111"/>
      <c r="U86" s="111"/>
      <c r="V86" s="111"/>
      <c r="W86" s="111"/>
      <c r="X86" s="111"/>
      <c r="Y86" s="111"/>
      <c r="Z86" s="111"/>
      <c r="AA86" s="111"/>
      <c r="AB86" s="111"/>
      <c r="AC86" s="111"/>
      <c r="AD86" s="111"/>
      <c r="AE86" s="111"/>
      <c r="AF86" s="111"/>
      <c r="AG86" s="105"/>
      <c r="AH86" s="105"/>
      <c r="AI86" s="105"/>
      <c r="AJ86" s="105"/>
      <c r="AK86" s="105"/>
      <c r="AL86" s="105"/>
      <c r="AM86" s="105"/>
      <c r="AN86" s="105"/>
      <c r="AO86" s="105"/>
      <c r="AP86" s="105"/>
      <c r="AQ86" s="105"/>
      <c r="AR86" s="105"/>
      <c r="AS86" s="105"/>
      <c r="AT86" s="105"/>
      <c r="AU86" s="105"/>
      <c r="AV86" s="105"/>
      <c r="AW86" s="105"/>
      <c r="AX86" s="105"/>
      <c r="AY86" s="105"/>
      <c r="AZ86" s="105"/>
      <c r="BA86" s="105"/>
    </row>
    <row r="87" spans="1:53" x14ac:dyDescent="0.35">
      <c r="A87" s="692">
        <v>0.52083333333333304</v>
      </c>
      <c r="B87" s="683" t="s">
        <v>815</v>
      </c>
      <c r="C87" s="683" t="s">
        <v>815</v>
      </c>
      <c r="D87" s="683" t="s">
        <v>815</v>
      </c>
      <c r="E87" s="690"/>
      <c r="F87" s="682"/>
      <c r="G87" s="682"/>
      <c r="H87" s="682"/>
      <c r="I87" s="111"/>
      <c r="J87" s="111"/>
      <c r="K87" s="111"/>
      <c r="L87" s="111"/>
      <c r="M87" s="111"/>
      <c r="N87" s="111"/>
      <c r="O87" s="111"/>
      <c r="P87" s="111"/>
      <c r="Q87" s="111"/>
      <c r="R87" s="111"/>
      <c r="S87" s="111"/>
      <c r="T87" s="111"/>
      <c r="U87" s="111"/>
      <c r="V87" s="111"/>
      <c r="W87" s="111"/>
      <c r="X87" s="111"/>
      <c r="Y87" s="111"/>
      <c r="Z87" s="111"/>
      <c r="AA87" s="111"/>
      <c r="AB87" s="111"/>
      <c r="AC87" s="111"/>
      <c r="AD87" s="111"/>
      <c r="AE87" s="111"/>
      <c r="AF87" s="111"/>
      <c r="AG87" s="105"/>
      <c r="AH87" s="105"/>
      <c r="AI87" s="105"/>
      <c r="AJ87" s="105"/>
      <c r="AK87" s="105"/>
      <c r="AL87" s="105"/>
      <c r="AM87" s="105"/>
      <c r="AN87" s="105"/>
      <c r="AO87" s="105"/>
      <c r="AP87" s="105"/>
      <c r="AQ87" s="105"/>
      <c r="AR87" s="105"/>
      <c r="AS87" s="105"/>
      <c r="AT87" s="105"/>
      <c r="AU87" s="105"/>
      <c r="AV87" s="105"/>
      <c r="AW87" s="105"/>
      <c r="AX87" s="105"/>
      <c r="AY87" s="105"/>
      <c r="AZ87" s="105"/>
      <c r="BA87" s="105"/>
    </row>
    <row r="88" spans="1:53" x14ac:dyDescent="0.35">
      <c r="A88" s="693">
        <v>0.54166666666666696</v>
      </c>
      <c r="B88" s="681" t="s">
        <v>1239</v>
      </c>
      <c r="C88" s="685" t="s">
        <v>812</v>
      </c>
      <c r="D88" s="681" t="s">
        <v>1239</v>
      </c>
      <c r="E88" s="690"/>
      <c r="F88" s="682"/>
      <c r="G88" s="682"/>
      <c r="H88" s="682"/>
      <c r="I88" s="111"/>
      <c r="J88" s="111"/>
      <c r="K88" s="111"/>
      <c r="L88" s="111"/>
      <c r="M88" s="111"/>
      <c r="N88" s="111"/>
      <c r="O88" s="111"/>
      <c r="P88" s="111"/>
      <c r="Q88" s="111"/>
      <c r="R88" s="111"/>
      <c r="S88" s="111"/>
      <c r="T88" s="111"/>
      <c r="U88" s="111"/>
      <c r="V88" s="111"/>
      <c r="W88" s="111"/>
      <c r="X88" s="111"/>
      <c r="Y88" s="111"/>
      <c r="Z88" s="111"/>
      <c r="AA88" s="111"/>
      <c r="AB88" s="111"/>
      <c r="AC88" s="111"/>
      <c r="AD88" s="111"/>
      <c r="AE88" s="111"/>
      <c r="AF88" s="111"/>
      <c r="AG88" s="105"/>
      <c r="AH88" s="105"/>
      <c r="AI88" s="105"/>
      <c r="AJ88" s="105"/>
      <c r="AK88" s="105"/>
      <c r="AL88" s="105"/>
      <c r="AM88" s="105"/>
      <c r="AN88" s="105"/>
      <c r="AO88" s="105"/>
      <c r="AP88" s="105"/>
      <c r="AQ88" s="105"/>
      <c r="AR88" s="105"/>
      <c r="AS88" s="105"/>
      <c r="AT88" s="105"/>
      <c r="AU88" s="105"/>
      <c r="AV88" s="105"/>
      <c r="AW88" s="105"/>
      <c r="AX88" s="105"/>
      <c r="AY88" s="105"/>
      <c r="AZ88" s="105"/>
      <c r="BA88" s="105"/>
    </row>
    <row r="89" spans="1:53" x14ac:dyDescent="0.35">
      <c r="A89" s="692">
        <v>0.5625</v>
      </c>
      <c r="B89" s="681" t="s">
        <v>1239</v>
      </c>
      <c r="C89" s="685" t="s">
        <v>812</v>
      </c>
      <c r="D89" s="681" t="s">
        <v>1239</v>
      </c>
      <c r="E89" s="690"/>
      <c r="F89" s="682"/>
      <c r="G89" s="682"/>
      <c r="H89" s="682"/>
      <c r="I89" s="111"/>
      <c r="J89" s="111"/>
      <c r="K89" s="111"/>
      <c r="L89" s="111"/>
      <c r="M89" s="111"/>
      <c r="N89" s="111"/>
      <c r="O89" s="111"/>
      <c r="P89" s="111"/>
      <c r="Q89" s="111"/>
      <c r="R89" s="111"/>
      <c r="S89" s="111"/>
      <c r="T89" s="111"/>
      <c r="U89" s="111"/>
      <c r="V89" s="111"/>
      <c r="W89" s="111"/>
      <c r="X89" s="111"/>
      <c r="Y89" s="111"/>
      <c r="Z89" s="111"/>
      <c r="AA89" s="111"/>
      <c r="AB89" s="111"/>
      <c r="AC89" s="111"/>
      <c r="AD89" s="111"/>
      <c r="AE89" s="111"/>
      <c r="AF89" s="111"/>
      <c r="AG89" s="105"/>
      <c r="AH89" s="105"/>
      <c r="AI89" s="105"/>
      <c r="AJ89" s="105"/>
      <c r="AK89" s="105"/>
      <c r="AL89" s="105"/>
      <c r="AM89" s="105"/>
      <c r="AN89" s="105"/>
      <c r="AO89" s="105"/>
      <c r="AP89" s="105"/>
      <c r="AQ89" s="105"/>
      <c r="AR89" s="105"/>
      <c r="AS89" s="105"/>
      <c r="AT89" s="105"/>
      <c r="AU89" s="105"/>
      <c r="AV89" s="105"/>
      <c r="AW89" s="105"/>
      <c r="AX89" s="105"/>
      <c r="AY89" s="105"/>
      <c r="AZ89" s="105"/>
      <c r="BA89" s="105"/>
    </row>
    <row r="90" spans="1:53" x14ac:dyDescent="0.35">
      <c r="A90" s="693">
        <v>0.58333333333333304</v>
      </c>
      <c r="B90" s="681" t="s">
        <v>1239</v>
      </c>
      <c r="C90" s="687" t="s">
        <v>813</v>
      </c>
      <c r="D90" s="681" t="s">
        <v>1239</v>
      </c>
      <c r="E90" s="690"/>
      <c r="F90" s="682"/>
      <c r="G90" s="682"/>
      <c r="H90" s="682"/>
      <c r="I90" s="111"/>
      <c r="J90" s="111"/>
      <c r="K90" s="111"/>
      <c r="L90" s="111"/>
      <c r="M90" s="111"/>
      <c r="N90" s="111"/>
      <c r="O90" s="111"/>
      <c r="P90" s="111"/>
      <c r="Q90" s="111"/>
      <c r="R90" s="111"/>
      <c r="S90" s="111"/>
      <c r="T90" s="111"/>
      <c r="U90" s="111"/>
      <c r="V90" s="111"/>
      <c r="W90" s="111"/>
      <c r="X90" s="111"/>
      <c r="Y90" s="111"/>
      <c r="Z90" s="111"/>
      <c r="AA90" s="111"/>
      <c r="AB90" s="111"/>
      <c r="AC90" s="111"/>
      <c r="AD90" s="111"/>
      <c r="AE90" s="111"/>
      <c r="AF90" s="111"/>
      <c r="AG90" s="105"/>
      <c r="AH90" s="105"/>
      <c r="AI90" s="105"/>
      <c r="AJ90" s="105"/>
      <c r="AK90" s="105"/>
      <c r="AL90" s="105"/>
      <c r="AM90" s="105"/>
      <c r="AN90" s="105"/>
      <c r="AO90" s="105"/>
      <c r="AP90" s="105"/>
      <c r="AQ90" s="105"/>
      <c r="AR90" s="105"/>
      <c r="AS90" s="105"/>
      <c r="AT90" s="105"/>
      <c r="AU90" s="105"/>
      <c r="AV90" s="105"/>
      <c r="AW90" s="105"/>
      <c r="AX90" s="105"/>
      <c r="AY90" s="105"/>
      <c r="AZ90" s="105"/>
      <c r="BA90" s="105"/>
    </row>
    <row r="91" spans="1:53" x14ac:dyDescent="0.35">
      <c r="A91" s="692">
        <v>0.60416666666666696</v>
      </c>
      <c r="B91" s="681" t="s">
        <v>1239</v>
      </c>
      <c r="C91" s="687" t="s">
        <v>813</v>
      </c>
      <c r="D91" s="681" t="s">
        <v>1239</v>
      </c>
      <c r="E91" s="690"/>
      <c r="F91" s="682"/>
      <c r="G91" s="682"/>
      <c r="H91" s="682"/>
      <c r="I91" s="111"/>
      <c r="J91" s="111"/>
      <c r="K91" s="111"/>
      <c r="L91" s="111"/>
      <c r="M91" s="111"/>
      <c r="N91" s="111"/>
      <c r="O91" s="111"/>
      <c r="P91" s="111"/>
      <c r="Q91" s="111"/>
      <c r="R91" s="111"/>
      <c r="S91" s="111"/>
      <c r="T91" s="111"/>
      <c r="U91" s="111"/>
      <c r="V91" s="111"/>
      <c r="W91" s="111"/>
      <c r="X91" s="111"/>
      <c r="Y91" s="111"/>
      <c r="Z91" s="111"/>
      <c r="AA91" s="111"/>
      <c r="AB91" s="111"/>
      <c r="AC91" s="111"/>
      <c r="AD91" s="111"/>
      <c r="AE91" s="111"/>
      <c r="AF91" s="111"/>
      <c r="AG91" s="105"/>
      <c r="AH91" s="105"/>
      <c r="AI91" s="105"/>
      <c r="AJ91" s="105"/>
      <c r="AK91" s="105"/>
      <c r="AL91" s="105"/>
      <c r="AM91" s="105"/>
      <c r="AN91" s="105"/>
      <c r="AO91" s="105"/>
      <c r="AP91" s="105"/>
      <c r="AQ91" s="105"/>
      <c r="AR91" s="105"/>
      <c r="AS91" s="105"/>
      <c r="AT91" s="105"/>
      <c r="AU91" s="105"/>
      <c r="AV91" s="105"/>
      <c r="AW91" s="105"/>
      <c r="AX91" s="105"/>
      <c r="AY91" s="105"/>
      <c r="AZ91" s="105"/>
      <c r="BA91" s="105"/>
    </row>
    <row r="92" spans="1:53" x14ac:dyDescent="0.35">
      <c r="A92" s="693">
        <v>0.625</v>
      </c>
      <c r="B92" s="681" t="s">
        <v>1239</v>
      </c>
      <c r="C92" s="681" t="s">
        <v>1239</v>
      </c>
      <c r="D92" s="681" t="s">
        <v>1239</v>
      </c>
      <c r="E92" s="690"/>
      <c r="F92" s="682"/>
      <c r="G92" s="682"/>
      <c r="H92" s="682"/>
      <c r="I92" s="111"/>
      <c r="J92" s="111"/>
      <c r="K92" s="111"/>
      <c r="L92" s="111"/>
      <c r="M92" s="111"/>
      <c r="N92" s="111"/>
      <c r="O92" s="111"/>
      <c r="P92" s="111"/>
      <c r="Q92" s="111"/>
      <c r="R92" s="111"/>
      <c r="S92" s="111"/>
      <c r="T92" s="111"/>
      <c r="U92" s="111"/>
      <c r="V92" s="111"/>
      <c r="W92" s="111"/>
      <c r="X92" s="111"/>
      <c r="Y92" s="111"/>
      <c r="Z92" s="111"/>
      <c r="AA92" s="111"/>
      <c r="AB92" s="111"/>
      <c r="AC92" s="111"/>
      <c r="AD92" s="111"/>
      <c r="AE92" s="111"/>
      <c r="AF92" s="111"/>
      <c r="AG92" s="105"/>
      <c r="AH92" s="105"/>
      <c r="AI92" s="105"/>
      <c r="AJ92" s="105"/>
      <c r="AK92" s="105"/>
      <c r="AL92" s="105"/>
      <c r="AM92" s="105"/>
      <c r="AN92" s="105"/>
      <c r="AO92" s="105"/>
      <c r="AP92" s="105"/>
      <c r="AQ92" s="105"/>
      <c r="AR92" s="105"/>
      <c r="AS92" s="105"/>
      <c r="AT92" s="105"/>
      <c r="AU92" s="105"/>
      <c r="AV92" s="105"/>
      <c r="AW92" s="105"/>
      <c r="AX92" s="105"/>
      <c r="AY92" s="105"/>
      <c r="AZ92" s="105"/>
      <c r="BA92" s="105"/>
    </row>
    <row r="93" spans="1:53" x14ac:dyDescent="0.35">
      <c r="A93" s="692">
        <v>0.64583333333333304</v>
      </c>
      <c r="B93" s="681" t="s">
        <v>1239</v>
      </c>
      <c r="C93" s="681" t="s">
        <v>1239</v>
      </c>
      <c r="D93" s="681" t="s">
        <v>1239</v>
      </c>
      <c r="E93" s="690"/>
      <c r="F93" s="682"/>
      <c r="G93" s="682"/>
      <c r="H93" s="682"/>
      <c r="I93" s="111"/>
      <c r="J93" s="111"/>
      <c r="K93" s="111"/>
      <c r="L93" s="111"/>
      <c r="M93" s="111"/>
      <c r="N93" s="111"/>
      <c r="O93" s="111"/>
      <c r="P93" s="111"/>
      <c r="Q93" s="111"/>
      <c r="R93" s="111"/>
      <c r="S93" s="111"/>
      <c r="T93" s="111"/>
      <c r="U93" s="111"/>
      <c r="V93" s="111"/>
      <c r="W93" s="111"/>
      <c r="X93" s="111"/>
      <c r="Y93" s="111"/>
      <c r="Z93" s="111"/>
      <c r="AA93" s="111"/>
      <c r="AB93" s="111"/>
      <c r="AC93" s="111"/>
      <c r="AD93" s="111"/>
      <c r="AE93" s="111"/>
      <c r="AF93" s="111"/>
      <c r="AG93" s="105"/>
      <c r="AH93" s="105"/>
      <c r="AI93" s="105"/>
      <c r="AJ93" s="105"/>
      <c r="AK93" s="105"/>
      <c r="AL93" s="105"/>
      <c r="AM93" s="105"/>
      <c r="AN93" s="105"/>
      <c r="AO93" s="105"/>
      <c r="AP93" s="105"/>
      <c r="AQ93" s="105"/>
      <c r="AR93" s="105"/>
      <c r="AS93" s="105"/>
      <c r="AT93" s="105"/>
      <c r="AU93" s="105"/>
      <c r="AV93" s="105"/>
      <c r="AW93" s="105"/>
      <c r="AX93" s="105"/>
      <c r="AY93" s="105"/>
      <c r="AZ93" s="105"/>
      <c r="BA93" s="105"/>
    </row>
    <row r="94" spans="1:53" x14ac:dyDescent="0.35">
      <c r="A94" s="693">
        <v>0.66666666666666696</v>
      </c>
      <c r="B94" s="681" t="s">
        <v>1239</v>
      </c>
      <c r="C94" s="681" t="s">
        <v>1239</v>
      </c>
      <c r="D94" s="685" t="s">
        <v>812</v>
      </c>
      <c r="E94" s="690"/>
      <c r="F94" s="682"/>
      <c r="G94" s="682"/>
      <c r="H94" s="682"/>
      <c r="I94" s="111"/>
      <c r="J94" s="111"/>
      <c r="K94" s="111"/>
      <c r="L94" s="111"/>
      <c r="M94" s="111"/>
      <c r="N94" s="111"/>
      <c r="O94" s="111"/>
      <c r="P94" s="111"/>
      <c r="Q94" s="111"/>
      <c r="R94" s="111"/>
      <c r="S94" s="111"/>
      <c r="T94" s="111"/>
      <c r="U94" s="111"/>
      <c r="V94" s="111"/>
      <c r="W94" s="111"/>
      <c r="X94" s="111"/>
      <c r="Y94" s="111"/>
      <c r="Z94" s="111"/>
      <c r="AA94" s="111"/>
      <c r="AB94" s="111"/>
      <c r="AC94" s="111"/>
      <c r="AD94" s="111"/>
      <c r="AE94" s="111"/>
      <c r="AF94" s="111"/>
      <c r="AG94" s="105"/>
      <c r="AH94" s="105"/>
      <c r="AI94" s="105"/>
      <c r="AJ94" s="105"/>
      <c r="AK94" s="105"/>
      <c r="AL94" s="105"/>
      <c r="AM94" s="105"/>
      <c r="AN94" s="105"/>
      <c r="AO94" s="105"/>
      <c r="AP94" s="105"/>
      <c r="AQ94" s="105"/>
      <c r="AR94" s="105"/>
      <c r="AS94" s="105"/>
      <c r="AT94" s="105"/>
      <c r="AU94" s="105"/>
      <c r="AV94" s="105"/>
      <c r="AW94" s="105"/>
      <c r="AX94" s="105"/>
      <c r="AY94" s="105"/>
      <c r="AZ94" s="105"/>
      <c r="BA94" s="105"/>
    </row>
    <row r="95" spans="1:53" x14ac:dyDescent="0.35">
      <c r="A95" s="692">
        <v>0.6875</v>
      </c>
      <c r="B95" s="681" t="s">
        <v>1239</v>
      </c>
      <c r="C95" s="681" t="s">
        <v>1239</v>
      </c>
      <c r="D95" s="685" t="s">
        <v>812</v>
      </c>
      <c r="E95" s="690"/>
      <c r="F95" s="682"/>
      <c r="G95" s="682"/>
      <c r="H95" s="682"/>
      <c r="I95" s="111"/>
      <c r="J95" s="111"/>
      <c r="K95" s="111"/>
      <c r="L95" s="111"/>
      <c r="M95" s="111"/>
      <c r="N95" s="111"/>
      <c r="O95" s="111"/>
      <c r="P95" s="111"/>
      <c r="Q95" s="111"/>
      <c r="R95" s="111"/>
      <c r="S95" s="111"/>
      <c r="T95" s="111"/>
      <c r="U95" s="111"/>
      <c r="V95" s="111"/>
      <c r="W95" s="111"/>
      <c r="X95" s="111"/>
      <c r="Y95" s="111"/>
      <c r="Z95" s="111"/>
      <c r="AA95" s="111"/>
      <c r="AB95" s="111"/>
      <c r="AC95" s="111"/>
      <c r="AD95" s="111"/>
      <c r="AE95" s="111"/>
      <c r="AF95" s="111"/>
      <c r="AG95" s="105"/>
      <c r="AH95" s="105"/>
      <c r="AI95" s="105"/>
      <c r="AJ95" s="105"/>
      <c r="AK95" s="105"/>
      <c r="AL95" s="105"/>
      <c r="AM95" s="105"/>
      <c r="AN95" s="105"/>
      <c r="AO95" s="105"/>
      <c r="AP95" s="105"/>
      <c r="AQ95" s="105"/>
      <c r="AR95" s="105"/>
      <c r="AS95" s="105"/>
      <c r="AT95" s="105"/>
      <c r="AU95" s="105"/>
      <c r="AV95" s="105"/>
      <c r="AW95" s="105"/>
      <c r="AX95" s="105"/>
      <c r="AY95" s="105"/>
      <c r="AZ95" s="105"/>
      <c r="BA95" s="105"/>
    </row>
    <row r="96" spans="1:53" x14ac:dyDescent="0.35">
      <c r="A96" s="693">
        <v>0.70833333333333304</v>
      </c>
      <c r="B96" s="680" t="s">
        <v>811</v>
      </c>
      <c r="C96" s="680" t="s">
        <v>811</v>
      </c>
      <c r="D96" s="687" t="s">
        <v>813</v>
      </c>
      <c r="E96" s="690"/>
      <c r="F96" s="682"/>
      <c r="G96" s="682"/>
      <c r="H96" s="682"/>
      <c r="I96" s="111"/>
      <c r="J96" s="111"/>
      <c r="K96" s="111"/>
      <c r="L96" s="111"/>
      <c r="M96" s="111"/>
      <c r="N96" s="111"/>
      <c r="O96" s="111"/>
      <c r="P96" s="111"/>
      <c r="Q96" s="111"/>
      <c r="R96" s="111"/>
      <c r="S96" s="111"/>
      <c r="T96" s="111"/>
      <c r="U96" s="111"/>
      <c r="V96" s="111"/>
      <c r="W96" s="111"/>
      <c r="X96" s="111"/>
      <c r="Y96" s="111"/>
      <c r="Z96" s="111"/>
      <c r="AA96" s="111"/>
      <c r="AB96" s="111"/>
      <c r="AC96" s="111"/>
      <c r="AD96" s="111"/>
      <c r="AE96" s="111"/>
      <c r="AF96" s="111"/>
      <c r="AG96" s="105"/>
      <c r="AH96" s="105"/>
      <c r="AI96" s="105"/>
      <c r="AJ96" s="105"/>
      <c r="AK96" s="105"/>
      <c r="AL96" s="105"/>
      <c r="AM96" s="105"/>
      <c r="AN96" s="105"/>
      <c r="AO96" s="105"/>
      <c r="AP96" s="105"/>
      <c r="AQ96" s="105"/>
      <c r="AR96" s="105"/>
      <c r="AS96" s="105"/>
      <c r="AT96" s="105"/>
      <c r="AU96" s="105"/>
      <c r="AV96" s="105"/>
      <c r="AW96" s="105"/>
      <c r="AX96" s="105"/>
      <c r="AY96" s="105"/>
      <c r="AZ96" s="105"/>
      <c r="BA96" s="105"/>
    </row>
    <row r="97" spans="1:53" x14ac:dyDescent="0.35">
      <c r="A97" s="692">
        <v>0.72916666666666696</v>
      </c>
      <c r="B97" s="680" t="s">
        <v>811</v>
      </c>
      <c r="C97" s="680" t="s">
        <v>811</v>
      </c>
      <c r="D97" s="687" t="s">
        <v>813</v>
      </c>
      <c r="E97" s="690"/>
      <c r="F97" s="682"/>
      <c r="G97" s="682"/>
      <c r="H97" s="682"/>
      <c r="I97" s="111"/>
      <c r="J97" s="111"/>
      <c r="K97" s="111"/>
      <c r="L97" s="111"/>
      <c r="M97" s="111"/>
      <c r="N97" s="111"/>
      <c r="O97" s="111"/>
      <c r="P97" s="111"/>
      <c r="Q97" s="111"/>
      <c r="R97" s="111"/>
      <c r="S97" s="111"/>
      <c r="T97" s="111"/>
      <c r="U97" s="111"/>
      <c r="V97" s="111"/>
      <c r="W97" s="111"/>
      <c r="X97" s="111"/>
      <c r="Y97" s="111"/>
      <c r="Z97" s="111"/>
      <c r="AA97" s="111"/>
      <c r="AB97" s="111"/>
      <c r="AC97" s="111"/>
      <c r="AD97" s="111"/>
      <c r="AE97" s="111"/>
      <c r="AF97" s="111"/>
      <c r="AG97" s="105"/>
      <c r="AH97" s="105"/>
      <c r="AI97" s="105"/>
      <c r="AJ97" s="105"/>
      <c r="AK97" s="105"/>
      <c r="AL97" s="105"/>
      <c r="AM97" s="105"/>
      <c r="AN97" s="105"/>
      <c r="AO97" s="105"/>
      <c r="AP97" s="105"/>
      <c r="AQ97" s="105"/>
      <c r="AR97" s="105"/>
      <c r="AS97" s="105"/>
      <c r="AT97" s="105"/>
      <c r="AU97" s="105"/>
      <c r="AV97" s="105"/>
      <c r="AW97" s="105"/>
      <c r="AX97" s="105"/>
      <c r="AY97" s="105"/>
      <c r="AZ97" s="105"/>
      <c r="BA97" s="105"/>
    </row>
    <row r="98" spans="1:53" x14ac:dyDescent="0.35">
      <c r="A98" s="693">
        <v>0.75</v>
      </c>
      <c r="B98" s="680" t="s">
        <v>811</v>
      </c>
      <c r="C98" s="680" t="s">
        <v>811</v>
      </c>
      <c r="D98" s="680" t="s">
        <v>811</v>
      </c>
      <c r="E98" s="690"/>
      <c r="F98" s="682"/>
      <c r="G98" s="682"/>
      <c r="H98" s="682"/>
      <c r="I98" s="111"/>
      <c r="J98" s="111"/>
      <c r="K98" s="111"/>
      <c r="L98" s="111"/>
      <c r="M98" s="111"/>
      <c r="N98" s="111"/>
      <c r="O98" s="111"/>
      <c r="P98" s="111"/>
      <c r="Q98" s="111"/>
      <c r="R98" s="111"/>
      <c r="S98" s="111"/>
      <c r="T98" s="111"/>
      <c r="U98" s="111"/>
      <c r="V98" s="111"/>
      <c r="W98" s="111"/>
      <c r="X98" s="111"/>
      <c r="Y98" s="111"/>
      <c r="Z98" s="111"/>
      <c r="AA98" s="111"/>
      <c r="AB98" s="111"/>
      <c r="AC98" s="111"/>
      <c r="AD98" s="111"/>
      <c r="AE98" s="111"/>
      <c r="AF98" s="111"/>
      <c r="AG98" s="105"/>
      <c r="AH98" s="105"/>
      <c r="AI98" s="105"/>
      <c r="AJ98" s="105"/>
      <c r="AK98" s="105"/>
      <c r="AL98" s="105"/>
      <c r="AM98" s="105"/>
      <c r="AN98" s="105"/>
      <c r="AO98" s="105"/>
      <c r="AP98" s="105"/>
      <c r="AQ98" s="105"/>
      <c r="AR98" s="105"/>
      <c r="AS98" s="105"/>
      <c r="AT98" s="105"/>
      <c r="AU98" s="105"/>
      <c r="AV98" s="105"/>
      <c r="AW98" s="105"/>
      <c r="AX98" s="105"/>
      <c r="AY98" s="105"/>
      <c r="AZ98" s="105"/>
      <c r="BA98" s="105"/>
    </row>
    <row r="99" spans="1:53" x14ac:dyDescent="0.35">
      <c r="A99" s="692">
        <v>0.77083333333333304</v>
      </c>
      <c r="B99" s="680" t="s">
        <v>811</v>
      </c>
      <c r="C99" s="680" t="s">
        <v>811</v>
      </c>
      <c r="D99" s="680" t="s">
        <v>811</v>
      </c>
      <c r="E99" s="690"/>
      <c r="F99" s="682"/>
      <c r="G99" s="682"/>
      <c r="H99" s="682"/>
      <c r="I99" s="111"/>
      <c r="J99" s="111"/>
      <c r="K99" s="111"/>
      <c r="L99" s="111"/>
      <c r="M99" s="111"/>
      <c r="N99" s="111"/>
      <c r="O99" s="111"/>
      <c r="P99" s="111"/>
      <c r="Q99" s="111"/>
      <c r="R99" s="111"/>
      <c r="S99" s="111"/>
      <c r="T99" s="111"/>
      <c r="U99" s="111"/>
      <c r="V99" s="111"/>
      <c r="W99" s="111"/>
      <c r="X99" s="111"/>
      <c r="Y99" s="111"/>
      <c r="Z99" s="111"/>
      <c r="AA99" s="111"/>
      <c r="AB99" s="111"/>
      <c r="AC99" s="111"/>
      <c r="AD99" s="111"/>
      <c r="AE99" s="111"/>
      <c r="AF99" s="111"/>
      <c r="AG99" s="105"/>
      <c r="AH99" s="105"/>
      <c r="AI99" s="105"/>
      <c r="AJ99" s="105"/>
      <c r="AK99" s="105"/>
      <c r="AL99" s="105"/>
      <c r="AM99" s="105"/>
      <c r="AN99" s="105"/>
      <c r="AO99" s="105"/>
      <c r="AP99" s="105"/>
      <c r="AQ99" s="105"/>
      <c r="AR99" s="105"/>
      <c r="AS99" s="105"/>
      <c r="AT99" s="105"/>
      <c r="AU99" s="105"/>
      <c r="AV99" s="105"/>
      <c r="AW99" s="105"/>
      <c r="AX99" s="105"/>
      <c r="AY99" s="105"/>
      <c r="AZ99" s="105"/>
      <c r="BA99" s="105"/>
    </row>
    <row r="100" spans="1:53" x14ac:dyDescent="0.35">
      <c r="A100" s="693">
        <v>0.79166666666666696</v>
      </c>
      <c r="B100" s="683" t="s">
        <v>816</v>
      </c>
      <c r="C100" s="683" t="s">
        <v>816</v>
      </c>
      <c r="D100" s="683" t="s">
        <v>816</v>
      </c>
      <c r="E100" s="690"/>
      <c r="F100" s="682"/>
      <c r="G100" s="682"/>
      <c r="H100" s="682"/>
      <c r="I100" s="111"/>
      <c r="J100" s="111"/>
      <c r="K100" s="111"/>
      <c r="L100" s="111"/>
      <c r="M100" s="111"/>
      <c r="N100" s="111"/>
      <c r="O100" s="111"/>
      <c r="P100" s="111"/>
      <c r="Q100" s="111"/>
      <c r="R100" s="111"/>
      <c r="S100" s="111"/>
      <c r="T100" s="111"/>
      <c r="U100" s="111"/>
      <c r="V100" s="111"/>
      <c r="W100" s="111"/>
      <c r="X100" s="111"/>
      <c r="Y100" s="111"/>
      <c r="Z100" s="111"/>
      <c r="AA100" s="111"/>
      <c r="AB100" s="111"/>
      <c r="AC100" s="111"/>
      <c r="AD100" s="111"/>
      <c r="AE100" s="111"/>
      <c r="AF100" s="111"/>
      <c r="AG100" s="105"/>
      <c r="AH100" s="105"/>
      <c r="AI100" s="105"/>
      <c r="AJ100" s="105"/>
      <c r="AK100" s="105"/>
      <c r="AL100" s="105"/>
      <c r="AM100" s="105"/>
      <c r="AN100" s="105"/>
      <c r="AO100" s="105"/>
      <c r="AP100" s="105"/>
      <c r="AQ100" s="105"/>
      <c r="AR100" s="105"/>
      <c r="AS100" s="105"/>
      <c r="AT100" s="105"/>
      <c r="AU100" s="105"/>
      <c r="AV100" s="105"/>
      <c r="AW100" s="105"/>
      <c r="AX100" s="105"/>
      <c r="AY100" s="105"/>
      <c r="AZ100" s="105"/>
      <c r="BA100" s="105"/>
    </row>
    <row r="101" spans="1:53" x14ac:dyDescent="0.35">
      <c r="A101" s="692">
        <v>0.8125</v>
      </c>
      <c r="B101" s="683" t="s">
        <v>816</v>
      </c>
      <c r="C101" s="683" t="s">
        <v>816</v>
      </c>
      <c r="D101" s="683" t="s">
        <v>816</v>
      </c>
      <c r="E101" s="690"/>
      <c r="F101" s="682"/>
      <c r="G101" s="682"/>
      <c r="H101" s="682"/>
      <c r="I101" s="111"/>
      <c r="J101" s="111"/>
      <c r="K101" s="111"/>
      <c r="L101" s="111"/>
      <c r="M101" s="111"/>
      <c r="N101" s="111"/>
      <c r="O101" s="111"/>
      <c r="P101" s="111"/>
      <c r="Q101" s="111"/>
      <c r="R101" s="111"/>
      <c r="S101" s="111"/>
      <c r="T101" s="111"/>
      <c r="U101" s="111"/>
      <c r="V101" s="111"/>
      <c r="W101" s="111"/>
      <c r="X101" s="111"/>
      <c r="Y101" s="111"/>
      <c r="Z101" s="111"/>
      <c r="AA101" s="111"/>
      <c r="AB101" s="111"/>
      <c r="AC101" s="111"/>
      <c r="AD101" s="111"/>
      <c r="AE101" s="111"/>
      <c r="AF101" s="111"/>
      <c r="AG101" s="105"/>
      <c r="AH101" s="105"/>
      <c r="AI101" s="105"/>
      <c r="AJ101" s="105"/>
      <c r="AK101" s="105"/>
      <c r="AL101" s="105"/>
      <c r="AM101" s="105"/>
      <c r="AN101" s="105"/>
      <c r="AO101" s="105"/>
      <c r="AP101" s="105"/>
      <c r="AQ101" s="105"/>
      <c r="AR101" s="105"/>
      <c r="AS101" s="105"/>
      <c r="AT101" s="105"/>
      <c r="AU101" s="105"/>
      <c r="AV101" s="105"/>
      <c r="AW101" s="105"/>
      <c r="AX101" s="105"/>
      <c r="AY101" s="105"/>
      <c r="AZ101" s="105"/>
      <c r="BA101" s="105"/>
    </row>
    <row r="102" spans="1:53" x14ac:dyDescent="0.35">
      <c r="A102" s="693">
        <v>0.83333333333333304</v>
      </c>
      <c r="B102" s="680" t="s">
        <v>811</v>
      </c>
      <c r="C102" s="680" t="s">
        <v>811</v>
      </c>
      <c r="D102" s="680" t="s">
        <v>811</v>
      </c>
      <c r="E102" s="690"/>
      <c r="F102" s="682"/>
      <c r="G102" s="682"/>
      <c r="H102" s="682"/>
      <c r="I102" s="111"/>
      <c r="J102" s="111"/>
      <c r="K102" s="111"/>
      <c r="L102" s="111"/>
      <c r="M102" s="111"/>
      <c r="N102" s="111"/>
      <c r="O102" s="111"/>
      <c r="P102" s="111"/>
      <c r="Q102" s="111"/>
      <c r="R102" s="111"/>
      <c r="S102" s="111"/>
      <c r="T102" s="111"/>
      <c r="U102" s="111"/>
      <c r="V102" s="111"/>
      <c r="W102" s="111"/>
      <c r="X102" s="111"/>
      <c r="Y102" s="111"/>
      <c r="Z102" s="111"/>
      <c r="AA102" s="111"/>
      <c r="AB102" s="111"/>
      <c r="AC102" s="111"/>
      <c r="AD102" s="111"/>
      <c r="AE102" s="111"/>
      <c r="AF102" s="111"/>
      <c r="AG102" s="105"/>
      <c r="AH102" s="105"/>
      <c r="AI102" s="105"/>
      <c r="AJ102" s="105"/>
      <c r="AK102" s="105"/>
      <c r="AL102" s="105"/>
      <c r="AM102" s="105"/>
      <c r="AN102" s="105"/>
      <c r="AO102" s="105"/>
      <c r="AP102" s="105"/>
      <c r="AQ102" s="105"/>
      <c r="AR102" s="105"/>
      <c r="AS102" s="105"/>
      <c r="AT102" s="105"/>
      <c r="AU102" s="105"/>
      <c r="AV102" s="105"/>
      <c r="AW102" s="105"/>
      <c r="AX102" s="105"/>
      <c r="AY102" s="105"/>
      <c r="AZ102" s="105"/>
      <c r="BA102" s="105"/>
    </row>
    <row r="103" spans="1:53" x14ac:dyDescent="0.35">
      <c r="A103" s="692">
        <v>0.85416666666666696</v>
      </c>
      <c r="B103" s="680" t="s">
        <v>811</v>
      </c>
      <c r="C103" s="680" t="s">
        <v>811</v>
      </c>
      <c r="D103" s="680" t="s">
        <v>811</v>
      </c>
      <c r="E103" s="690"/>
      <c r="F103" s="682"/>
      <c r="G103" s="682"/>
      <c r="H103" s="682"/>
      <c r="I103" s="111"/>
      <c r="J103" s="111"/>
      <c r="K103" s="111"/>
      <c r="L103" s="111"/>
      <c r="M103" s="111"/>
      <c r="N103" s="111"/>
      <c r="O103" s="111"/>
      <c r="P103" s="111"/>
      <c r="Q103" s="111"/>
      <c r="R103" s="111"/>
      <c r="S103" s="111"/>
      <c r="T103" s="111"/>
      <c r="U103" s="111"/>
      <c r="V103" s="111"/>
      <c r="W103" s="111"/>
      <c r="X103" s="111"/>
      <c r="Y103" s="111"/>
      <c r="Z103" s="111"/>
      <c r="AA103" s="111"/>
      <c r="AB103" s="111"/>
      <c r="AC103" s="111"/>
      <c r="AD103" s="111"/>
      <c r="AE103" s="111"/>
      <c r="AF103" s="111"/>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row>
    <row r="104" spans="1:53" x14ac:dyDescent="0.35">
      <c r="A104" s="693">
        <v>0.875</v>
      </c>
      <c r="B104" s="684" t="s">
        <v>809</v>
      </c>
      <c r="C104" s="684" t="s">
        <v>809</v>
      </c>
      <c r="D104" s="684" t="s">
        <v>809</v>
      </c>
      <c r="E104" s="690"/>
      <c r="F104" s="682"/>
      <c r="G104" s="682"/>
      <c r="H104" s="682"/>
      <c r="I104" s="111"/>
      <c r="J104" s="111"/>
      <c r="K104" s="111"/>
      <c r="L104" s="111"/>
      <c r="M104" s="111"/>
      <c r="N104" s="111"/>
      <c r="O104" s="111"/>
      <c r="P104" s="111"/>
      <c r="Q104" s="111"/>
      <c r="R104" s="111"/>
      <c r="S104" s="111"/>
      <c r="T104" s="111"/>
      <c r="U104" s="111"/>
      <c r="V104" s="111"/>
      <c r="W104" s="111"/>
      <c r="X104" s="111"/>
      <c r="Y104" s="111"/>
      <c r="Z104" s="111"/>
      <c r="AA104" s="111"/>
      <c r="AB104" s="111"/>
      <c r="AC104" s="111"/>
      <c r="AD104" s="111"/>
      <c r="AE104" s="111"/>
      <c r="AF104" s="111"/>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row>
    <row r="105" spans="1:53" x14ac:dyDescent="0.35">
      <c r="A105" s="692">
        <v>0.89583333333333304</v>
      </c>
      <c r="B105" s="684" t="s">
        <v>809</v>
      </c>
      <c r="C105" s="684" t="s">
        <v>809</v>
      </c>
      <c r="D105" s="684" t="s">
        <v>809</v>
      </c>
      <c r="E105" s="690"/>
      <c r="F105" s="682"/>
      <c r="G105" s="682"/>
      <c r="H105" s="682"/>
      <c r="I105" s="111"/>
      <c r="J105" s="111"/>
      <c r="K105" s="111"/>
      <c r="L105" s="111"/>
      <c r="M105" s="111"/>
      <c r="N105" s="111"/>
      <c r="O105" s="111"/>
      <c r="P105" s="111"/>
      <c r="Q105" s="111"/>
      <c r="R105" s="111"/>
      <c r="S105" s="111"/>
      <c r="T105" s="111"/>
      <c r="U105" s="111"/>
      <c r="V105" s="111"/>
      <c r="W105" s="111"/>
      <c r="X105" s="111"/>
      <c r="Y105" s="111"/>
      <c r="Z105" s="111"/>
      <c r="AA105" s="111"/>
      <c r="AB105" s="111"/>
      <c r="AC105" s="111"/>
      <c r="AD105" s="111"/>
      <c r="AE105" s="111"/>
      <c r="AF105" s="111"/>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row>
    <row r="106" spans="1:53" x14ac:dyDescent="0.35">
      <c r="A106" s="693">
        <v>0.91666666666666696</v>
      </c>
      <c r="B106" s="679" t="s">
        <v>807</v>
      </c>
      <c r="C106" s="679" t="s">
        <v>807</v>
      </c>
      <c r="D106" s="679" t="s">
        <v>807</v>
      </c>
      <c r="E106" s="690"/>
      <c r="F106" s="682"/>
      <c r="G106" s="682"/>
      <c r="H106" s="682"/>
      <c r="I106" s="111"/>
      <c r="J106" s="111"/>
      <c r="K106" s="111"/>
      <c r="L106" s="111"/>
      <c r="M106" s="111"/>
      <c r="N106" s="111"/>
      <c r="O106" s="111"/>
      <c r="P106" s="111"/>
      <c r="Q106" s="111"/>
      <c r="R106" s="111"/>
      <c r="S106" s="111"/>
      <c r="T106" s="111"/>
      <c r="U106" s="111"/>
      <c r="V106" s="111"/>
      <c r="W106" s="111"/>
      <c r="X106" s="111"/>
      <c r="Y106" s="111"/>
      <c r="Z106" s="111"/>
      <c r="AA106" s="111"/>
      <c r="AB106" s="111"/>
      <c r="AC106" s="111"/>
      <c r="AD106" s="111"/>
      <c r="AE106" s="111"/>
      <c r="AF106" s="111"/>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row>
    <row r="107" spans="1:53" x14ac:dyDescent="0.35">
      <c r="A107" s="692">
        <v>0.9375</v>
      </c>
      <c r="B107" s="679" t="s">
        <v>807</v>
      </c>
      <c r="C107" s="679" t="s">
        <v>807</v>
      </c>
      <c r="D107" s="679" t="s">
        <v>807</v>
      </c>
      <c r="E107" s="690"/>
      <c r="F107" s="682"/>
      <c r="G107" s="682"/>
      <c r="H107" s="682"/>
      <c r="I107" s="111"/>
      <c r="J107" s="111"/>
      <c r="K107" s="111"/>
      <c r="L107" s="111"/>
      <c r="M107" s="111"/>
      <c r="N107" s="111"/>
      <c r="O107" s="111"/>
      <c r="P107" s="111"/>
      <c r="Q107" s="111"/>
      <c r="R107" s="111"/>
      <c r="S107" s="111"/>
      <c r="T107" s="111"/>
      <c r="U107" s="111"/>
      <c r="V107" s="111"/>
      <c r="W107" s="111"/>
      <c r="X107" s="111"/>
      <c r="Y107" s="111"/>
      <c r="Z107" s="111"/>
      <c r="AA107" s="111"/>
      <c r="AB107" s="111"/>
      <c r="AC107" s="111"/>
      <c r="AD107" s="111"/>
      <c r="AE107" s="111"/>
      <c r="AF107" s="111"/>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row>
    <row r="108" spans="1:53" x14ac:dyDescent="0.35">
      <c r="A108" s="693">
        <v>0.95833333333333304</v>
      </c>
      <c r="B108" s="679" t="s">
        <v>807</v>
      </c>
      <c r="C108" s="679" t="s">
        <v>807</v>
      </c>
      <c r="D108" s="679" t="s">
        <v>807</v>
      </c>
      <c r="E108" s="690"/>
      <c r="F108" s="682"/>
      <c r="G108" s="682"/>
      <c r="H108" s="682"/>
      <c r="I108" s="111"/>
      <c r="J108" s="111"/>
      <c r="K108" s="111"/>
      <c r="L108" s="111"/>
      <c r="M108" s="111"/>
      <c r="N108" s="111"/>
      <c r="O108" s="111"/>
      <c r="P108" s="111"/>
      <c r="Q108" s="111"/>
      <c r="R108" s="111"/>
      <c r="S108" s="111"/>
      <c r="T108" s="111"/>
      <c r="U108" s="111"/>
      <c r="V108" s="111"/>
      <c r="W108" s="111"/>
      <c r="X108" s="111"/>
      <c r="Y108" s="111"/>
      <c r="Z108" s="111"/>
      <c r="AA108" s="111"/>
      <c r="AB108" s="111"/>
      <c r="AC108" s="111"/>
      <c r="AD108" s="111"/>
      <c r="AE108" s="111"/>
      <c r="AF108" s="111"/>
      <c r="AG108" s="105"/>
      <c r="AH108" s="105"/>
      <c r="AI108" s="105"/>
      <c r="AJ108" s="105"/>
      <c r="AK108" s="105"/>
      <c r="AL108" s="105"/>
      <c r="AM108" s="105"/>
      <c r="AN108" s="105"/>
      <c r="AO108" s="105"/>
      <c r="AP108" s="105"/>
      <c r="AQ108" s="105"/>
      <c r="AR108" s="105"/>
      <c r="AS108" s="105"/>
      <c r="AT108" s="105"/>
      <c r="AU108" s="105"/>
      <c r="AV108" s="105"/>
      <c r="AW108" s="105"/>
      <c r="AX108" s="105"/>
      <c r="AY108" s="105"/>
      <c r="AZ108" s="105"/>
      <c r="BA108" s="105"/>
    </row>
    <row r="109" spans="1:53" x14ac:dyDescent="0.35">
      <c r="A109" s="694">
        <v>0.97916666666666696</v>
      </c>
      <c r="B109" s="679" t="s">
        <v>807</v>
      </c>
      <c r="C109" s="679" t="s">
        <v>807</v>
      </c>
      <c r="D109" s="679" t="s">
        <v>807</v>
      </c>
      <c r="E109" s="690"/>
      <c r="F109" s="682"/>
      <c r="G109" s="682"/>
      <c r="H109" s="682"/>
      <c r="I109" s="111"/>
      <c r="J109" s="111"/>
      <c r="K109" s="111"/>
      <c r="L109" s="111"/>
      <c r="M109" s="111"/>
      <c r="N109" s="111"/>
      <c r="O109" s="111"/>
      <c r="P109" s="111"/>
      <c r="Q109" s="111"/>
      <c r="R109" s="111"/>
      <c r="S109" s="111"/>
      <c r="T109" s="111"/>
      <c r="U109" s="111"/>
      <c r="V109" s="111"/>
      <c r="W109" s="111"/>
      <c r="X109" s="111"/>
      <c r="Y109" s="111"/>
      <c r="Z109" s="111"/>
      <c r="AA109" s="111"/>
      <c r="AB109" s="111"/>
      <c r="AC109" s="111"/>
      <c r="AD109" s="111"/>
      <c r="AE109" s="111"/>
      <c r="AF109" s="111"/>
      <c r="AG109" s="105"/>
      <c r="AH109" s="105"/>
      <c r="AI109" s="105"/>
      <c r="AJ109" s="105"/>
      <c r="AK109" s="105"/>
      <c r="AL109" s="105"/>
      <c r="AM109" s="105"/>
      <c r="AN109" s="105"/>
      <c r="AO109" s="105"/>
      <c r="AP109" s="105"/>
      <c r="AQ109" s="105"/>
      <c r="AR109" s="105"/>
      <c r="AS109" s="105"/>
      <c r="AT109" s="105"/>
      <c r="AU109" s="105"/>
      <c r="AV109" s="105"/>
      <c r="AW109" s="105"/>
      <c r="AX109" s="105"/>
      <c r="AY109" s="105"/>
      <c r="AZ109" s="105"/>
      <c r="BA109" s="105"/>
    </row>
    <row r="110" spans="1:53" x14ac:dyDescent="0.35">
      <c r="A110" s="39"/>
      <c r="B110" s="688"/>
      <c r="C110" s="111"/>
      <c r="D110" s="111"/>
      <c r="E110" s="111"/>
      <c r="F110" s="111"/>
      <c r="G110" s="111"/>
      <c r="H110" s="111"/>
      <c r="I110" s="111"/>
      <c r="J110" s="111"/>
      <c r="K110" s="111"/>
      <c r="L110" s="111"/>
      <c r="M110" s="111"/>
      <c r="N110" s="111"/>
      <c r="O110" s="111"/>
      <c r="P110" s="111"/>
      <c r="Q110" s="111"/>
      <c r="R110" s="111"/>
      <c r="S110" s="111"/>
      <c r="T110" s="111"/>
      <c r="U110" s="111"/>
      <c r="V110" s="111"/>
      <c r="W110" s="111"/>
      <c r="X110" s="111"/>
      <c r="Y110" s="111"/>
      <c r="Z110" s="111"/>
      <c r="AA110" s="111"/>
      <c r="AB110" s="111"/>
      <c r="AC110" s="111"/>
      <c r="AD110" s="111"/>
      <c r="AE110" s="111"/>
      <c r="AF110" s="111"/>
      <c r="AG110" s="105"/>
      <c r="AH110" s="105"/>
      <c r="AI110" s="105"/>
      <c r="AJ110" s="105"/>
      <c r="AK110" s="105"/>
      <c r="AL110" s="105"/>
      <c r="AM110" s="105"/>
      <c r="AN110" s="105"/>
      <c r="AO110" s="105"/>
      <c r="AP110" s="105"/>
      <c r="AQ110" s="105"/>
      <c r="AR110" s="105"/>
      <c r="AS110" s="105"/>
      <c r="AT110" s="105"/>
      <c r="AU110" s="105"/>
      <c r="AV110" s="105"/>
      <c r="AW110" s="105"/>
      <c r="AX110" s="105"/>
      <c r="AY110" s="105"/>
      <c r="AZ110" s="105"/>
      <c r="BA110" s="105"/>
    </row>
    <row r="111" spans="1:53" x14ac:dyDescent="0.35">
      <c r="A111" s="128" t="s">
        <v>1238</v>
      </c>
      <c r="B111" s="276"/>
      <c r="C111" s="39"/>
      <c r="D111" s="39"/>
      <c r="E111" s="39"/>
      <c r="F111" s="39"/>
      <c r="G111" s="39"/>
      <c r="H111" s="39"/>
      <c r="I111" s="39"/>
      <c r="J111" s="39"/>
      <c r="K111" s="39"/>
      <c r="L111" s="39"/>
      <c r="M111" s="39"/>
      <c r="N111" s="39"/>
      <c r="O111" s="39"/>
      <c r="P111" s="39"/>
      <c r="Q111" s="39"/>
      <c r="R111" s="39"/>
      <c r="S111" s="39"/>
      <c r="T111" s="39"/>
      <c r="U111" s="39"/>
      <c r="V111" s="39"/>
      <c r="W111" s="39"/>
      <c r="X111" s="39"/>
      <c r="Y111" s="39"/>
      <c r="Z111" s="39"/>
      <c r="AA111" s="39"/>
      <c r="AB111" s="39"/>
      <c r="AC111" s="39"/>
      <c r="AD111" s="39"/>
      <c r="AE111" s="39"/>
      <c r="AF111" s="39"/>
    </row>
    <row r="112" spans="1:53" x14ac:dyDescent="0.35">
      <c r="A112" s="92" t="s">
        <v>1243</v>
      </c>
      <c r="B112" s="277"/>
      <c r="C112" s="88"/>
      <c r="D112" s="88"/>
      <c r="E112" s="88"/>
      <c r="F112" s="88"/>
      <c r="G112" s="88"/>
      <c r="H112" s="39"/>
      <c r="I112" s="39"/>
      <c r="J112" s="39"/>
      <c r="K112" s="39"/>
      <c r="L112" s="39"/>
      <c r="M112" s="39"/>
      <c r="N112" s="39"/>
      <c r="O112" s="39"/>
      <c r="P112" s="39"/>
      <c r="Q112" s="39"/>
      <c r="R112" s="39"/>
      <c r="S112" s="39"/>
      <c r="T112" s="39"/>
      <c r="U112" s="39"/>
      <c r="V112" s="39"/>
      <c r="W112" s="39"/>
      <c r="X112" s="39"/>
      <c r="Y112" s="39"/>
      <c r="Z112" s="39"/>
      <c r="AA112" s="39"/>
      <c r="AB112" s="39"/>
      <c r="AC112" s="39"/>
      <c r="AD112" s="39"/>
      <c r="AE112" s="39"/>
      <c r="AF112" s="39"/>
    </row>
    <row r="113" spans="1:32" x14ac:dyDescent="0.35">
      <c r="A113" s="92" t="s">
        <v>1244</v>
      </c>
      <c r="B113" s="277"/>
      <c r="C113" s="88"/>
      <c r="D113" s="88"/>
      <c r="E113" s="88"/>
      <c r="F113" s="88"/>
      <c r="G113" s="88"/>
      <c r="H113" s="39"/>
      <c r="I113" s="39"/>
      <c r="J113" s="39"/>
      <c r="K113" s="39"/>
      <c r="L113" s="39"/>
      <c r="M113" s="39"/>
      <c r="N113" s="39"/>
      <c r="O113" s="39"/>
      <c r="P113" s="39"/>
      <c r="Q113" s="39"/>
      <c r="R113" s="39"/>
      <c r="S113" s="39"/>
      <c r="T113" s="39"/>
      <c r="U113" s="39"/>
      <c r="V113" s="39"/>
      <c r="W113" s="39"/>
      <c r="X113" s="39"/>
      <c r="Y113" s="39"/>
      <c r="Z113" s="39"/>
      <c r="AA113" s="39"/>
      <c r="AB113" s="39"/>
      <c r="AC113" s="39"/>
      <c r="AD113" s="39"/>
      <c r="AE113" s="39"/>
      <c r="AF113" s="39"/>
    </row>
    <row r="114" spans="1:32" x14ac:dyDescent="0.35">
      <c r="A114" s="92" t="s">
        <v>1245</v>
      </c>
      <c r="B114" s="277"/>
      <c r="C114" s="88"/>
      <c r="D114" s="88"/>
      <c r="E114" s="88"/>
      <c r="F114" s="88"/>
      <c r="G114" s="88"/>
      <c r="H114" s="39"/>
      <c r="I114" s="39"/>
      <c r="J114" s="39"/>
      <c r="K114" s="39"/>
      <c r="L114" s="39"/>
      <c r="M114" s="39"/>
      <c r="N114" s="39"/>
      <c r="O114" s="39"/>
      <c r="P114" s="39"/>
      <c r="Q114" s="39"/>
      <c r="R114" s="39"/>
      <c r="S114" s="39"/>
      <c r="T114" s="39"/>
      <c r="U114" s="39"/>
      <c r="V114" s="39"/>
      <c r="W114" s="39"/>
      <c r="X114" s="39"/>
      <c r="Y114" s="39"/>
      <c r="Z114" s="39"/>
      <c r="AA114" s="39"/>
      <c r="AB114" s="39"/>
      <c r="AC114" s="39"/>
      <c r="AD114" s="39"/>
      <c r="AE114" s="39"/>
      <c r="AF114" s="39"/>
    </row>
    <row r="115" spans="1:32" x14ac:dyDescent="0.35">
      <c r="A115" s="92" t="s">
        <v>1246</v>
      </c>
      <c r="B115" s="277"/>
      <c r="C115" s="88"/>
      <c r="D115" s="88"/>
      <c r="E115" s="88"/>
      <c r="F115" s="88"/>
      <c r="G115" s="88"/>
      <c r="H115" s="39"/>
      <c r="I115" s="39"/>
      <c r="J115" s="39"/>
      <c r="K115" s="39"/>
      <c r="L115" s="39"/>
      <c r="M115" s="39"/>
      <c r="N115" s="39"/>
      <c r="O115" s="39"/>
      <c r="P115" s="39"/>
      <c r="Q115" s="39"/>
      <c r="R115" s="39"/>
      <c r="S115" s="39"/>
      <c r="T115" s="39"/>
      <c r="U115" s="39"/>
      <c r="V115" s="39"/>
      <c r="W115" s="39"/>
      <c r="X115" s="39"/>
      <c r="Y115" s="39"/>
      <c r="Z115" s="39"/>
      <c r="AA115" s="39"/>
      <c r="AB115" s="39"/>
      <c r="AC115" s="39"/>
      <c r="AD115" s="39"/>
      <c r="AE115" s="39"/>
      <c r="AF115" s="39"/>
    </row>
    <row r="116" spans="1:32" x14ac:dyDescent="0.35">
      <c r="A116" s="92" t="s">
        <v>1247</v>
      </c>
      <c r="B116" s="277"/>
      <c r="C116" s="88"/>
      <c r="D116" s="88"/>
      <c r="E116" s="88"/>
      <c r="F116" s="88"/>
      <c r="G116" s="88"/>
      <c r="H116" s="39"/>
      <c r="I116" s="39"/>
      <c r="J116" s="39"/>
      <c r="K116" s="39"/>
      <c r="L116" s="39"/>
      <c r="M116" s="39"/>
      <c r="N116" s="39"/>
      <c r="O116" s="39"/>
      <c r="P116" s="39"/>
      <c r="Q116" s="39"/>
      <c r="R116" s="39"/>
      <c r="S116" s="39"/>
      <c r="T116" s="39"/>
      <c r="U116" s="39"/>
      <c r="V116" s="39"/>
      <c r="W116" s="39"/>
      <c r="X116" s="39"/>
      <c r="Y116" s="39"/>
      <c r="Z116" s="39"/>
      <c r="AA116" s="39"/>
      <c r="AB116" s="39"/>
      <c r="AC116" s="39"/>
      <c r="AD116" s="39"/>
      <c r="AE116" s="39"/>
      <c r="AF116" s="39"/>
    </row>
    <row r="117" spans="1:32" x14ac:dyDescent="0.35">
      <c r="A117" s="39"/>
      <c r="B117" s="276"/>
      <c r="C117" s="39"/>
      <c r="D117" s="39"/>
      <c r="E117" s="39"/>
      <c r="F117" s="39"/>
      <c r="G117" s="39"/>
      <c r="H117" s="39"/>
      <c r="I117" s="39"/>
      <c r="J117" s="39"/>
      <c r="K117" s="39"/>
      <c r="L117" s="39"/>
      <c r="M117" s="39"/>
      <c r="N117" s="39"/>
      <c r="O117" s="39"/>
      <c r="P117" s="39"/>
      <c r="Q117" s="39"/>
      <c r="R117" s="39"/>
      <c r="S117" s="39"/>
      <c r="T117" s="39"/>
      <c r="U117" s="39"/>
      <c r="V117" s="39"/>
      <c r="W117" s="39"/>
      <c r="X117" s="39"/>
      <c r="Y117" s="39"/>
      <c r="Z117" s="39"/>
      <c r="AA117" s="39"/>
      <c r="AB117" s="39"/>
      <c r="AC117" s="39"/>
      <c r="AD117" s="39"/>
      <c r="AE117" s="39"/>
      <c r="AF117" s="39"/>
    </row>
    <row r="118" spans="1:32" x14ac:dyDescent="0.35">
      <c r="A118" s="99"/>
      <c r="B118" s="276"/>
      <c r="C118" s="99"/>
      <c r="D118" s="99"/>
      <c r="E118" s="99"/>
      <c r="F118" s="99"/>
      <c r="G118" s="99"/>
      <c r="H118" s="39"/>
      <c r="I118" s="39"/>
      <c r="J118" s="39"/>
      <c r="K118" s="39"/>
      <c r="L118" s="39"/>
      <c r="M118" s="39"/>
      <c r="N118" s="39"/>
      <c r="O118" s="39"/>
      <c r="P118" s="39"/>
      <c r="Q118" s="39"/>
      <c r="R118" s="39"/>
      <c r="S118" s="39"/>
      <c r="T118" s="39"/>
      <c r="U118" s="39"/>
      <c r="V118" s="39"/>
      <c r="W118" s="39"/>
      <c r="X118" s="39"/>
      <c r="Y118" s="39"/>
      <c r="Z118" s="39"/>
      <c r="AA118" s="39"/>
      <c r="AB118" s="39"/>
      <c r="AC118" s="39"/>
      <c r="AD118" s="39"/>
      <c r="AE118" s="39"/>
      <c r="AF118" s="39"/>
    </row>
    <row r="119" spans="1:32" x14ac:dyDescent="0.35">
      <c r="A119" s="99"/>
      <c r="B119" s="276"/>
      <c r="C119" s="99"/>
      <c r="D119" s="99"/>
      <c r="E119" s="99"/>
      <c r="F119" s="99"/>
      <c r="G119" s="99"/>
      <c r="H119" s="39"/>
      <c r="I119" s="39"/>
      <c r="J119" s="39"/>
      <c r="K119" s="39"/>
      <c r="L119" s="39"/>
      <c r="M119" s="39"/>
      <c r="N119" s="39"/>
      <c r="O119" s="39"/>
      <c r="P119" s="39"/>
      <c r="Q119" s="39"/>
      <c r="R119" s="39"/>
      <c r="S119" s="39"/>
      <c r="T119" s="39"/>
      <c r="U119" s="39"/>
      <c r="V119" s="39"/>
      <c r="W119" s="39"/>
      <c r="X119" s="39"/>
      <c r="Y119" s="39"/>
      <c r="Z119" s="39"/>
      <c r="AA119" s="39"/>
      <c r="AB119" s="39"/>
      <c r="AC119" s="39"/>
      <c r="AD119" s="39"/>
      <c r="AE119" s="39"/>
      <c r="AF119" s="39"/>
    </row>
    <row r="120" spans="1:32" x14ac:dyDescent="0.35">
      <c r="A120" s="99"/>
      <c r="B120" s="276"/>
      <c r="C120" s="99"/>
      <c r="D120" s="99"/>
      <c r="E120" s="99"/>
      <c r="F120" s="99"/>
      <c r="G120" s="99"/>
      <c r="H120" s="39"/>
      <c r="I120" s="39"/>
      <c r="J120" s="39"/>
      <c r="K120" s="39"/>
      <c r="L120" s="39"/>
      <c r="M120" s="39"/>
      <c r="N120" s="39"/>
      <c r="O120" s="39"/>
      <c r="P120" s="39"/>
      <c r="Q120" s="39"/>
      <c r="R120" s="39"/>
      <c r="S120" s="39"/>
      <c r="T120" s="39"/>
      <c r="U120" s="39"/>
      <c r="V120" s="39"/>
      <c r="W120" s="39"/>
      <c r="X120" s="39"/>
      <c r="Y120" s="39"/>
      <c r="Z120" s="39"/>
      <c r="AA120" s="39"/>
      <c r="AB120" s="39"/>
      <c r="AC120" s="39"/>
      <c r="AD120" s="39"/>
      <c r="AE120" s="39"/>
      <c r="AF120" s="39"/>
    </row>
    <row r="121" spans="1:32" x14ac:dyDescent="0.35">
      <c r="A121" s="99"/>
      <c r="B121" s="276"/>
      <c r="C121" s="99"/>
      <c r="D121" s="99"/>
      <c r="E121" s="99"/>
      <c r="F121" s="99"/>
      <c r="G121" s="99"/>
      <c r="H121" s="39"/>
      <c r="I121" s="39"/>
      <c r="J121" s="39"/>
      <c r="K121" s="39"/>
      <c r="L121" s="39"/>
      <c r="M121" s="39"/>
      <c r="N121" s="39"/>
      <c r="O121" s="39"/>
      <c r="P121" s="39"/>
      <c r="Q121" s="39"/>
      <c r="R121" s="39"/>
      <c r="S121" s="39"/>
      <c r="T121" s="39"/>
      <c r="U121" s="39"/>
      <c r="V121" s="39"/>
      <c r="W121" s="39"/>
      <c r="X121" s="39"/>
      <c r="Y121" s="39"/>
      <c r="Z121" s="39"/>
      <c r="AA121" s="39"/>
      <c r="AB121" s="39"/>
      <c r="AC121" s="39"/>
      <c r="AD121" s="39"/>
      <c r="AE121" s="39"/>
      <c r="AF121" s="39"/>
    </row>
    <row r="122" spans="1:32" x14ac:dyDescent="0.35">
      <c r="A122" s="99"/>
      <c r="B122" s="276"/>
      <c r="C122" s="99"/>
      <c r="D122" s="99"/>
      <c r="E122" s="99"/>
      <c r="F122" s="99"/>
      <c r="G122" s="99"/>
      <c r="H122" s="39"/>
      <c r="I122" s="39"/>
      <c r="J122" s="39"/>
      <c r="K122" s="39"/>
      <c r="L122" s="39"/>
      <c r="M122" s="39"/>
      <c r="N122" s="39"/>
      <c r="O122" s="39"/>
      <c r="P122" s="39"/>
      <c r="Q122" s="39"/>
      <c r="R122" s="39"/>
      <c r="S122" s="39"/>
      <c r="T122" s="39"/>
      <c r="U122" s="39"/>
      <c r="V122" s="39"/>
      <c r="W122" s="39"/>
      <c r="X122" s="39"/>
      <c r="Y122" s="39"/>
      <c r="Z122" s="39"/>
      <c r="AA122" s="39"/>
      <c r="AB122" s="39"/>
      <c r="AC122" s="39"/>
      <c r="AD122" s="39"/>
      <c r="AE122" s="39"/>
      <c r="AF122" s="39"/>
    </row>
    <row r="123" spans="1:32" x14ac:dyDescent="0.35">
      <c r="A123" s="99"/>
      <c r="B123" s="276"/>
      <c r="C123" s="99"/>
      <c r="D123" s="99"/>
      <c r="E123" s="99"/>
      <c r="F123" s="99"/>
      <c r="G123" s="99"/>
      <c r="H123" s="39"/>
      <c r="I123" s="39"/>
      <c r="J123" s="39"/>
      <c r="K123" s="39"/>
      <c r="L123" s="39"/>
      <c r="M123" s="39"/>
      <c r="N123" s="39"/>
      <c r="O123" s="39"/>
      <c r="P123" s="39"/>
      <c r="Q123" s="39"/>
      <c r="R123" s="39"/>
      <c r="S123" s="39"/>
      <c r="T123" s="39"/>
      <c r="U123" s="39"/>
      <c r="V123" s="39"/>
      <c r="W123" s="39"/>
      <c r="X123" s="39"/>
      <c r="Y123" s="39"/>
      <c r="Z123" s="39"/>
      <c r="AA123" s="39"/>
      <c r="AB123" s="39"/>
      <c r="AC123" s="39"/>
      <c r="AD123" s="39"/>
      <c r="AE123" s="39"/>
      <c r="AF123" s="39"/>
    </row>
    <row r="124" spans="1:32" x14ac:dyDescent="0.35">
      <c r="A124" s="99"/>
      <c r="B124" s="276"/>
      <c r="C124" s="99"/>
      <c r="D124" s="99"/>
      <c r="E124" s="99"/>
      <c r="F124" s="99"/>
      <c r="G124" s="99"/>
      <c r="H124" s="39"/>
      <c r="I124" s="39"/>
      <c r="J124" s="39"/>
      <c r="K124" s="39"/>
      <c r="L124" s="39"/>
      <c r="M124" s="39"/>
      <c r="N124" s="39"/>
      <c r="O124" s="39"/>
      <c r="P124" s="39"/>
      <c r="Q124" s="39"/>
      <c r="R124" s="39"/>
      <c r="S124" s="39"/>
      <c r="T124" s="39"/>
      <c r="U124" s="39"/>
      <c r="V124" s="39"/>
      <c r="W124" s="39"/>
      <c r="X124" s="39"/>
      <c r="Y124" s="39"/>
      <c r="Z124" s="39"/>
      <c r="AA124" s="39"/>
      <c r="AB124" s="39"/>
      <c r="AC124" s="39"/>
      <c r="AD124" s="39"/>
      <c r="AE124" s="39"/>
      <c r="AF124" s="39"/>
    </row>
    <row r="125" spans="1:32" x14ac:dyDescent="0.35">
      <c r="A125" s="39"/>
      <c r="B125" s="276"/>
      <c r="C125" s="39"/>
      <c r="D125" s="39"/>
      <c r="E125" s="39"/>
      <c r="F125" s="39"/>
      <c r="G125" s="39"/>
      <c r="H125" s="39"/>
      <c r="I125" s="39"/>
      <c r="J125" s="39"/>
      <c r="K125" s="39"/>
      <c r="L125" s="39"/>
      <c r="M125" s="39"/>
      <c r="N125" s="39"/>
      <c r="O125" s="39"/>
      <c r="P125" s="39"/>
      <c r="Q125" s="39"/>
      <c r="R125" s="39"/>
      <c r="S125" s="39"/>
      <c r="T125" s="39"/>
      <c r="U125" s="39"/>
      <c r="V125" s="39"/>
      <c r="W125" s="39"/>
      <c r="X125" s="39"/>
      <c r="Y125" s="39"/>
      <c r="Z125" s="39"/>
      <c r="AA125" s="39"/>
      <c r="AB125" s="39"/>
      <c r="AC125" s="39"/>
      <c r="AD125" s="39"/>
      <c r="AE125" s="39"/>
      <c r="AF125" s="39"/>
    </row>
    <row r="126" spans="1:32" x14ac:dyDescent="0.35">
      <c r="A126" s="39"/>
      <c r="B126" s="276"/>
      <c r="C126" s="39"/>
      <c r="D126" s="39"/>
      <c r="E126" s="39"/>
      <c r="F126" s="39"/>
      <c r="G126" s="39"/>
      <c r="H126" s="39"/>
      <c r="I126" s="39"/>
      <c r="J126" s="39"/>
      <c r="K126" s="39"/>
      <c r="L126" s="39"/>
      <c r="M126" s="39"/>
      <c r="N126" s="39"/>
      <c r="O126" s="39"/>
      <c r="P126" s="39"/>
      <c r="Q126" s="39"/>
      <c r="R126" s="39"/>
      <c r="S126" s="39"/>
      <c r="T126" s="39"/>
      <c r="U126" s="39"/>
      <c r="V126" s="39"/>
      <c r="W126" s="39"/>
      <c r="X126" s="39"/>
      <c r="Y126" s="39"/>
      <c r="Z126" s="39"/>
      <c r="AA126" s="39"/>
      <c r="AB126" s="39"/>
      <c r="AC126" s="39"/>
      <c r="AD126" s="39"/>
      <c r="AE126" s="39"/>
      <c r="AF126" s="39"/>
    </row>
    <row r="127" spans="1:32" x14ac:dyDescent="0.35">
      <c r="A127" s="39"/>
      <c r="B127" s="276"/>
      <c r="C127" s="39"/>
      <c r="D127" s="39"/>
      <c r="E127" s="39"/>
      <c r="F127" s="39"/>
      <c r="G127" s="39"/>
      <c r="H127" s="39"/>
      <c r="I127" s="39"/>
      <c r="J127" s="39"/>
      <c r="K127" s="39"/>
      <c r="L127" s="39"/>
      <c r="M127" s="39"/>
      <c r="N127" s="39"/>
      <c r="O127" s="39"/>
      <c r="P127" s="39"/>
      <c r="Q127" s="39"/>
      <c r="R127" s="39"/>
      <c r="S127" s="39"/>
      <c r="T127" s="39"/>
      <c r="U127" s="39"/>
      <c r="V127" s="39"/>
      <c r="W127" s="39"/>
      <c r="X127" s="39"/>
      <c r="Y127" s="39"/>
      <c r="Z127" s="39"/>
      <c r="AA127" s="39"/>
      <c r="AB127" s="39"/>
      <c r="AC127" s="39"/>
      <c r="AD127" s="39"/>
      <c r="AE127" s="39"/>
      <c r="AF127" s="39"/>
    </row>
    <row r="128" spans="1:32" x14ac:dyDescent="0.35">
      <c r="A128" s="133" t="s">
        <v>795</v>
      </c>
      <c r="B128" s="42" t="s">
        <v>798</v>
      </c>
      <c r="C128" s="42" t="s">
        <v>799</v>
      </c>
      <c r="D128" s="42" t="s">
        <v>800</v>
      </c>
      <c r="E128" s="42" t="s">
        <v>801</v>
      </c>
      <c r="F128" s="42" t="s">
        <v>802</v>
      </c>
      <c r="G128" s="42" t="s">
        <v>803</v>
      </c>
      <c r="H128" s="42" t="s">
        <v>804</v>
      </c>
      <c r="I128" s="42" t="s">
        <v>805</v>
      </c>
      <c r="J128" s="134" t="s">
        <v>806</v>
      </c>
      <c r="K128" s="39"/>
      <c r="L128" s="39"/>
      <c r="M128" s="39"/>
      <c r="N128" s="39"/>
      <c r="O128" s="39"/>
      <c r="P128" s="39"/>
      <c r="Q128" s="39"/>
      <c r="R128" s="39"/>
      <c r="S128" s="39"/>
      <c r="T128" s="39"/>
      <c r="U128" s="39"/>
      <c r="V128" s="39"/>
      <c r="W128" s="39"/>
      <c r="X128" s="39"/>
      <c r="Y128" s="39"/>
      <c r="Z128" s="39"/>
      <c r="AA128" s="39"/>
      <c r="AB128" s="39"/>
      <c r="AC128" s="39"/>
      <c r="AD128" s="39"/>
      <c r="AE128" s="39"/>
      <c r="AF128" s="39"/>
    </row>
    <row r="129" spans="1:32" x14ac:dyDescent="0.35">
      <c r="A129" s="139">
        <v>0</v>
      </c>
      <c r="B129" s="279">
        <v>0.17280000000000001</v>
      </c>
      <c r="C129" s="279">
        <v>0.21840000000000001</v>
      </c>
      <c r="D129" s="279">
        <v>0</v>
      </c>
      <c r="E129" s="279">
        <v>0</v>
      </c>
      <c r="F129" s="279">
        <v>0</v>
      </c>
      <c r="G129" s="279">
        <v>0</v>
      </c>
      <c r="H129" s="279">
        <v>0</v>
      </c>
      <c r="I129" s="279">
        <v>0.3024</v>
      </c>
      <c r="J129" s="280">
        <v>2536</v>
      </c>
      <c r="K129" s="39"/>
      <c r="L129" s="39"/>
      <c r="M129" s="39"/>
      <c r="N129" s="39"/>
      <c r="O129" s="39"/>
      <c r="P129" s="39"/>
      <c r="Q129" s="39"/>
      <c r="R129" s="39"/>
      <c r="S129" s="39"/>
      <c r="T129" s="39"/>
      <c r="U129" s="39"/>
      <c r="V129" s="39"/>
      <c r="W129" s="39"/>
      <c r="X129" s="39"/>
      <c r="Y129" s="39"/>
      <c r="Z129" s="39"/>
      <c r="AA129" s="39"/>
      <c r="AB129" s="39"/>
      <c r="AC129" s="39"/>
      <c r="AD129" s="39"/>
      <c r="AE129" s="39"/>
      <c r="AF129" s="39"/>
    </row>
    <row r="130" spans="1:32" x14ac:dyDescent="0.35">
      <c r="A130" s="140">
        <v>2.0833333333333332E-2</v>
      </c>
      <c r="B130" s="279">
        <v>0.17280000000000001</v>
      </c>
      <c r="C130" s="279">
        <v>0.21840000000000001</v>
      </c>
      <c r="D130" s="279">
        <v>0</v>
      </c>
      <c r="E130" s="279">
        <v>0</v>
      </c>
      <c r="F130" s="279">
        <v>0</v>
      </c>
      <c r="G130" s="279">
        <v>0</v>
      </c>
      <c r="H130" s="279">
        <v>0</v>
      </c>
      <c r="I130" s="279">
        <v>0.3024</v>
      </c>
      <c r="J130" s="280">
        <v>2536</v>
      </c>
      <c r="K130" s="39"/>
      <c r="L130" s="39"/>
      <c r="M130" s="39"/>
      <c r="N130" s="39"/>
      <c r="O130" s="39"/>
      <c r="P130" s="39"/>
      <c r="Q130" s="39"/>
      <c r="R130" s="39"/>
      <c r="S130" s="39"/>
      <c r="T130" s="39"/>
      <c r="U130" s="39"/>
      <c r="V130" s="39"/>
      <c r="W130" s="39"/>
      <c r="X130" s="39"/>
      <c r="Y130" s="39"/>
      <c r="Z130" s="39"/>
      <c r="AA130" s="39"/>
      <c r="AB130" s="39"/>
      <c r="AC130" s="39"/>
      <c r="AD130" s="39"/>
      <c r="AE130" s="39"/>
      <c r="AF130" s="39"/>
    </row>
    <row r="131" spans="1:32" x14ac:dyDescent="0.35">
      <c r="A131" s="139">
        <v>4.1666666666666699E-2</v>
      </c>
      <c r="B131" s="279">
        <v>0.17280000000000001</v>
      </c>
      <c r="C131" s="279">
        <v>0.21840000000000001</v>
      </c>
      <c r="D131" s="279">
        <v>0</v>
      </c>
      <c r="E131" s="279">
        <v>0</v>
      </c>
      <c r="F131" s="279">
        <v>0</v>
      </c>
      <c r="G131" s="279">
        <v>0</v>
      </c>
      <c r="H131" s="279">
        <v>0</v>
      </c>
      <c r="I131" s="279">
        <v>0.3024</v>
      </c>
      <c r="J131" s="280">
        <v>2536</v>
      </c>
      <c r="K131" s="39"/>
      <c r="L131" s="39"/>
      <c r="M131" s="39"/>
      <c r="N131" s="39"/>
      <c r="O131" s="39"/>
      <c r="P131" s="39"/>
      <c r="Q131" s="39"/>
      <c r="R131" s="39"/>
      <c r="S131" s="39"/>
      <c r="T131" s="39"/>
      <c r="U131" s="39"/>
      <c r="V131" s="39"/>
      <c r="W131" s="39"/>
      <c r="X131" s="39"/>
      <c r="Y131" s="39"/>
      <c r="Z131" s="39"/>
      <c r="AA131" s="39"/>
      <c r="AB131" s="39"/>
      <c r="AC131" s="39"/>
      <c r="AD131" s="39"/>
      <c r="AE131" s="39"/>
      <c r="AF131" s="39"/>
    </row>
    <row r="132" spans="1:32" x14ac:dyDescent="0.35">
      <c r="A132" s="140">
        <v>6.25E-2</v>
      </c>
      <c r="B132" s="279">
        <v>0.17280000000000001</v>
      </c>
      <c r="C132" s="279">
        <v>0.21840000000000001</v>
      </c>
      <c r="D132" s="279">
        <v>0</v>
      </c>
      <c r="E132" s="279">
        <v>0</v>
      </c>
      <c r="F132" s="279">
        <v>0</v>
      </c>
      <c r="G132" s="279">
        <v>0</v>
      </c>
      <c r="H132" s="279">
        <v>0</v>
      </c>
      <c r="I132" s="279">
        <v>0.3024</v>
      </c>
      <c r="J132" s="280">
        <v>2536</v>
      </c>
      <c r="K132" s="39"/>
      <c r="L132" s="39"/>
      <c r="M132" s="39"/>
      <c r="N132" s="39"/>
      <c r="O132" s="39"/>
      <c r="P132" s="39"/>
      <c r="Q132" s="39"/>
      <c r="R132" s="39"/>
      <c r="S132" s="39"/>
      <c r="T132" s="39"/>
      <c r="U132" s="39"/>
      <c r="V132" s="39"/>
      <c r="W132" s="39"/>
      <c r="X132" s="39"/>
      <c r="Y132" s="39"/>
      <c r="Z132" s="39"/>
      <c r="AA132" s="39"/>
      <c r="AB132" s="39"/>
      <c r="AC132" s="39"/>
      <c r="AD132" s="39"/>
      <c r="AE132" s="39"/>
      <c r="AF132" s="39"/>
    </row>
    <row r="133" spans="1:32" x14ac:dyDescent="0.35">
      <c r="A133" s="139">
        <v>8.3333333333333301E-2</v>
      </c>
      <c r="B133" s="279">
        <v>0.17280000000000001</v>
      </c>
      <c r="C133" s="279">
        <v>0.21840000000000001</v>
      </c>
      <c r="D133" s="279">
        <v>0</v>
      </c>
      <c r="E133" s="279">
        <v>0</v>
      </c>
      <c r="F133" s="279">
        <v>0</v>
      </c>
      <c r="G133" s="279">
        <v>0</v>
      </c>
      <c r="H133" s="279">
        <v>0</v>
      </c>
      <c r="I133" s="279">
        <v>0.3024</v>
      </c>
      <c r="J133" s="280">
        <v>2536</v>
      </c>
      <c r="K133" s="39"/>
      <c r="L133" s="39"/>
      <c r="M133" s="39"/>
      <c r="N133" s="39"/>
      <c r="O133" s="39"/>
      <c r="P133" s="39"/>
      <c r="Q133" s="39"/>
      <c r="R133" s="39"/>
      <c r="S133" s="39"/>
      <c r="T133" s="39"/>
      <c r="U133" s="39"/>
      <c r="V133" s="39"/>
      <c r="W133" s="39"/>
      <c r="X133" s="39"/>
      <c r="Y133" s="39"/>
      <c r="Z133" s="39"/>
      <c r="AA133" s="39"/>
      <c r="AB133" s="39"/>
      <c r="AC133" s="39"/>
      <c r="AD133" s="39"/>
      <c r="AE133" s="39"/>
      <c r="AF133" s="39"/>
    </row>
    <row r="134" spans="1:32" x14ac:dyDescent="0.35">
      <c r="A134" s="140">
        <v>0.104166666666667</v>
      </c>
      <c r="B134" s="279">
        <v>0.17280000000000001</v>
      </c>
      <c r="C134" s="279">
        <v>0.21840000000000001</v>
      </c>
      <c r="D134" s="279">
        <v>0</v>
      </c>
      <c r="E134" s="279">
        <v>0</v>
      </c>
      <c r="F134" s="279">
        <v>0</v>
      </c>
      <c r="G134" s="279">
        <v>0</v>
      </c>
      <c r="H134" s="279">
        <v>0</v>
      </c>
      <c r="I134" s="279">
        <v>0.3024</v>
      </c>
      <c r="J134" s="280">
        <v>2536</v>
      </c>
      <c r="K134" s="39"/>
      <c r="L134" s="39"/>
      <c r="M134" s="39"/>
      <c r="N134" s="39"/>
      <c r="O134" s="39"/>
      <c r="P134" s="39"/>
      <c r="Q134" s="39"/>
      <c r="R134" s="39"/>
      <c r="S134" s="39"/>
      <c r="T134" s="39"/>
      <c r="U134" s="39"/>
      <c r="V134" s="39"/>
      <c r="W134" s="39"/>
      <c r="X134" s="39"/>
      <c r="Y134" s="39"/>
      <c r="Z134" s="39"/>
      <c r="AA134" s="39"/>
      <c r="AB134" s="39"/>
      <c r="AC134" s="39"/>
      <c r="AD134" s="39"/>
      <c r="AE134" s="39"/>
      <c r="AF134" s="39"/>
    </row>
    <row r="135" spans="1:32" x14ac:dyDescent="0.35">
      <c r="A135" s="139">
        <v>0.125</v>
      </c>
      <c r="B135" s="279">
        <v>0.17280000000000001</v>
      </c>
      <c r="C135" s="279">
        <v>0.21840000000000001</v>
      </c>
      <c r="D135" s="279">
        <v>0</v>
      </c>
      <c r="E135" s="279">
        <v>0</v>
      </c>
      <c r="F135" s="279">
        <v>0</v>
      </c>
      <c r="G135" s="279">
        <v>0</v>
      </c>
      <c r="H135" s="279">
        <v>0</v>
      </c>
      <c r="I135" s="279">
        <v>0.3024</v>
      </c>
      <c r="J135" s="280">
        <v>2536</v>
      </c>
      <c r="K135" s="39"/>
      <c r="L135" s="39"/>
      <c r="M135" s="39"/>
      <c r="N135" s="39"/>
      <c r="O135" s="39"/>
      <c r="P135" s="39"/>
      <c r="Q135" s="39"/>
      <c r="R135" s="39"/>
      <c r="S135" s="39"/>
      <c r="T135" s="39"/>
      <c r="U135" s="39"/>
      <c r="V135" s="39"/>
      <c r="W135" s="39"/>
      <c r="X135" s="39"/>
      <c r="Y135" s="39"/>
      <c r="Z135" s="39"/>
      <c r="AA135" s="39"/>
      <c r="AB135" s="39"/>
      <c r="AC135" s="39"/>
      <c r="AD135" s="39"/>
      <c r="AE135" s="39"/>
      <c r="AF135" s="39"/>
    </row>
    <row r="136" spans="1:32" x14ac:dyDescent="0.35">
      <c r="A136" s="140">
        <v>0.14583333333333301</v>
      </c>
      <c r="B136" s="279">
        <v>0.17280000000000001</v>
      </c>
      <c r="C136" s="279">
        <v>0.21840000000000001</v>
      </c>
      <c r="D136" s="279">
        <v>0</v>
      </c>
      <c r="E136" s="279">
        <v>0</v>
      </c>
      <c r="F136" s="279">
        <v>0</v>
      </c>
      <c r="G136" s="279">
        <v>0</v>
      </c>
      <c r="H136" s="279">
        <v>0</v>
      </c>
      <c r="I136" s="279">
        <v>0.3024</v>
      </c>
      <c r="J136" s="280">
        <v>2536</v>
      </c>
      <c r="K136" s="39"/>
      <c r="L136" s="39"/>
      <c r="M136" s="39"/>
      <c r="N136" s="39"/>
      <c r="O136" s="39"/>
      <c r="P136" s="39"/>
      <c r="Q136" s="39"/>
      <c r="R136" s="39"/>
      <c r="S136" s="39"/>
      <c r="T136" s="39"/>
      <c r="U136" s="39"/>
      <c r="V136" s="39"/>
      <c r="W136" s="39"/>
      <c r="X136" s="39"/>
      <c r="Y136" s="39"/>
      <c r="Z136" s="39"/>
      <c r="AA136" s="39"/>
      <c r="AB136" s="39"/>
      <c r="AC136" s="39"/>
      <c r="AD136" s="39"/>
      <c r="AE136" s="39"/>
      <c r="AF136" s="39"/>
    </row>
    <row r="137" spans="1:32" x14ac:dyDescent="0.35">
      <c r="A137" s="139">
        <v>0.16666666666666699</v>
      </c>
      <c r="B137" s="279">
        <v>0.17280000000000001</v>
      </c>
      <c r="C137" s="279">
        <v>0.21840000000000001</v>
      </c>
      <c r="D137" s="279">
        <v>0</v>
      </c>
      <c r="E137" s="279">
        <v>0</v>
      </c>
      <c r="F137" s="279">
        <v>0</v>
      </c>
      <c r="G137" s="279">
        <v>0</v>
      </c>
      <c r="H137" s="279">
        <v>0</v>
      </c>
      <c r="I137" s="279">
        <v>0.3024</v>
      </c>
      <c r="J137" s="280">
        <v>2536</v>
      </c>
      <c r="K137" s="39"/>
      <c r="L137" s="39"/>
      <c r="M137" s="39"/>
      <c r="N137" s="39"/>
      <c r="O137" s="39"/>
      <c r="P137" s="39"/>
      <c r="Q137" s="39"/>
      <c r="R137" s="39"/>
      <c r="S137" s="39"/>
      <c r="T137" s="39"/>
      <c r="U137" s="39"/>
      <c r="V137" s="39"/>
      <c r="W137" s="39"/>
      <c r="X137" s="39"/>
      <c r="Y137" s="39"/>
      <c r="Z137" s="39"/>
      <c r="AA137" s="39"/>
      <c r="AB137" s="39"/>
      <c r="AC137" s="39"/>
      <c r="AD137" s="39"/>
      <c r="AE137" s="39"/>
      <c r="AF137" s="39"/>
    </row>
    <row r="138" spans="1:32" x14ac:dyDescent="0.35">
      <c r="A138" s="140">
        <v>0.1875</v>
      </c>
      <c r="B138" s="279">
        <v>0.17280000000000001</v>
      </c>
      <c r="C138" s="279">
        <v>0.21840000000000001</v>
      </c>
      <c r="D138" s="279">
        <v>0</v>
      </c>
      <c r="E138" s="279">
        <v>0</v>
      </c>
      <c r="F138" s="279">
        <v>0</v>
      </c>
      <c r="G138" s="279">
        <v>0</v>
      </c>
      <c r="H138" s="279">
        <v>0</v>
      </c>
      <c r="I138" s="279">
        <v>0.3024</v>
      </c>
      <c r="J138" s="280">
        <v>2536</v>
      </c>
      <c r="K138" s="39"/>
      <c r="L138" s="39"/>
      <c r="M138" s="39"/>
      <c r="N138" s="39"/>
      <c r="O138" s="39"/>
      <c r="P138" s="39"/>
      <c r="Q138" s="39"/>
      <c r="R138" s="39"/>
      <c r="S138" s="39"/>
      <c r="T138" s="39"/>
      <c r="U138" s="39"/>
      <c r="V138" s="39"/>
      <c r="W138" s="39"/>
      <c r="X138" s="39"/>
      <c r="Y138" s="39"/>
      <c r="Z138" s="39"/>
      <c r="AA138" s="39"/>
      <c r="AB138" s="39"/>
      <c r="AC138" s="39"/>
      <c r="AD138" s="39"/>
      <c r="AE138" s="39"/>
      <c r="AF138" s="39"/>
    </row>
    <row r="139" spans="1:32" x14ac:dyDescent="0.35">
      <c r="A139" s="139">
        <v>0.20833333333333301</v>
      </c>
      <c r="B139" s="279">
        <v>0.17280000000000001</v>
      </c>
      <c r="C139" s="279">
        <v>0.21840000000000001</v>
      </c>
      <c r="D139" s="279">
        <v>0</v>
      </c>
      <c r="E139" s="279">
        <v>0</v>
      </c>
      <c r="F139" s="279">
        <v>0</v>
      </c>
      <c r="G139" s="279">
        <v>0</v>
      </c>
      <c r="H139" s="279">
        <v>0</v>
      </c>
      <c r="I139" s="279">
        <v>0.3024</v>
      </c>
      <c r="J139" s="280">
        <v>2536</v>
      </c>
      <c r="K139" s="39"/>
      <c r="L139" s="39"/>
      <c r="M139" s="39"/>
      <c r="N139" s="39"/>
      <c r="O139" s="39"/>
      <c r="P139" s="39"/>
      <c r="Q139" s="39"/>
      <c r="R139" s="39"/>
      <c r="S139" s="39"/>
      <c r="T139" s="39"/>
      <c r="U139" s="39"/>
      <c r="V139" s="39"/>
      <c r="W139" s="39"/>
      <c r="X139" s="39"/>
      <c r="Y139" s="39"/>
      <c r="Z139" s="39"/>
      <c r="AA139" s="39"/>
      <c r="AB139" s="39"/>
      <c r="AC139" s="39"/>
      <c r="AD139" s="39"/>
      <c r="AE139" s="39"/>
      <c r="AF139" s="39"/>
    </row>
    <row r="140" spans="1:32" x14ac:dyDescent="0.35">
      <c r="A140" s="140">
        <v>0.22916666666666699</v>
      </c>
      <c r="B140" s="279">
        <v>0.17280000000000001</v>
      </c>
      <c r="C140" s="279">
        <v>0.21840000000000001</v>
      </c>
      <c r="D140" s="279">
        <v>0</v>
      </c>
      <c r="E140" s="279">
        <v>0</v>
      </c>
      <c r="F140" s="279">
        <v>0</v>
      </c>
      <c r="G140" s="279">
        <v>0</v>
      </c>
      <c r="H140" s="279">
        <v>0</v>
      </c>
      <c r="I140" s="279">
        <v>0.3024</v>
      </c>
      <c r="J140" s="280">
        <v>2536</v>
      </c>
      <c r="K140" s="39"/>
      <c r="L140" s="39"/>
      <c r="M140" s="39"/>
      <c r="N140" s="39"/>
      <c r="O140" s="39"/>
      <c r="P140" s="39"/>
      <c r="Q140" s="39"/>
      <c r="R140" s="39"/>
      <c r="S140" s="39"/>
      <c r="T140" s="39"/>
      <c r="U140" s="39"/>
      <c r="V140" s="39"/>
      <c r="W140" s="39"/>
      <c r="X140" s="39"/>
      <c r="Y140" s="39"/>
      <c r="Z140" s="39"/>
      <c r="AA140" s="39"/>
      <c r="AB140" s="39"/>
      <c r="AC140" s="39"/>
      <c r="AD140" s="39"/>
      <c r="AE140" s="39"/>
      <c r="AF140" s="39"/>
    </row>
    <row r="141" spans="1:32" x14ac:dyDescent="0.35">
      <c r="A141" s="139">
        <v>0.25</v>
      </c>
      <c r="B141" s="279">
        <v>0.27263999999999994</v>
      </c>
      <c r="C141" s="279">
        <v>0.34560000000000002</v>
      </c>
      <c r="D141" s="279">
        <v>8.5333333333333332</v>
      </c>
      <c r="E141" s="279">
        <v>1.1639759999999999</v>
      </c>
      <c r="F141" s="279">
        <v>0</v>
      </c>
      <c r="G141" s="279">
        <v>0</v>
      </c>
      <c r="H141" s="279">
        <v>0</v>
      </c>
      <c r="I141" s="279">
        <v>0.56495999999999991</v>
      </c>
      <c r="J141" s="280">
        <v>4000</v>
      </c>
      <c r="K141" s="39"/>
      <c r="L141" s="39"/>
      <c r="M141" s="39"/>
      <c r="N141" s="39"/>
      <c r="O141" s="39"/>
      <c r="P141" s="39"/>
      <c r="Q141" s="39"/>
      <c r="R141" s="39"/>
      <c r="S141" s="39"/>
      <c r="T141" s="39"/>
      <c r="U141" s="39"/>
      <c r="V141" s="39"/>
      <c r="W141" s="39"/>
      <c r="X141" s="39"/>
      <c r="Y141" s="39"/>
      <c r="Z141" s="39"/>
      <c r="AA141" s="39"/>
      <c r="AB141" s="39"/>
      <c r="AC141" s="39"/>
      <c r="AD141" s="39"/>
      <c r="AE141" s="39"/>
      <c r="AF141" s="39"/>
    </row>
    <row r="142" spans="1:32" x14ac:dyDescent="0.35">
      <c r="A142" s="140">
        <v>0.27083333333333298</v>
      </c>
      <c r="B142" s="279">
        <v>0.27263999999999994</v>
      </c>
      <c r="C142" s="279">
        <v>0.34560000000000002</v>
      </c>
      <c r="D142" s="279">
        <v>8.5333333333333332</v>
      </c>
      <c r="E142" s="279">
        <v>1.1639759999999999</v>
      </c>
      <c r="F142" s="279">
        <v>0</v>
      </c>
      <c r="G142" s="279">
        <v>6.4</v>
      </c>
      <c r="H142" s="279">
        <v>0</v>
      </c>
      <c r="I142" s="279">
        <v>0.56495999999999991</v>
      </c>
      <c r="J142" s="280">
        <v>4000</v>
      </c>
      <c r="K142" s="39"/>
      <c r="L142" s="39"/>
      <c r="M142" s="39"/>
      <c r="N142" s="39"/>
      <c r="O142" s="39"/>
      <c r="P142" s="39"/>
      <c r="Q142" s="39"/>
      <c r="R142" s="39"/>
      <c r="S142" s="39"/>
      <c r="T142" s="39"/>
      <c r="U142" s="39"/>
      <c r="V142" s="39"/>
      <c r="W142" s="39"/>
      <c r="X142" s="39"/>
      <c r="Y142" s="39"/>
      <c r="Z142" s="39"/>
      <c r="AA142" s="39"/>
      <c r="AB142" s="39"/>
      <c r="AC142" s="39"/>
      <c r="AD142" s="39"/>
      <c r="AE142" s="39"/>
      <c r="AF142" s="39"/>
    </row>
    <row r="143" spans="1:32" x14ac:dyDescent="0.35">
      <c r="A143" s="139">
        <v>0.29166666666666702</v>
      </c>
      <c r="B143" s="279">
        <v>0.27263999999999994</v>
      </c>
      <c r="C143" s="279">
        <v>0.34560000000000002</v>
      </c>
      <c r="D143" s="279">
        <v>0</v>
      </c>
      <c r="E143" s="279">
        <v>0</v>
      </c>
      <c r="F143" s="279">
        <v>11.132373333333332</v>
      </c>
      <c r="G143" s="279">
        <v>0</v>
      </c>
      <c r="H143" s="279">
        <v>8.8767866666666659</v>
      </c>
      <c r="I143" s="279">
        <v>0.56495999999999991</v>
      </c>
      <c r="J143" s="280">
        <v>4000</v>
      </c>
      <c r="K143" s="39"/>
      <c r="L143" s="39"/>
      <c r="M143" s="39"/>
      <c r="N143" s="39"/>
      <c r="O143" s="39"/>
      <c r="P143" s="39"/>
      <c r="Q143" s="39"/>
      <c r="R143" s="39"/>
      <c r="S143" s="39"/>
      <c r="T143" s="39"/>
      <c r="U143" s="39"/>
      <c r="V143" s="39"/>
      <c r="W143" s="39"/>
      <c r="X143" s="39"/>
      <c r="Y143" s="39"/>
      <c r="Z143" s="39"/>
      <c r="AA143" s="39"/>
      <c r="AB143" s="39"/>
      <c r="AC143" s="39"/>
      <c r="AD143" s="39"/>
      <c r="AE143" s="39"/>
      <c r="AF143" s="39"/>
    </row>
    <row r="144" spans="1:32" x14ac:dyDescent="0.35">
      <c r="A144" s="140">
        <v>0.3125</v>
      </c>
      <c r="B144" s="279">
        <v>0.27263999999999994</v>
      </c>
      <c r="C144" s="279">
        <v>0.34560000000000002</v>
      </c>
      <c r="D144" s="279">
        <v>0</v>
      </c>
      <c r="E144" s="279">
        <v>0</v>
      </c>
      <c r="F144" s="279">
        <v>0</v>
      </c>
      <c r="G144" s="279">
        <v>0</v>
      </c>
      <c r="H144" s="279">
        <v>0</v>
      </c>
      <c r="I144" s="279">
        <v>0.56495999999999991</v>
      </c>
      <c r="J144" s="280">
        <v>4000</v>
      </c>
      <c r="K144" s="39"/>
      <c r="L144" s="39"/>
      <c r="M144" s="39"/>
      <c r="N144" s="39"/>
      <c r="O144" s="39"/>
      <c r="P144" s="39"/>
      <c r="Q144" s="39"/>
      <c r="R144" s="39"/>
      <c r="S144" s="39"/>
      <c r="T144" s="39"/>
      <c r="U144" s="39"/>
      <c r="V144" s="39"/>
      <c r="W144" s="39"/>
      <c r="X144" s="39"/>
      <c r="Y144" s="39"/>
      <c r="Z144" s="39"/>
      <c r="AA144" s="39"/>
      <c r="AB144" s="39"/>
      <c r="AC144" s="39"/>
      <c r="AD144" s="39"/>
      <c r="AE144" s="39"/>
      <c r="AF144" s="39"/>
    </row>
    <row r="145" spans="1:32" x14ac:dyDescent="0.35">
      <c r="A145" s="139">
        <v>0.33333333333333298</v>
      </c>
      <c r="B145" s="279">
        <v>0.27263999999999994</v>
      </c>
      <c r="C145" s="279">
        <v>0.34560000000000002</v>
      </c>
      <c r="D145" s="279">
        <v>0</v>
      </c>
      <c r="E145" s="279">
        <v>0</v>
      </c>
      <c r="F145" s="279">
        <v>0</v>
      </c>
      <c r="G145" s="279">
        <v>0</v>
      </c>
      <c r="H145" s="279">
        <v>0</v>
      </c>
      <c r="I145" s="279">
        <v>0.56495999999999991</v>
      </c>
      <c r="J145" s="280">
        <v>4000</v>
      </c>
      <c r="K145" s="39"/>
      <c r="L145" s="39"/>
      <c r="M145" s="39"/>
      <c r="N145" s="39"/>
      <c r="O145" s="39"/>
      <c r="P145" s="39"/>
      <c r="Q145" s="39"/>
      <c r="R145" s="39"/>
      <c r="S145" s="39"/>
      <c r="T145" s="39"/>
      <c r="U145" s="39"/>
      <c r="V145" s="39"/>
      <c r="W145" s="39"/>
      <c r="X145" s="39"/>
      <c r="Y145" s="39"/>
      <c r="Z145" s="39"/>
      <c r="AA145" s="39"/>
      <c r="AB145" s="39"/>
      <c r="AC145" s="39"/>
      <c r="AD145" s="39"/>
      <c r="AE145" s="39"/>
      <c r="AF145" s="39"/>
    </row>
    <row r="146" spans="1:32" x14ac:dyDescent="0.35">
      <c r="A146" s="140">
        <v>0.35416666666666702</v>
      </c>
      <c r="B146" s="279">
        <v>0.27263999999999994</v>
      </c>
      <c r="C146" s="279">
        <v>0.34560000000000002</v>
      </c>
      <c r="D146" s="279">
        <v>0</v>
      </c>
      <c r="E146" s="279">
        <v>0</v>
      </c>
      <c r="F146" s="279">
        <v>0</v>
      </c>
      <c r="G146" s="279">
        <v>0</v>
      </c>
      <c r="H146" s="279">
        <v>0</v>
      </c>
      <c r="I146" s="279">
        <v>0.56495999999999991</v>
      </c>
      <c r="J146" s="280">
        <v>4000</v>
      </c>
      <c r="K146" s="39"/>
      <c r="L146" s="39"/>
      <c r="M146" s="39"/>
      <c r="N146" s="39"/>
      <c r="O146" s="39"/>
      <c r="P146" s="39"/>
      <c r="Q146" s="39"/>
      <c r="R146" s="39"/>
      <c r="S146" s="39"/>
      <c r="T146" s="39"/>
      <c r="U146" s="39"/>
      <c r="V146" s="39"/>
      <c r="W146" s="39"/>
      <c r="X146" s="39"/>
      <c r="Y146" s="39"/>
      <c r="Z146" s="39"/>
      <c r="AA146" s="39"/>
      <c r="AB146" s="39"/>
      <c r="AC146" s="39"/>
      <c r="AD146" s="39"/>
      <c r="AE146" s="39"/>
      <c r="AF146" s="39"/>
    </row>
    <row r="147" spans="1:32" x14ac:dyDescent="0.35">
      <c r="A147" s="139">
        <v>0.375</v>
      </c>
      <c r="B147" s="279">
        <v>0.27263999999999994</v>
      </c>
      <c r="C147" s="279">
        <v>0.34560000000000002</v>
      </c>
      <c r="D147" s="279">
        <v>0</v>
      </c>
      <c r="E147" s="279">
        <v>0</v>
      </c>
      <c r="F147" s="279">
        <v>0</v>
      </c>
      <c r="G147" s="279">
        <v>0</v>
      </c>
      <c r="H147" s="279">
        <v>0</v>
      </c>
      <c r="I147" s="279">
        <v>0.56495999999999991</v>
      </c>
      <c r="J147" s="280">
        <v>4000</v>
      </c>
      <c r="K147" s="39"/>
      <c r="L147" s="39"/>
      <c r="M147" s="39"/>
      <c r="N147" s="39"/>
      <c r="O147" s="39"/>
      <c r="P147" s="39"/>
      <c r="Q147" s="39"/>
      <c r="R147" s="39"/>
      <c r="S147" s="39"/>
      <c r="T147" s="39"/>
      <c r="U147" s="39"/>
      <c r="V147" s="39"/>
      <c r="W147" s="39"/>
      <c r="X147" s="39"/>
      <c r="Y147" s="39"/>
      <c r="Z147" s="39"/>
      <c r="AA147" s="39"/>
      <c r="AB147" s="39"/>
      <c r="AC147" s="39"/>
      <c r="AD147" s="39"/>
      <c r="AE147" s="39"/>
      <c r="AF147" s="39"/>
    </row>
    <row r="148" spans="1:32" x14ac:dyDescent="0.35">
      <c r="A148" s="140">
        <v>0.39583333333333298</v>
      </c>
      <c r="B148" s="279">
        <v>0.27263999999999994</v>
      </c>
      <c r="C148" s="279">
        <v>0.34560000000000002</v>
      </c>
      <c r="D148" s="279">
        <v>0</v>
      </c>
      <c r="E148" s="279">
        <v>0</v>
      </c>
      <c r="F148" s="279">
        <v>0</v>
      </c>
      <c r="G148" s="279">
        <v>0</v>
      </c>
      <c r="H148" s="279">
        <v>0</v>
      </c>
      <c r="I148" s="279">
        <v>0.56495999999999991</v>
      </c>
      <c r="J148" s="280">
        <v>4000</v>
      </c>
      <c r="K148" s="39"/>
      <c r="L148" s="39"/>
      <c r="M148" s="39"/>
      <c r="N148" s="39"/>
      <c r="O148" s="39"/>
      <c r="P148" s="39"/>
      <c r="Q148" s="39"/>
      <c r="R148" s="39"/>
      <c r="S148" s="39"/>
      <c r="T148" s="39"/>
      <c r="U148" s="39"/>
      <c r="V148" s="39"/>
      <c r="W148" s="39"/>
      <c r="X148" s="39"/>
      <c r="Y148" s="39"/>
      <c r="Z148" s="39"/>
      <c r="AA148" s="39"/>
      <c r="AB148" s="39"/>
      <c r="AC148" s="39"/>
      <c r="AD148" s="39"/>
      <c r="AE148" s="39"/>
      <c r="AF148" s="39"/>
    </row>
    <row r="149" spans="1:32" x14ac:dyDescent="0.35">
      <c r="A149" s="139">
        <v>0.41666666666666702</v>
      </c>
      <c r="B149" s="279">
        <v>1.08192</v>
      </c>
      <c r="C149" s="279">
        <v>1.3692</v>
      </c>
      <c r="D149" s="279">
        <v>0</v>
      </c>
      <c r="E149" s="279">
        <v>0</v>
      </c>
      <c r="F149" s="279">
        <v>0</v>
      </c>
      <c r="G149" s="279">
        <v>0</v>
      </c>
      <c r="H149" s="279">
        <v>0</v>
      </c>
      <c r="I149" s="279">
        <v>2.4383999999999997</v>
      </c>
      <c r="J149" s="280">
        <v>10234</v>
      </c>
      <c r="K149" s="39"/>
      <c r="L149" s="39"/>
      <c r="M149" s="39"/>
      <c r="N149" s="39"/>
      <c r="O149" s="39"/>
      <c r="P149" s="39"/>
      <c r="Q149" s="39"/>
      <c r="R149" s="39"/>
      <c r="S149" s="39"/>
      <c r="T149" s="39"/>
      <c r="U149" s="39"/>
      <c r="V149" s="39"/>
      <c r="W149" s="39"/>
      <c r="X149" s="39"/>
      <c r="Y149" s="39"/>
      <c r="Z149" s="39"/>
      <c r="AA149" s="39"/>
      <c r="AB149" s="39"/>
      <c r="AC149" s="39"/>
      <c r="AD149" s="39"/>
      <c r="AE149" s="39"/>
      <c r="AF149" s="39"/>
    </row>
    <row r="150" spans="1:32" x14ac:dyDescent="0.35">
      <c r="A150" s="140">
        <v>0.4375</v>
      </c>
      <c r="B150" s="279">
        <v>1.08192</v>
      </c>
      <c r="C150" s="279">
        <v>1.3692</v>
      </c>
      <c r="D150" s="279">
        <v>0</v>
      </c>
      <c r="E150" s="279">
        <v>0</v>
      </c>
      <c r="F150" s="279">
        <v>0</v>
      </c>
      <c r="G150" s="279">
        <v>0</v>
      </c>
      <c r="H150" s="279">
        <v>0</v>
      </c>
      <c r="I150" s="279">
        <v>4.1690399999999999</v>
      </c>
      <c r="J150" s="280">
        <v>13896</v>
      </c>
      <c r="K150" s="39"/>
      <c r="L150" s="39"/>
      <c r="M150" s="39"/>
      <c r="N150" s="39"/>
      <c r="O150" s="39"/>
      <c r="P150" s="39"/>
      <c r="Q150" s="39"/>
      <c r="R150" s="39"/>
      <c r="S150" s="39"/>
      <c r="T150" s="39"/>
      <c r="U150" s="39"/>
      <c r="V150" s="39"/>
      <c r="W150" s="39"/>
      <c r="X150" s="39"/>
      <c r="Y150" s="39"/>
      <c r="Z150" s="39"/>
      <c r="AA150" s="39"/>
      <c r="AB150" s="39"/>
      <c r="AC150" s="39"/>
      <c r="AD150" s="39"/>
      <c r="AE150" s="39"/>
      <c r="AF150" s="39"/>
    </row>
    <row r="151" spans="1:32" x14ac:dyDescent="0.35">
      <c r="A151" s="139">
        <v>0.45833333333333298</v>
      </c>
      <c r="B151" s="279">
        <v>0.27263999999999994</v>
      </c>
      <c r="C151" s="279">
        <v>0.34560000000000002</v>
      </c>
      <c r="D151" s="279">
        <v>0</v>
      </c>
      <c r="E151" s="279">
        <v>0</v>
      </c>
      <c r="F151" s="279">
        <v>3.194655</v>
      </c>
      <c r="G151" s="279">
        <v>0.4</v>
      </c>
      <c r="H151" s="279">
        <v>0</v>
      </c>
      <c r="I151" s="279">
        <v>1.4073600000000002</v>
      </c>
      <c r="J151" s="280">
        <v>6699</v>
      </c>
      <c r="K151" s="39"/>
      <c r="L151" s="39"/>
      <c r="M151" s="39"/>
      <c r="N151" s="39"/>
      <c r="O151" s="39"/>
      <c r="P151" s="39"/>
      <c r="Q151" s="39"/>
      <c r="R151" s="39"/>
      <c r="S151" s="39"/>
      <c r="T151" s="39"/>
      <c r="U151" s="39"/>
      <c r="V151" s="39"/>
      <c r="W151" s="39"/>
      <c r="X151" s="39"/>
      <c r="Y151" s="39"/>
      <c r="Z151" s="39"/>
      <c r="AA151" s="39"/>
      <c r="AB151" s="39"/>
      <c r="AC151" s="39"/>
      <c r="AD151" s="39"/>
      <c r="AE151" s="39"/>
      <c r="AF151" s="39"/>
    </row>
    <row r="152" spans="1:32" x14ac:dyDescent="0.35">
      <c r="A152" s="140">
        <v>0.47916666666666702</v>
      </c>
      <c r="B152" s="279">
        <v>0.27263999999999994</v>
      </c>
      <c r="C152" s="279">
        <v>0.34560000000000002</v>
      </c>
      <c r="D152" s="279">
        <v>0</v>
      </c>
      <c r="E152" s="279">
        <v>0</v>
      </c>
      <c r="F152" s="279">
        <v>3.194655</v>
      </c>
      <c r="G152" s="279">
        <v>0.4</v>
      </c>
      <c r="H152" s="279">
        <v>0</v>
      </c>
      <c r="I152" s="279">
        <v>1.4073600000000002</v>
      </c>
      <c r="J152" s="280">
        <v>6699</v>
      </c>
      <c r="K152" s="39"/>
      <c r="L152" s="39"/>
      <c r="M152" s="39"/>
      <c r="N152" s="39"/>
      <c r="O152" s="39"/>
      <c r="P152" s="39"/>
      <c r="Q152" s="39"/>
      <c r="R152" s="39"/>
      <c r="S152" s="39"/>
      <c r="T152" s="39"/>
      <c r="U152" s="39"/>
      <c r="V152" s="39"/>
      <c r="W152" s="39"/>
      <c r="X152" s="39"/>
      <c r="Y152" s="39"/>
      <c r="Z152" s="39"/>
      <c r="AA152" s="39"/>
      <c r="AB152" s="39"/>
      <c r="AC152" s="39"/>
      <c r="AD152" s="39"/>
      <c r="AE152" s="39"/>
      <c r="AF152" s="39"/>
    </row>
    <row r="153" spans="1:32" x14ac:dyDescent="0.35">
      <c r="A153" s="139">
        <v>0.5</v>
      </c>
      <c r="B153" s="279">
        <v>0.27263999999999994</v>
      </c>
      <c r="C153" s="279">
        <v>0.34560000000000002</v>
      </c>
      <c r="D153" s="279">
        <v>0</v>
      </c>
      <c r="E153" s="279">
        <v>0</v>
      </c>
      <c r="F153" s="279">
        <v>5.5661866666666659</v>
      </c>
      <c r="G153" s="279">
        <v>0.8</v>
      </c>
      <c r="H153" s="279">
        <v>4.438393333333333</v>
      </c>
      <c r="I153" s="279">
        <v>0.56495999999999991</v>
      </c>
      <c r="J153" s="280">
        <v>4000</v>
      </c>
      <c r="K153" s="39"/>
      <c r="L153" s="39"/>
      <c r="M153" s="39"/>
      <c r="N153" s="39"/>
      <c r="O153" s="39"/>
      <c r="P153" s="39"/>
      <c r="Q153" s="39"/>
      <c r="R153" s="39"/>
      <c r="S153" s="39"/>
      <c r="T153" s="39"/>
      <c r="U153" s="39"/>
      <c r="V153" s="39"/>
      <c r="W153" s="39"/>
      <c r="X153" s="39"/>
      <c r="Y153" s="39"/>
      <c r="Z153" s="39"/>
      <c r="AA153" s="39"/>
      <c r="AB153" s="39"/>
      <c r="AC153" s="39"/>
      <c r="AD153" s="39"/>
      <c r="AE153" s="39"/>
      <c r="AF153" s="39"/>
    </row>
    <row r="154" spans="1:32" x14ac:dyDescent="0.35">
      <c r="A154" s="140">
        <v>0.52083333333333304</v>
      </c>
      <c r="B154" s="279">
        <v>0.27263999999999994</v>
      </c>
      <c r="C154" s="279">
        <v>0.34560000000000002</v>
      </c>
      <c r="D154" s="279">
        <v>0</v>
      </c>
      <c r="E154" s="279">
        <v>0</v>
      </c>
      <c r="F154" s="279">
        <v>5.5661866666666659</v>
      </c>
      <c r="G154" s="279">
        <v>0.8</v>
      </c>
      <c r="H154" s="279">
        <v>4.438393333333333</v>
      </c>
      <c r="I154" s="279">
        <v>0.56495999999999991</v>
      </c>
      <c r="J154" s="280">
        <v>4000</v>
      </c>
      <c r="K154" s="39"/>
      <c r="L154" s="39"/>
      <c r="M154" s="39"/>
      <c r="N154" s="39"/>
      <c r="O154" s="39"/>
      <c r="P154" s="39"/>
      <c r="Q154" s="39"/>
      <c r="R154" s="39"/>
      <c r="S154" s="39"/>
      <c r="T154" s="39"/>
      <c r="U154" s="39"/>
      <c r="V154" s="39"/>
      <c r="W154" s="39"/>
      <c r="X154" s="39"/>
      <c r="Y154" s="39"/>
      <c r="Z154" s="39"/>
      <c r="AA154" s="39"/>
      <c r="AB154" s="39"/>
      <c r="AC154" s="39"/>
      <c r="AD154" s="39"/>
      <c r="AE154" s="39"/>
      <c r="AF154" s="39"/>
    </row>
    <row r="155" spans="1:32" x14ac:dyDescent="0.35">
      <c r="A155" s="139">
        <v>0.54166666666666696</v>
      </c>
      <c r="B155" s="279">
        <v>0.67727999999999999</v>
      </c>
      <c r="C155" s="279">
        <v>0.85739999999999994</v>
      </c>
      <c r="D155" s="279">
        <v>0</v>
      </c>
      <c r="E155" s="279">
        <v>0</v>
      </c>
      <c r="F155" s="279">
        <v>0</v>
      </c>
      <c r="G155" s="279">
        <v>0</v>
      </c>
      <c r="H155" s="279">
        <v>0</v>
      </c>
      <c r="I155" s="279">
        <v>1.5016800000000001</v>
      </c>
      <c r="J155" s="280">
        <v>7117</v>
      </c>
      <c r="K155" s="39"/>
      <c r="L155" s="39"/>
      <c r="M155" s="39"/>
      <c r="N155" s="39"/>
      <c r="O155" s="39"/>
      <c r="P155" s="39"/>
      <c r="Q155" s="39"/>
      <c r="R155" s="39"/>
      <c r="S155" s="39"/>
      <c r="T155" s="39"/>
      <c r="U155" s="39"/>
      <c r="V155" s="39"/>
      <c r="W155" s="39"/>
      <c r="X155" s="39"/>
      <c r="Y155" s="39"/>
      <c r="Z155" s="39"/>
      <c r="AA155" s="39"/>
      <c r="AB155" s="39"/>
      <c r="AC155" s="39"/>
      <c r="AD155" s="39"/>
      <c r="AE155" s="39"/>
      <c r="AF155" s="39"/>
    </row>
    <row r="156" spans="1:32" x14ac:dyDescent="0.35">
      <c r="A156" s="140">
        <v>0.5625</v>
      </c>
      <c r="B156" s="279">
        <v>0.67727999999999999</v>
      </c>
      <c r="C156" s="279">
        <v>0.85739999999999994</v>
      </c>
      <c r="D156" s="279">
        <v>0</v>
      </c>
      <c r="E156" s="279">
        <v>0</v>
      </c>
      <c r="F156" s="279">
        <v>0</v>
      </c>
      <c r="G156" s="279">
        <v>0</v>
      </c>
      <c r="H156" s="279">
        <v>0</v>
      </c>
      <c r="I156" s="279">
        <v>2.3669999999999995</v>
      </c>
      <c r="J156" s="280">
        <v>8948</v>
      </c>
      <c r="K156" s="39"/>
      <c r="L156" s="39"/>
      <c r="M156" s="39"/>
      <c r="N156" s="39"/>
      <c r="O156" s="39"/>
      <c r="P156" s="39"/>
      <c r="Q156" s="39"/>
      <c r="R156" s="39"/>
      <c r="S156" s="39"/>
      <c r="T156" s="39"/>
      <c r="U156" s="39"/>
      <c r="V156" s="39"/>
      <c r="W156" s="39"/>
      <c r="X156" s="39"/>
      <c r="Y156" s="39"/>
      <c r="Z156" s="39"/>
      <c r="AA156" s="39"/>
      <c r="AB156" s="39"/>
      <c r="AC156" s="39"/>
      <c r="AD156" s="39"/>
      <c r="AE156" s="39"/>
      <c r="AF156" s="39"/>
    </row>
    <row r="157" spans="1:32" x14ac:dyDescent="0.35">
      <c r="A157" s="139">
        <v>0.58333333333333304</v>
      </c>
      <c r="B157" s="279">
        <v>0.27263999999999994</v>
      </c>
      <c r="C157" s="279">
        <v>0.34560000000000002</v>
      </c>
      <c r="D157" s="279">
        <v>0</v>
      </c>
      <c r="E157" s="279">
        <v>0</v>
      </c>
      <c r="F157" s="279">
        <v>1.5973275</v>
      </c>
      <c r="G157" s="279">
        <v>0.2</v>
      </c>
      <c r="H157" s="279">
        <v>0</v>
      </c>
      <c r="I157" s="279">
        <v>0.98615999999999993</v>
      </c>
      <c r="J157" s="280">
        <v>5349.5</v>
      </c>
      <c r="K157" s="39"/>
      <c r="L157" s="39"/>
      <c r="M157" s="39"/>
      <c r="N157" s="39"/>
      <c r="O157" s="39"/>
      <c r="P157" s="39"/>
      <c r="Q157" s="39"/>
      <c r="R157" s="39"/>
      <c r="S157" s="39"/>
      <c r="T157" s="39"/>
      <c r="U157" s="39"/>
      <c r="V157" s="39"/>
      <c r="W157" s="39"/>
      <c r="X157" s="39"/>
      <c r="Y157" s="39"/>
      <c r="Z157" s="39"/>
      <c r="AA157" s="39"/>
      <c r="AB157" s="39"/>
      <c r="AC157" s="39"/>
      <c r="AD157" s="39"/>
      <c r="AE157" s="39"/>
      <c r="AF157" s="39"/>
    </row>
    <row r="158" spans="1:32" x14ac:dyDescent="0.35">
      <c r="A158" s="140">
        <v>0.60416666666666696</v>
      </c>
      <c r="B158" s="279">
        <v>0.27263999999999994</v>
      </c>
      <c r="C158" s="279">
        <v>0.34560000000000002</v>
      </c>
      <c r="D158" s="279">
        <v>0</v>
      </c>
      <c r="E158" s="279">
        <v>0</v>
      </c>
      <c r="F158" s="279">
        <v>1.5973275</v>
      </c>
      <c r="G158" s="279">
        <v>0.2</v>
      </c>
      <c r="H158" s="279">
        <v>0</v>
      </c>
      <c r="I158" s="279">
        <v>0.98615999999999993</v>
      </c>
      <c r="J158" s="280">
        <v>5349.5</v>
      </c>
      <c r="K158" s="39"/>
      <c r="L158" s="39"/>
      <c r="M158" s="39"/>
      <c r="N158" s="39"/>
      <c r="O158" s="39"/>
      <c r="P158" s="39"/>
      <c r="Q158" s="39"/>
      <c r="R158" s="39"/>
      <c r="S158" s="39"/>
      <c r="T158" s="39"/>
      <c r="U158" s="39"/>
      <c r="V158" s="39"/>
      <c r="W158" s="39"/>
      <c r="X158" s="39"/>
      <c r="Y158" s="39"/>
      <c r="Z158" s="39"/>
      <c r="AA158" s="39"/>
      <c r="AB158" s="39"/>
      <c r="AC158" s="39"/>
      <c r="AD158" s="39"/>
      <c r="AE158" s="39"/>
      <c r="AF158" s="39"/>
    </row>
    <row r="159" spans="1:32" x14ac:dyDescent="0.35">
      <c r="A159" s="139">
        <v>0.625</v>
      </c>
      <c r="B159" s="279">
        <v>0.27263999999999994</v>
      </c>
      <c r="C159" s="279">
        <v>0.34560000000000002</v>
      </c>
      <c r="D159" s="279">
        <v>0</v>
      </c>
      <c r="E159" s="279">
        <v>0</v>
      </c>
      <c r="F159" s="279">
        <v>0</v>
      </c>
      <c r="G159" s="279">
        <v>0</v>
      </c>
      <c r="H159" s="279">
        <v>0</v>
      </c>
      <c r="I159" s="279">
        <v>0.56495999999999991</v>
      </c>
      <c r="J159" s="280">
        <v>4000</v>
      </c>
      <c r="K159" s="39"/>
      <c r="L159" s="39"/>
      <c r="M159" s="39"/>
      <c r="N159" s="39"/>
      <c r="O159" s="39"/>
      <c r="P159" s="39"/>
      <c r="Q159" s="39"/>
      <c r="R159" s="39"/>
      <c r="S159" s="39"/>
      <c r="T159" s="39"/>
      <c r="U159" s="39"/>
      <c r="V159" s="39"/>
      <c r="W159" s="39"/>
      <c r="X159" s="39"/>
      <c r="Y159" s="39"/>
      <c r="Z159" s="39"/>
      <c r="AA159" s="39"/>
      <c r="AB159" s="39"/>
      <c r="AC159" s="39"/>
      <c r="AD159" s="39"/>
      <c r="AE159" s="39"/>
      <c r="AF159" s="39"/>
    </row>
    <row r="160" spans="1:32" x14ac:dyDescent="0.35">
      <c r="A160" s="140">
        <v>0.64583333333333304</v>
      </c>
      <c r="B160" s="279">
        <v>0.27263999999999994</v>
      </c>
      <c r="C160" s="279">
        <v>0.34560000000000002</v>
      </c>
      <c r="D160" s="279">
        <v>0</v>
      </c>
      <c r="E160" s="279">
        <v>0</v>
      </c>
      <c r="F160" s="279">
        <v>0</v>
      </c>
      <c r="G160" s="279">
        <v>0</v>
      </c>
      <c r="H160" s="279">
        <v>0</v>
      </c>
      <c r="I160" s="279">
        <v>0.56495999999999991</v>
      </c>
      <c r="J160" s="280">
        <v>4000</v>
      </c>
      <c r="K160" s="39"/>
      <c r="L160" s="39"/>
      <c r="M160" s="39"/>
      <c r="N160" s="39"/>
      <c r="O160" s="39"/>
      <c r="P160" s="39"/>
      <c r="Q160" s="39"/>
      <c r="R160" s="39"/>
      <c r="S160" s="39"/>
      <c r="T160" s="39"/>
      <c r="U160" s="39"/>
      <c r="V160" s="39"/>
      <c r="W160" s="39"/>
      <c r="X160" s="39"/>
      <c r="Y160" s="39"/>
      <c r="Z160" s="39"/>
      <c r="AA160" s="39"/>
      <c r="AB160" s="39"/>
      <c r="AC160" s="39"/>
      <c r="AD160" s="39"/>
      <c r="AE160" s="39"/>
      <c r="AF160" s="39"/>
    </row>
    <row r="161" spans="1:32" x14ac:dyDescent="0.35">
      <c r="A161" s="139">
        <v>0.66666666666666696</v>
      </c>
      <c r="B161" s="279">
        <v>0.67727999999999988</v>
      </c>
      <c r="C161" s="279">
        <v>0.85739999999999994</v>
      </c>
      <c r="D161" s="279">
        <v>0</v>
      </c>
      <c r="E161" s="279">
        <v>0</v>
      </c>
      <c r="F161" s="279">
        <v>0</v>
      </c>
      <c r="G161" s="279">
        <v>0</v>
      </c>
      <c r="H161" s="279">
        <v>0</v>
      </c>
      <c r="I161" s="279">
        <v>1.5016799999999999</v>
      </c>
      <c r="J161" s="280">
        <v>7117</v>
      </c>
      <c r="K161" s="39"/>
      <c r="L161" s="39"/>
      <c r="M161" s="39"/>
      <c r="N161" s="39"/>
      <c r="O161" s="39"/>
      <c r="P161" s="39"/>
      <c r="Q161" s="39"/>
      <c r="R161" s="39"/>
      <c r="S161" s="39"/>
      <c r="T161" s="39"/>
      <c r="U161" s="39"/>
      <c r="V161" s="39"/>
      <c r="W161" s="39"/>
      <c r="X161" s="39"/>
      <c r="Y161" s="39"/>
      <c r="Z161" s="39"/>
      <c r="AA161" s="39"/>
      <c r="AB161" s="39"/>
      <c r="AC161" s="39"/>
      <c r="AD161" s="39"/>
      <c r="AE161" s="39"/>
      <c r="AF161" s="39"/>
    </row>
    <row r="162" spans="1:32" x14ac:dyDescent="0.35">
      <c r="A162" s="140">
        <v>0.6875</v>
      </c>
      <c r="B162" s="279">
        <v>0.67727999999999988</v>
      </c>
      <c r="C162" s="279">
        <v>0.85739999999999994</v>
      </c>
      <c r="D162" s="279">
        <v>0</v>
      </c>
      <c r="E162" s="279">
        <v>0</v>
      </c>
      <c r="F162" s="279">
        <v>0</v>
      </c>
      <c r="G162" s="279">
        <v>0</v>
      </c>
      <c r="H162" s="279">
        <v>0</v>
      </c>
      <c r="I162" s="279">
        <v>2.367</v>
      </c>
      <c r="J162" s="280">
        <v>8948</v>
      </c>
      <c r="K162" s="39"/>
      <c r="L162" s="39"/>
      <c r="M162" s="39"/>
      <c r="N162" s="39"/>
      <c r="O162" s="39"/>
      <c r="P162" s="39"/>
      <c r="Q162" s="39"/>
      <c r="R162" s="39"/>
      <c r="S162" s="39"/>
      <c r="T162" s="39"/>
      <c r="U162" s="39"/>
      <c r="V162" s="39"/>
      <c r="W162" s="39"/>
      <c r="X162" s="39"/>
      <c r="Y162" s="39"/>
      <c r="Z162" s="39"/>
      <c r="AA162" s="39"/>
      <c r="AB162" s="39"/>
      <c r="AC162" s="39"/>
      <c r="AD162" s="39"/>
      <c r="AE162" s="39"/>
      <c r="AF162" s="39"/>
    </row>
    <row r="163" spans="1:32" x14ac:dyDescent="0.35">
      <c r="A163" s="139">
        <v>0.70833333333333304</v>
      </c>
      <c r="B163" s="279">
        <v>0.27263999999999994</v>
      </c>
      <c r="C163" s="279">
        <v>0.34560000000000002</v>
      </c>
      <c r="D163" s="279">
        <v>0</v>
      </c>
      <c r="E163" s="279">
        <v>0</v>
      </c>
      <c r="F163" s="279">
        <v>1.5973275</v>
      </c>
      <c r="G163" s="279">
        <v>0.2</v>
      </c>
      <c r="H163" s="279">
        <v>0</v>
      </c>
      <c r="I163" s="279">
        <v>0.98615999999999993</v>
      </c>
      <c r="J163" s="280">
        <v>5349.5</v>
      </c>
      <c r="K163" s="39"/>
      <c r="L163" s="39"/>
      <c r="M163" s="39"/>
      <c r="N163" s="39"/>
      <c r="O163" s="39"/>
      <c r="P163" s="39"/>
      <c r="Q163" s="39"/>
      <c r="R163" s="39"/>
      <c r="S163" s="39"/>
      <c r="T163" s="39"/>
      <c r="U163" s="39"/>
      <c r="V163" s="39"/>
      <c r="W163" s="39"/>
      <c r="X163" s="39"/>
      <c r="Y163" s="39"/>
      <c r="Z163" s="39"/>
      <c r="AA163" s="39"/>
      <c r="AB163" s="39"/>
      <c r="AC163" s="39"/>
      <c r="AD163" s="39"/>
      <c r="AE163" s="39"/>
      <c r="AF163" s="39"/>
    </row>
    <row r="164" spans="1:32" x14ac:dyDescent="0.35">
      <c r="A164" s="140">
        <v>0.72916666666666696</v>
      </c>
      <c r="B164" s="279">
        <v>0.27263999999999994</v>
      </c>
      <c r="C164" s="279">
        <v>0.34560000000000002</v>
      </c>
      <c r="D164" s="279">
        <v>0</v>
      </c>
      <c r="E164" s="279">
        <v>0</v>
      </c>
      <c r="F164" s="279">
        <v>1.5973275</v>
      </c>
      <c r="G164" s="279">
        <v>0.2</v>
      </c>
      <c r="H164" s="279">
        <v>0</v>
      </c>
      <c r="I164" s="279">
        <v>0.98615999999999993</v>
      </c>
      <c r="J164" s="280">
        <v>5349.5</v>
      </c>
      <c r="K164" s="39"/>
      <c r="L164" s="39"/>
      <c r="M164" s="39"/>
      <c r="N164" s="39"/>
      <c r="O164" s="39"/>
      <c r="P164" s="39"/>
      <c r="Q164" s="39"/>
      <c r="R164" s="39"/>
      <c r="S164" s="39"/>
      <c r="T164" s="39"/>
      <c r="U164" s="39"/>
      <c r="V164" s="39"/>
      <c r="W164" s="39"/>
      <c r="X164" s="39"/>
      <c r="Y164" s="39"/>
      <c r="Z164" s="39"/>
      <c r="AA164" s="39"/>
      <c r="AB164" s="39"/>
      <c r="AC164" s="39"/>
      <c r="AD164" s="39"/>
      <c r="AE164" s="39"/>
      <c r="AF164" s="39"/>
    </row>
    <row r="165" spans="1:32" x14ac:dyDescent="0.35">
      <c r="A165" s="139">
        <v>0.75</v>
      </c>
      <c r="B165" s="279">
        <v>0.27263999999999994</v>
      </c>
      <c r="C165" s="279">
        <v>0.34560000000000002</v>
      </c>
      <c r="D165" s="279">
        <v>0</v>
      </c>
      <c r="E165" s="279">
        <v>0</v>
      </c>
      <c r="F165" s="279">
        <v>0</v>
      </c>
      <c r="G165" s="279">
        <v>0</v>
      </c>
      <c r="H165" s="279">
        <v>0</v>
      </c>
      <c r="I165" s="279">
        <v>0.56495999999999991</v>
      </c>
      <c r="J165" s="280">
        <v>4000</v>
      </c>
      <c r="K165" s="39"/>
      <c r="L165" s="39"/>
      <c r="M165" s="39"/>
      <c r="N165" s="39"/>
      <c r="O165" s="39"/>
      <c r="P165" s="39"/>
      <c r="Q165" s="39"/>
      <c r="R165" s="39"/>
      <c r="S165" s="39"/>
      <c r="T165" s="39"/>
      <c r="U165" s="39"/>
      <c r="V165" s="39"/>
      <c r="W165" s="39"/>
      <c r="X165" s="39"/>
      <c r="Y165" s="39"/>
      <c r="Z165" s="39"/>
      <c r="AA165" s="39"/>
      <c r="AB165" s="39"/>
      <c r="AC165" s="39"/>
      <c r="AD165" s="39"/>
      <c r="AE165" s="39"/>
      <c r="AF165" s="39"/>
    </row>
    <row r="166" spans="1:32" x14ac:dyDescent="0.35">
      <c r="A166" s="140">
        <v>0.77083333333333304</v>
      </c>
      <c r="B166" s="279">
        <v>0.27263999999999994</v>
      </c>
      <c r="C166" s="279">
        <v>0.34560000000000002</v>
      </c>
      <c r="D166" s="279">
        <v>0</v>
      </c>
      <c r="E166" s="279">
        <v>0</v>
      </c>
      <c r="F166" s="279">
        <v>0</v>
      </c>
      <c r="G166" s="279">
        <v>0</v>
      </c>
      <c r="H166" s="279">
        <v>0</v>
      </c>
      <c r="I166" s="279">
        <v>0.56495999999999991</v>
      </c>
      <c r="J166" s="280">
        <v>4000</v>
      </c>
      <c r="K166" s="39"/>
      <c r="L166" s="39"/>
      <c r="M166" s="39"/>
      <c r="N166" s="39"/>
      <c r="O166" s="39"/>
      <c r="P166" s="39"/>
      <c r="Q166" s="39"/>
      <c r="R166" s="39"/>
      <c r="S166" s="39"/>
      <c r="T166" s="39"/>
      <c r="U166" s="39"/>
      <c r="V166" s="39"/>
      <c r="W166" s="39"/>
      <c r="X166" s="39"/>
      <c r="Y166" s="39"/>
      <c r="Z166" s="39"/>
      <c r="AA166" s="39"/>
      <c r="AB166" s="39"/>
      <c r="AC166" s="39"/>
      <c r="AD166" s="39"/>
      <c r="AE166" s="39"/>
      <c r="AF166" s="39"/>
    </row>
    <row r="167" spans="1:32" x14ac:dyDescent="0.35">
      <c r="A167" s="139">
        <v>0.79166666666666696</v>
      </c>
      <c r="B167" s="279">
        <v>0.27263999999999994</v>
      </c>
      <c r="C167" s="279">
        <v>0.34560000000000002</v>
      </c>
      <c r="D167" s="279">
        <v>0</v>
      </c>
      <c r="E167" s="279">
        <v>0</v>
      </c>
      <c r="F167" s="279">
        <v>5.5661866666666659</v>
      </c>
      <c r="G167" s="279">
        <v>0.8</v>
      </c>
      <c r="H167" s="279">
        <v>4.438393333333333</v>
      </c>
      <c r="I167" s="279">
        <v>0.56495999999999991</v>
      </c>
      <c r="J167" s="280">
        <v>4000</v>
      </c>
      <c r="K167" s="39"/>
      <c r="L167" s="39"/>
      <c r="M167" s="39"/>
      <c r="N167" s="39"/>
      <c r="O167" s="39"/>
      <c r="P167" s="39"/>
      <c r="Q167" s="39"/>
      <c r="R167" s="39"/>
      <c r="S167" s="39"/>
      <c r="T167" s="39"/>
      <c r="U167" s="39"/>
      <c r="V167" s="39"/>
      <c r="W167" s="39"/>
      <c r="X167" s="39"/>
      <c r="Y167" s="39"/>
      <c r="Z167" s="39"/>
      <c r="AA167" s="39"/>
      <c r="AB167" s="39"/>
      <c r="AC167" s="39"/>
      <c r="AD167" s="39"/>
      <c r="AE167" s="39"/>
      <c r="AF167" s="39"/>
    </row>
    <row r="168" spans="1:32" x14ac:dyDescent="0.35">
      <c r="A168" s="140">
        <v>0.8125</v>
      </c>
      <c r="B168" s="279">
        <v>0.27263999999999994</v>
      </c>
      <c r="C168" s="279">
        <v>0.34560000000000002</v>
      </c>
      <c r="D168" s="279">
        <v>0</v>
      </c>
      <c r="E168" s="279">
        <v>0</v>
      </c>
      <c r="F168" s="279">
        <v>5.5661866666666659</v>
      </c>
      <c r="G168" s="279">
        <v>0.8</v>
      </c>
      <c r="H168" s="279">
        <v>4.438393333333333</v>
      </c>
      <c r="I168" s="279">
        <v>0.56495999999999991</v>
      </c>
      <c r="J168" s="280">
        <v>4000</v>
      </c>
      <c r="K168" s="39"/>
      <c r="L168" s="39"/>
      <c r="M168" s="39"/>
      <c r="N168" s="39"/>
      <c r="O168" s="39"/>
      <c r="P168" s="39"/>
      <c r="Q168" s="39"/>
      <c r="R168" s="39"/>
      <c r="S168" s="39"/>
      <c r="T168" s="39"/>
      <c r="U168" s="39"/>
      <c r="V168" s="39"/>
      <c r="W168" s="39"/>
      <c r="X168" s="39"/>
      <c r="Y168" s="39"/>
      <c r="Z168" s="39"/>
      <c r="AA168" s="39"/>
      <c r="AB168" s="39"/>
      <c r="AC168" s="39"/>
      <c r="AD168" s="39"/>
      <c r="AE168" s="39"/>
      <c r="AF168" s="39"/>
    </row>
    <row r="169" spans="1:32" x14ac:dyDescent="0.35">
      <c r="A169" s="139">
        <v>0.83333333333333304</v>
      </c>
      <c r="B169" s="279">
        <v>0.27263999999999994</v>
      </c>
      <c r="C169" s="279">
        <v>0.34560000000000002</v>
      </c>
      <c r="D169" s="279">
        <v>0</v>
      </c>
      <c r="E169" s="279">
        <v>0</v>
      </c>
      <c r="F169" s="279">
        <v>0</v>
      </c>
      <c r="G169" s="279">
        <v>0</v>
      </c>
      <c r="H169" s="279">
        <v>0</v>
      </c>
      <c r="I169" s="279">
        <v>0.56495999999999991</v>
      </c>
      <c r="J169" s="280">
        <v>4000</v>
      </c>
      <c r="K169" s="39"/>
      <c r="L169" s="39"/>
      <c r="M169" s="39"/>
      <c r="N169" s="39"/>
      <c r="O169" s="39"/>
      <c r="P169" s="39"/>
      <c r="Q169" s="39"/>
      <c r="R169" s="39"/>
      <c r="S169" s="39"/>
      <c r="T169" s="39"/>
      <c r="U169" s="39"/>
      <c r="V169" s="39"/>
      <c r="W169" s="39"/>
      <c r="X169" s="39"/>
      <c r="Y169" s="39"/>
      <c r="Z169" s="39"/>
      <c r="AA169" s="39"/>
      <c r="AB169" s="39"/>
      <c r="AC169" s="39"/>
      <c r="AD169" s="39"/>
      <c r="AE169" s="39"/>
      <c r="AF169" s="39"/>
    </row>
    <row r="170" spans="1:32" x14ac:dyDescent="0.35">
      <c r="A170" s="140">
        <v>0.85416666666666696</v>
      </c>
      <c r="B170" s="279">
        <v>0.27263999999999994</v>
      </c>
      <c r="C170" s="279">
        <v>0.34560000000000002</v>
      </c>
      <c r="D170" s="279">
        <v>0</v>
      </c>
      <c r="E170" s="279">
        <v>0</v>
      </c>
      <c r="F170" s="279">
        <v>0</v>
      </c>
      <c r="G170" s="279">
        <v>0</v>
      </c>
      <c r="H170" s="279">
        <v>0</v>
      </c>
      <c r="I170" s="279">
        <v>0.56495999999999991</v>
      </c>
      <c r="J170" s="280">
        <v>4000</v>
      </c>
      <c r="K170" s="39"/>
      <c r="L170" s="39"/>
      <c r="M170" s="39"/>
      <c r="N170" s="39"/>
      <c r="O170" s="39"/>
      <c r="P170" s="39"/>
      <c r="Q170" s="39"/>
      <c r="R170" s="39"/>
      <c r="S170" s="39"/>
      <c r="T170" s="39"/>
      <c r="U170" s="39"/>
      <c r="V170" s="39"/>
      <c r="W170" s="39"/>
      <c r="X170" s="39"/>
      <c r="Y170" s="39"/>
      <c r="Z170" s="39"/>
      <c r="AA170" s="39"/>
      <c r="AB170" s="39"/>
      <c r="AC170" s="39"/>
      <c r="AD170" s="39"/>
      <c r="AE170" s="39"/>
      <c r="AF170" s="39"/>
    </row>
    <row r="171" spans="1:32" x14ac:dyDescent="0.35">
      <c r="A171" s="139">
        <v>0.875</v>
      </c>
      <c r="B171" s="279">
        <v>0.27263999999999994</v>
      </c>
      <c r="C171" s="279">
        <v>0.34560000000000002</v>
      </c>
      <c r="D171" s="279">
        <v>4.2666666666666666</v>
      </c>
      <c r="E171" s="279">
        <v>0</v>
      </c>
      <c r="F171" s="279">
        <v>0</v>
      </c>
      <c r="G171" s="279">
        <v>0</v>
      </c>
      <c r="H171" s="279">
        <v>0</v>
      </c>
      <c r="I171" s="279">
        <v>0.56495999999999991</v>
      </c>
      <c r="J171" s="280">
        <v>4000</v>
      </c>
      <c r="K171" s="39"/>
      <c r="L171" s="39"/>
      <c r="M171" s="39"/>
      <c r="N171" s="39"/>
      <c r="O171" s="39"/>
      <c r="P171" s="39"/>
      <c r="Q171" s="39"/>
      <c r="R171" s="39"/>
      <c r="S171" s="39"/>
      <c r="T171" s="39"/>
      <c r="U171" s="39"/>
      <c r="V171" s="39"/>
      <c r="W171" s="39"/>
      <c r="X171" s="39"/>
      <c r="Y171" s="39"/>
      <c r="Z171" s="39"/>
      <c r="AA171" s="39"/>
      <c r="AB171" s="39"/>
      <c r="AC171" s="39"/>
      <c r="AD171" s="39"/>
      <c r="AE171" s="39"/>
      <c r="AF171" s="39"/>
    </row>
    <row r="172" spans="1:32" x14ac:dyDescent="0.35">
      <c r="A172" s="140">
        <v>0.89583333333333304</v>
      </c>
      <c r="B172" s="279">
        <v>0.27263999999999994</v>
      </c>
      <c r="C172" s="279">
        <v>0.34560000000000002</v>
      </c>
      <c r="D172" s="279">
        <v>4.2666666666666666</v>
      </c>
      <c r="E172" s="279">
        <v>0</v>
      </c>
      <c r="F172" s="279">
        <v>0</v>
      </c>
      <c r="G172" s="279">
        <v>0</v>
      </c>
      <c r="H172" s="279">
        <v>0</v>
      </c>
      <c r="I172" s="279">
        <v>0.56495999999999991</v>
      </c>
      <c r="J172" s="280">
        <v>4000</v>
      </c>
      <c r="K172" s="39"/>
      <c r="L172" s="39"/>
      <c r="M172" s="39"/>
      <c r="N172" s="39"/>
      <c r="O172" s="39"/>
      <c r="P172" s="39"/>
      <c r="Q172" s="39"/>
      <c r="R172" s="39"/>
      <c r="S172" s="39"/>
      <c r="T172" s="39"/>
      <c r="U172" s="39"/>
      <c r="V172" s="39"/>
      <c r="W172" s="39"/>
      <c r="X172" s="39"/>
      <c r="Y172" s="39"/>
      <c r="Z172" s="39"/>
      <c r="AA172" s="39"/>
      <c r="AB172" s="39"/>
      <c r="AC172" s="39"/>
      <c r="AD172" s="39"/>
      <c r="AE172" s="39"/>
      <c r="AF172" s="39"/>
    </row>
    <row r="173" spans="1:32" x14ac:dyDescent="0.35">
      <c r="A173" s="139">
        <v>0.91666666666666696</v>
      </c>
      <c r="B173" s="279">
        <v>0.17280000000000001</v>
      </c>
      <c r="C173" s="279">
        <v>0.21840000000000001</v>
      </c>
      <c r="D173" s="279">
        <v>0</v>
      </c>
      <c r="E173" s="279">
        <v>0</v>
      </c>
      <c r="F173" s="279">
        <v>0</v>
      </c>
      <c r="G173" s="279">
        <v>0</v>
      </c>
      <c r="H173" s="279">
        <v>0</v>
      </c>
      <c r="I173" s="279">
        <v>0.3024</v>
      </c>
      <c r="J173" s="280">
        <v>2536</v>
      </c>
      <c r="K173" s="39"/>
      <c r="L173" s="39"/>
      <c r="M173" s="39"/>
      <c r="N173" s="39"/>
      <c r="O173" s="39"/>
      <c r="P173" s="39"/>
      <c r="Q173" s="39"/>
      <c r="R173" s="39"/>
      <c r="S173" s="39"/>
      <c r="T173" s="39"/>
      <c r="U173" s="39"/>
      <c r="V173" s="39"/>
      <c r="W173" s="39"/>
      <c r="X173" s="39"/>
      <c r="Y173" s="39"/>
      <c r="Z173" s="39"/>
      <c r="AA173" s="39"/>
      <c r="AB173" s="39"/>
      <c r="AC173" s="39"/>
      <c r="AD173" s="39"/>
      <c r="AE173" s="39"/>
      <c r="AF173" s="39"/>
    </row>
    <row r="174" spans="1:32" x14ac:dyDescent="0.35">
      <c r="A174" s="140">
        <v>0.9375</v>
      </c>
      <c r="B174" s="279">
        <v>0.17280000000000001</v>
      </c>
      <c r="C174" s="279">
        <v>0.21840000000000001</v>
      </c>
      <c r="D174" s="279">
        <v>0</v>
      </c>
      <c r="E174" s="279">
        <v>0</v>
      </c>
      <c r="F174" s="279">
        <v>0</v>
      </c>
      <c r="G174" s="279">
        <v>0</v>
      </c>
      <c r="H174" s="279">
        <v>0</v>
      </c>
      <c r="I174" s="279">
        <v>0.3024</v>
      </c>
      <c r="J174" s="280">
        <v>2536</v>
      </c>
      <c r="K174" s="39"/>
      <c r="L174" s="39"/>
      <c r="M174" s="39"/>
      <c r="N174" s="39"/>
      <c r="O174" s="39"/>
      <c r="P174" s="39"/>
      <c r="Q174" s="39"/>
      <c r="R174" s="39"/>
      <c r="S174" s="39"/>
      <c r="T174" s="39"/>
      <c r="U174" s="39"/>
      <c r="V174" s="39"/>
      <c r="W174" s="39"/>
      <c r="X174" s="39"/>
      <c r="Y174" s="39"/>
      <c r="Z174" s="39"/>
      <c r="AA174" s="39"/>
      <c r="AB174" s="39"/>
      <c r="AC174" s="39"/>
      <c r="AD174" s="39"/>
      <c r="AE174" s="39"/>
      <c r="AF174" s="39"/>
    </row>
    <row r="175" spans="1:32" x14ac:dyDescent="0.35">
      <c r="A175" s="139">
        <v>0.95833333333333304</v>
      </c>
      <c r="B175" s="279">
        <v>0.17280000000000001</v>
      </c>
      <c r="C175" s="279">
        <v>0.21840000000000001</v>
      </c>
      <c r="D175" s="279">
        <v>0</v>
      </c>
      <c r="E175" s="279">
        <v>0</v>
      </c>
      <c r="F175" s="279">
        <v>0</v>
      </c>
      <c r="G175" s="279">
        <v>0</v>
      </c>
      <c r="H175" s="279">
        <v>0</v>
      </c>
      <c r="I175" s="279">
        <v>0.3024</v>
      </c>
      <c r="J175" s="280">
        <v>2536</v>
      </c>
      <c r="K175" s="39"/>
      <c r="L175" s="39"/>
      <c r="M175" s="39"/>
      <c r="N175" s="39"/>
      <c r="O175" s="39"/>
      <c r="P175" s="39"/>
      <c r="Q175" s="39"/>
      <c r="R175" s="39"/>
      <c r="S175" s="39"/>
      <c r="T175" s="39"/>
      <c r="U175" s="39"/>
      <c r="V175" s="39"/>
      <c r="W175" s="39"/>
      <c r="X175" s="39"/>
      <c r="Y175" s="39"/>
      <c r="Z175" s="39"/>
      <c r="AA175" s="39"/>
      <c r="AB175" s="39"/>
      <c r="AC175" s="39"/>
      <c r="AD175" s="39"/>
      <c r="AE175" s="39"/>
      <c r="AF175" s="39"/>
    </row>
    <row r="176" spans="1:32" ht="15" thickBot="1" x14ac:dyDescent="0.4">
      <c r="A176" s="141">
        <v>0.97916666666666696</v>
      </c>
      <c r="B176" s="281">
        <v>0.17280000000000001</v>
      </c>
      <c r="C176" s="281">
        <v>0.21840000000000001</v>
      </c>
      <c r="D176" s="281">
        <v>0</v>
      </c>
      <c r="E176" s="281">
        <v>0</v>
      </c>
      <c r="F176" s="281">
        <v>0</v>
      </c>
      <c r="G176" s="281">
        <v>0</v>
      </c>
      <c r="H176" s="281">
        <v>0</v>
      </c>
      <c r="I176" s="281">
        <v>0.3024</v>
      </c>
      <c r="J176" s="282">
        <v>2536</v>
      </c>
      <c r="K176" s="39"/>
      <c r="L176" s="39"/>
      <c r="M176" s="39"/>
      <c r="N176" s="39"/>
      <c r="O176" s="39"/>
      <c r="P176" s="39"/>
      <c r="Q176" s="39"/>
      <c r="R176" s="39"/>
      <c r="S176" s="39"/>
      <c r="T176" s="39"/>
      <c r="U176" s="39"/>
      <c r="V176" s="39"/>
      <c r="W176" s="39"/>
      <c r="X176" s="39"/>
      <c r="Y176" s="39"/>
      <c r="Z176" s="39"/>
      <c r="AA176" s="39"/>
      <c r="AB176" s="39"/>
      <c r="AC176" s="39"/>
      <c r="AD176" s="39"/>
      <c r="AE176" s="39"/>
      <c r="AF176" s="39"/>
    </row>
    <row r="177" spans="1:32" x14ac:dyDescent="0.35">
      <c r="A177" s="137" t="s">
        <v>1218</v>
      </c>
      <c r="B177" s="283">
        <f>SUM(O2_Schedule2)*0.5</f>
        <v>7.3631999999999946</v>
      </c>
      <c r="C177" s="283">
        <f>SUM(Co2_Schedule2)*0.5</f>
        <v>9.3239999999999963</v>
      </c>
      <c r="D177" s="283">
        <f>SUM(Urine_Schedule2)*0.5</f>
        <v>12.799999999999999</v>
      </c>
      <c r="E177" s="283">
        <f>SUM(Feces_Schedule2)*0.5</f>
        <v>1.1639759999999999</v>
      </c>
      <c r="F177" s="283">
        <f>SUM(Potable_Schedule2)*0.5</f>
        <v>23.087869999999999</v>
      </c>
      <c r="G177" s="283">
        <f>SUM(Hygiene_Schedule2)*0.5</f>
        <v>5.6000000000000005</v>
      </c>
      <c r="H177" s="283">
        <f>SUM(Food_Schedule2)*0.5</f>
        <v>13.31518</v>
      </c>
      <c r="I177" s="283">
        <f>SUM(Sweat_Schedule2)*0.5</f>
        <v>18.620879999999993</v>
      </c>
      <c r="J177" s="283">
        <f>SUM(Heat_Schedule2)*0.5</f>
        <v>105816</v>
      </c>
      <c r="N177" s="39"/>
      <c r="O177" s="39"/>
      <c r="P177" s="39"/>
      <c r="Q177" s="39"/>
      <c r="R177" s="39"/>
      <c r="S177" s="39"/>
      <c r="T177" s="39"/>
      <c r="U177" s="39"/>
      <c r="V177" s="39"/>
      <c r="W177" s="39"/>
      <c r="X177" s="39"/>
      <c r="Y177" s="39"/>
      <c r="Z177" s="39"/>
      <c r="AA177" s="39"/>
      <c r="AB177" s="39"/>
      <c r="AC177" s="39"/>
      <c r="AD177" s="39"/>
      <c r="AE177" s="39"/>
      <c r="AF177" s="39"/>
    </row>
    <row r="178" spans="1:32" x14ac:dyDescent="0.35">
      <c r="B178" s="276"/>
    </row>
    <row r="179" spans="1:32" hidden="1" x14ac:dyDescent="0.35">
      <c r="B179" s="276"/>
    </row>
    <row r="180" spans="1:32" hidden="1" x14ac:dyDescent="0.35">
      <c r="B180" s="276"/>
    </row>
    <row r="181" spans="1:32" hidden="1" x14ac:dyDescent="0.35">
      <c r="B181" s="276"/>
    </row>
    <row r="182" spans="1:32" hidden="1" x14ac:dyDescent="0.35">
      <c r="B182" s="276"/>
    </row>
    <row r="183" spans="1:32" hidden="1" x14ac:dyDescent="0.35">
      <c r="B183" s="276"/>
    </row>
    <row r="184" spans="1:32" hidden="1" x14ac:dyDescent="0.35">
      <c r="B184" s="276"/>
    </row>
    <row r="185" spans="1:32" hidden="1" x14ac:dyDescent="0.35">
      <c r="B185" s="276"/>
    </row>
    <row r="186" spans="1:32" hidden="1" x14ac:dyDescent="0.35">
      <c r="B186" s="276"/>
    </row>
    <row r="187" spans="1:32" hidden="1" x14ac:dyDescent="0.35">
      <c r="B187" s="276"/>
    </row>
    <row r="188" spans="1:32" hidden="1" x14ac:dyDescent="0.35">
      <c r="B188" s="276"/>
    </row>
    <row r="1048575" ht="0.75" customHeight="1" x14ac:dyDescent="0.35"/>
  </sheetData>
  <conditionalFormatting sqref="AH51:AH63">
    <cfRule type="colorScale" priority="66">
      <colorScale>
        <cfvo type="min"/>
        <cfvo type="percentile" val="50"/>
        <cfvo type="max"/>
        <color rgb="FF63BE7B"/>
        <color rgb="FFFFEB84"/>
        <color rgb="FFF8696B"/>
      </colorScale>
    </cfRule>
  </conditionalFormatting>
  <conditionalFormatting sqref="AI51:AI63">
    <cfRule type="colorScale" priority="65">
      <colorScale>
        <cfvo type="min"/>
        <cfvo type="percentile" val="50"/>
        <cfvo type="max"/>
        <color rgb="FF63BE7B"/>
        <color rgb="FFFFEB84"/>
        <color rgb="FFF8696B"/>
      </colorScale>
    </cfRule>
  </conditionalFormatting>
  <conditionalFormatting sqref="AJ51:AJ63">
    <cfRule type="colorScale" priority="64">
      <colorScale>
        <cfvo type="min"/>
        <cfvo type="percentile" val="50"/>
        <cfvo type="max"/>
        <color rgb="FF63BE7B"/>
        <color rgb="FFFFEB84"/>
        <color rgb="FFF8696B"/>
      </colorScale>
    </cfRule>
  </conditionalFormatting>
  <conditionalFormatting sqref="AK51:AK63">
    <cfRule type="colorScale" priority="63">
      <colorScale>
        <cfvo type="min"/>
        <cfvo type="percentile" val="50"/>
        <cfvo type="max"/>
        <color rgb="FF63BE7B"/>
        <color rgb="FFFFEB84"/>
        <color rgb="FFF8696B"/>
      </colorScale>
    </cfRule>
  </conditionalFormatting>
  <conditionalFormatting sqref="AR51:AR63">
    <cfRule type="colorScale" priority="62">
      <colorScale>
        <cfvo type="min"/>
        <cfvo type="percentile" val="50"/>
        <cfvo type="max"/>
        <color rgb="FF63BE7B"/>
        <color rgb="FFFFEB84"/>
        <color rgb="FFF8696B"/>
      </colorScale>
    </cfRule>
  </conditionalFormatting>
  <conditionalFormatting sqref="AQ51:AQ63">
    <cfRule type="colorScale" priority="61">
      <colorScale>
        <cfvo type="min"/>
        <cfvo type="percentile" val="50"/>
        <cfvo type="max"/>
        <color rgb="FF63BE7B"/>
        <color rgb="FFFFEB84"/>
        <color rgb="FFF8696B"/>
      </colorScale>
    </cfRule>
  </conditionalFormatting>
  <conditionalFormatting sqref="AP51:AP63">
    <cfRule type="colorScale" priority="60">
      <colorScale>
        <cfvo type="min"/>
        <cfvo type="percentile" val="50"/>
        <cfvo type="max"/>
        <color rgb="FF63BE7B"/>
        <color rgb="FFFFEB84"/>
        <color rgb="FFF8696B"/>
      </colorScale>
    </cfRule>
  </conditionalFormatting>
  <conditionalFormatting sqref="AO51:AO63">
    <cfRule type="colorScale" priority="59">
      <colorScale>
        <cfvo type="min"/>
        <cfvo type="percentile" val="50"/>
        <cfvo type="max"/>
        <color rgb="FF63BE7B"/>
        <color rgb="FFFFEB84"/>
        <color rgb="FFF8696B"/>
      </colorScale>
    </cfRule>
  </conditionalFormatting>
  <conditionalFormatting sqref="AN51:AN63">
    <cfRule type="colorScale" priority="58">
      <colorScale>
        <cfvo type="min"/>
        <cfvo type="percentile" val="50"/>
        <cfvo type="max"/>
        <color rgb="FF63BE7B"/>
        <color rgb="FFFFEB84"/>
        <color rgb="FFF8696B"/>
      </colorScale>
    </cfRule>
  </conditionalFormatting>
  <conditionalFormatting sqref="AL51:AL63">
    <cfRule type="colorScale" priority="57">
      <colorScale>
        <cfvo type="min"/>
        <cfvo type="percentile" val="50"/>
        <cfvo type="max"/>
        <color rgb="FF63BE7B"/>
        <color rgb="FFFFEB84"/>
        <color rgb="FFF8696B"/>
      </colorScale>
    </cfRule>
  </conditionalFormatting>
  <conditionalFormatting sqref="AT51:AT63">
    <cfRule type="colorScale" priority="56">
      <colorScale>
        <cfvo type="min"/>
        <cfvo type="percentile" val="50"/>
        <cfvo type="max"/>
        <color rgb="FF63BE7B"/>
        <color rgb="FFFFEB84"/>
        <color rgb="FFF8696B"/>
      </colorScale>
    </cfRule>
  </conditionalFormatting>
  <conditionalFormatting sqref="AU51:AU63">
    <cfRule type="colorScale" priority="55">
      <colorScale>
        <cfvo type="min"/>
        <cfvo type="percentile" val="50"/>
        <cfvo type="max"/>
        <color rgb="FF63BE7B"/>
        <color rgb="FFFFEB84"/>
        <color rgb="FFF8696B"/>
      </colorScale>
    </cfRule>
  </conditionalFormatting>
  <conditionalFormatting sqref="AV51:AV63">
    <cfRule type="colorScale" priority="54">
      <colorScale>
        <cfvo type="min"/>
        <cfvo type="percentile" val="50"/>
        <cfvo type="max"/>
        <color rgb="FF63BE7B"/>
        <color rgb="FFFFEB84"/>
        <color rgb="FFF8696B"/>
      </colorScale>
    </cfRule>
  </conditionalFormatting>
  <conditionalFormatting sqref="AZ51:AZ63">
    <cfRule type="colorScale" priority="53">
      <colorScale>
        <cfvo type="min"/>
        <cfvo type="percentile" val="50"/>
        <cfvo type="max"/>
        <color rgb="FF63BE7B"/>
        <color rgb="FFFFEB84"/>
        <color rgb="FFF8696B"/>
      </colorScale>
    </cfRule>
  </conditionalFormatting>
  <conditionalFormatting sqref="BA51:BA63">
    <cfRule type="colorScale" priority="52">
      <colorScale>
        <cfvo type="min"/>
        <cfvo type="percentile" val="50"/>
        <cfvo type="max"/>
        <color rgb="FF63BE7B"/>
        <color rgb="FFFFEB84"/>
        <color rgb="FFF8696B"/>
      </colorScale>
    </cfRule>
  </conditionalFormatting>
  <conditionalFormatting sqref="AW51:AW63">
    <cfRule type="colorScale" priority="51">
      <colorScale>
        <cfvo type="min"/>
        <cfvo type="percentile" val="50"/>
        <cfvo type="max"/>
        <color rgb="FF63BE7B"/>
        <color rgb="FFFFEB84"/>
        <color rgb="FFF8696B"/>
      </colorScale>
    </cfRule>
  </conditionalFormatting>
  <conditionalFormatting sqref="AX51:AX63">
    <cfRule type="colorScale" priority="50">
      <colorScale>
        <cfvo type="min"/>
        <cfvo type="percentile" val="50"/>
        <cfvo type="max"/>
        <color rgb="FF63BE7B"/>
        <color rgb="FFFFEB84"/>
        <color rgb="FFF8696B"/>
      </colorScale>
    </cfRule>
  </conditionalFormatting>
  <conditionalFormatting sqref="BB51:BB63">
    <cfRule type="colorScale" priority="49">
      <colorScale>
        <cfvo type="min"/>
        <cfvo type="percentile" val="50"/>
        <cfvo type="max"/>
        <color rgb="FF63BE7B"/>
        <color rgb="FFFFEB84"/>
        <color rgb="FFF8696B"/>
      </colorScale>
    </cfRule>
  </conditionalFormatting>
  <conditionalFormatting sqref="BC51:BC63">
    <cfRule type="colorScale" priority="48">
      <colorScale>
        <cfvo type="min"/>
        <cfvo type="percentile" val="50"/>
        <cfvo type="max"/>
        <color rgb="FF63BE7B"/>
        <color rgb="FFFFEB84"/>
        <color rgb="FFF8696B"/>
      </colorScale>
    </cfRule>
  </conditionalFormatting>
  <conditionalFormatting sqref="BD51:BD63">
    <cfRule type="colorScale" priority="47">
      <colorScale>
        <cfvo type="min"/>
        <cfvo type="percentile" val="50"/>
        <cfvo type="max"/>
        <color rgb="FF63BE7B"/>
        <color rgb="FFFFEB84"/>
        <color rgb="FFF8696B"/>
      </colorScale>
    </cfRule>
  </conditionalFormatting>
  <conditionalFormatting sqref="BF51:BF63">
    <cfRule type="colorScale" priority="46">
      <colorScale>
        <cfvo type="min"/>
        <cfvo type="percentile" val="50"/>
        <cfvo type="max"/>
        <color rgb="FF63BE7B"/>
        <color rgb="FFFFEB84"/>
        <color rgb="FFF8696B"/>
      </colorScale>
    </cfRule>
  </conditionalFormatting>
  <conditionalFormatting sqref="BG51:BG63">
    <cfRule type="colorScale" priority="45">
      <colorScale>
        <cfvo type="min"/>
        <cfvo type="percentile" val="50"/>
        <cfvo type="max"/>
        <color rgb="FF63BE7B"/>
        <color rgb="FFFFEB84"/>
        <color rgb="FFF8696B"/>
      </colorScale>
    </cfRule>
  </conditionalFormatting>
  <conditionalFormatting sqref="BH51:BH63">
    <cfRule type="colorScale" priority="44">
      <colorScale>
        <cfvo type="min"/>
        <cfvo type="percentile" val="50"/>
        <cfvo type="max"/>
        <color rgb="FF63BE7B"/>
        <color rgb="FFFFEB84"/>
        <color rgb="FFF8696B"/>
      </colorScale>
    </cfRule>
  </conditionalFormatting>
  <conditionalFormatting sqref="BI51:BI63">
    <cfRule type="colorScale" priority="43">
      <colorScale>
        <cfvo type="min"/>
        <cfvo type="percentile" val="50"/>
        <cfvo type="max"/>
        <color rgb="FF63BE7B"/>
        <color rgb="FFFFEB84"/>
        <color rgb="FFF8696B"/>
      </colorScale>
    </cfRule>
  </conditionalFormatting>
  <conditionalFormatting sqref="BJ51:BJ63">
    <cfRule type="colorScale" priority="42">
      <colorScale>
        <cfvo type="min"/>
        <cfvo type="percentile" val="50"/>
        <cfvo type="max"/>
        <color rgb="FF63BE7B"/>
        <color rgb="FFFFEB84"/>
        <color rgb="FFF8696B"/>
      </colorScale>
    </cfRule>
  </conditionalFormatting>
  <conditionalFormatting sqref="BL51:BL63">
    <cfRule type="colorScale" priority="41">
      <colorScale>
        <cfvo type="min"/>
        <cfvo type="percentile" val="50"/>
        <cfvo type="max"/>
        <color rgb="FF63BE7B"/>
        <color rgb="FFFFEB84"/>
        <color rgb="FFF8696B"/>
      </colorScale>
    </cfRule>
  </conditionalFormatting>
  <conditionalFormatting sqref="BM51:BM63">
    <cfRule type="colorScale" priority="40">
      <colorScale>
        <cfvo type="min"/>
        <cfvo type="percentile" val="50"/>
        <cfvo type="max"/>
        <color rgb="FF63BE7B"/>
        <color rgb="FFFFEB84"/>
        <color rgb="FFF8696B"/>
      </colorScale>
    </cfRule>
  </conditionalFormatting>
  <conditionalFormatting sqref="BN51:BN63">
    <cfRule type="colorScale" priority="39">
      <colorScale>
        <cfvo type="min"/>
        <cfvo type="percentile" val="50"/>
        <cfvo type="max"/>
        <color rgb="FF63BE7B"/>
        <color rgb="FFFFEB84"/>
        <color rgb="FFF8696B"/>
      </colorScale>
    </cfRule>
  </conditionalFormatting>
  <conditionalFormatting sqref="BO51:BO63">
    <cfRule type="colorScale" priority="38">
      <colorScale>
        <cfvo type="min"/>
        <cfvo type="percentile" val="50"/>
        <cfvo type="max"/>
        <color rgb="FF63BE7B"/>
        <color rgb="FFFFEB84"/>
        <color rgb="FFF8696B"/>
      </colorScale>
    </cfRule>
  </conditionalFormatting>
  <conditionalFormatting sqref="BP51:BP63">
    <cfRule type="colorScale" priority="37">
      <colorScale>
        <cfvo type="min"/>
        <cfvo type="percentile" val="50"/>
        <cfvo type="max"/>
        <color rgb="FF63BE7B"/>
        <color rgb="FFFFEB84"/>
        <color rgb="FFF8696B"/>
      </colorScale>
    </cfRule>
  </conditionalFormatting>
  <conditionalFormatting sqref="AH3:BP50">
    <cfRule type="cellIs" dxfId="72" priority="434" operator="equal">
      <formula>$N$14</formula>
    </cfRule>
    <cfRule type="cellIs" dxfId="71" priority="435" operator="equal">
      <formula>$N$13</formula>
    </cfRule>
    <cfRule type="cellIs" dxfId="70" priority="436" operator="equal">
      <formula>$N$12</formula>
    </cfRule>
    <cfRule type="cellIs" dxfId="69" priority="437" operator="equal">
      <formula>$N$11</formula>
    </cfRule>
    <cfRule type="cellIs" dxfId="68" priority="438" operator="equal">
      <formula>$N$10</formula>
    </cfRule>
    <cfRule type="cellIs" dxfId="67" priority="439" operator="equal">
      <formula>$N$8</formula>
    </cfRule>
    <cfRule type="cellIs" dxfId="66" priority="440" operator="equal">
      <formula>$N$7</formula>
    </cfRule>
    <cfRule type="cellIs" dxfId="65" priority="441" operator="equal">
      <formula>$N$6</formula>
    </cfRule>
    <cfRule type="cellIs" dxfId="64" priority="442" operator="equal">
      <formula>$N$5</formula>
    </cfRule>
    <cfRule type="cellIs" dxfId="63" priority="443" operator="equal">
      <formula>$N$4</formula>
    </cfRule>
    <cfRule type="cellIs" dxfId="62" priority="444" operator="equal">
      <formula>$N$3</formula>
    </cfRule>
  </conditionalFormatting>
  <conditionalFormatting sqref="B3:L50">
    <cfRule type="expression" dxfId="61" priority="445">
      <formula>OR($B3=$N$12,$B3=$N$13,$B3=$N$14)</formula>
    </cfRule>
    <cfRule type="expression" dxfId="60" priority="446">
      <formula>$B3=$N$11</formula>
    </cfRule>
    <cfRule type="expression" dxfId="59" priority="447">
      <formula>$B3=$N$10</formula>
    </cfRule>
    <cfRule type="expression" dxfId="58" priority="448">
      <formula>$B3=$N$8</formula>
    </cfRule>
    <cfRule type="expression" dxfId="57" priority="449">
      <formula>$B3=$N$7</formula>
    </cfRule>
    <cfRule type="expression" dxfId="56" priority="450">
      <formula>$B3=$N$6</formula>
    </cfRule>
    <cfRule type="expression" dxfId="55" priority="451">
      <formula>OR($B3=$N$4,$B3=$N$5)</formula>
    </cfRule>
    <cfRule type="expression" dxfId="54" priority="452">
      <formula>$B3=$N$3</formula>
    </cfRule>
  </conditionalFormatting>
  <conditionalFormatting sqref="B129:J176">
    <cfRule type="expression" dxfId="53" priority="453">
      <formula>OR(#REF!=$N$12,#REF!=$N$13,#REF!=$N$14)</formula>
    </cfRule>
    <cfRule type="expression" dxfId="52" priority="454">
      <formula>#REF!=$N$11</formula>
    </cfRule>
    <cfRule type="expression" dxfId="51" priority="455">
      <formula>#REF!=$N$10</formula>
    </cfRule>
    <cfRule type="expression" dxfId="50" priority="456">
      <formula>#REF!=$N$8</formula>
    </cfRule>
    <cfRule type="expression" dxfId="49" priority="457">
      <formula>#REF!=$N$7</formula>
    </cfRule>
    <cfRule type="expression" dxfId="48" priority="458">
      <formula>#REF!=$N$6</formula>
    </cfRule>
    <cfRule type="expression" dxfId="47" priority="459">
      <formula>OR(#REF!=$N$4,#REF!=$N$5)</formula>
    </cfRule>
    <cfRule type="expression" dxfId="46" priority="460">
      <formula>#REF!=$N$3</formula>
    </cfRule>
  </conditionalFormatting>
  <pageMargins left="0.7" right="0.7" top="0.78740157499999996" bottom="0.78740157499999996"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814" r:id="rId4" name="Compose Schedule">
              <controlPr defaultSize="0" print="0" autoFill="0" autoPict="0" macro="[0]!Tabelle3.ComposeUserSchedule">
                <anchor moveWithCells="1" sizeWithCells="1">
                  <from>
                    <xdr:col>0</xdr:col>
                    <xdr:colOff>0</xdr:colOff>
                    <xdr:row>54</xdr:row>
                    <xdr:rowOff>6350</xdr:rowOff>
                  </from>
                  <to>
                    <xdr:col>1</xdr:col>
                    <xdr:colOff>304800</xdr:colOff>
                    <xdr:row>56</xdr:row>
                    <xdr:rowOff>6350</xdr:rowOff>
                  </to>
                </anchor>
              </controlPr>
            </control>
          </mc:Choice>
        </mc:AlternateContent>
        <mc:AlternateContent xmlns:mc="http://schemas.openxmlformats.org/markup-compatibility/2006">
          <mc:Choice Requires="x14">
            <control shapeId="79835" r:id="rId5" name="Check Schedule">
              <controlPr defaultSize="0" print="0" autoFill="0" autoPict="0" macro="[0]!Tabelle3.CheckSchedule">
                <anchor moveWithCells="1" sizeWithCells="1">
                  <from>
                    <xdr:col>1</xdr:col>
                    <xdr:colOff>330200</xdr:colOff>
                    <xdr:row>54</xdr:row>
                    <xdr:rowOff>6350</xdr:rowOff>
                  </from>
                  <to>
                    <xdr:col>2</xdr:col>
                    <xdr:colOff>635000</xdr:colOff>
                    <xdr:row>56</xdr:row>
                    <xdr:rowOff>6350</xdr:rowOff>
                  </to>
                </anchor>
              </controlPr>
            </control>
          </mc:Choice>
        </mc:AlternateContent>
        <mc:AlternateContent xmlns:mc="http://schemas.openxmlformats.org/markup-compatibility/2006">
          <mc:Choice Requires="x14">
            <control shapeId="81837" r:id="rId6" name="Information_schedule">
              <controlPr defaultSize="0" print="0" autoFill="0" autoPict="0" macro="[0]!info_schedule">
                <anchor moveWithCells="1" sizeWithCells="1">
                  <from>
                    <xdr:col>12</xdr:col>
                    <xdr:colOff>419100</xdr:colOff>
                    <xdr:row>0</xdr:row>
                    <xdr:rowOff>222250</xdr:rowOff>
                  </from>
                  <to>
                    <xdr:col>12</xdr:col>
                    <xdr:colOff>1562100</xdr:colOff>
                    <xdr:row>0</xdr:row>
                    <xdr:rowOff>596900</xdr:rowOff>
                  </to>
                </anchor>
              </controlPr>
            </control>
          </mc:Choice>
        </mc:AlternateContent>
        <mc:AlternateContent xmlns:mc="http://schemas.openxmlformats.org/markup-compatibility/2006">
          <mc:Choice Requires="x14">
            <control shapeId="87305" r:id="rId7" name="Check Inputs">
              <controlPr defaultSize="0" print="0" autoFill="0" autoPict="0" macro="[0]!Tabelle3.idschedulecheck">
                <anchor moveWithCells="1" sizeWithCells="1">
                  <from>
                    <xdr:col>1</xdr:col>
                    <xdr:colOff>901700</xdr:colOff>
                    <xdr:row>124</xdr:row>
                    <xdr:rowOff>63500</xdr:rowOff>
                  </from>
                  <to>
                    <xdr:col>3</xdr:col>
                    <xdr:colOff>184150</xdr:colOff>
                    <xdr:row>126</xdr:row>
                    <xdr:rowOff>63500</xdr:rowOff>
                  </to>
                </anchor>
              </controlPr>
            </control>
          </mc:Choice>
        </mc:AlternateContent>
        <mc:AlternateContent xmlns:mc="http://schemas.openxmlformats.org/markup-compatibility/2006">
          <mc:Choice Requires="x14">
            <control shapeId="103256" r:id="rId8" name="Information_schedule">
              <controlPr defaultSize="0" print="0" autoFill="0" autoPict="0" macro="[0]!info_schedule">
                <anchor moveWithCells="1" sizeWithCells="1">
                  <from>
                    <xdr:col>4</xdr:col>
                    <xdr:colOff>266700</xdr:colOff>
                    <xdr:row>54</xdr:row>
                    <xdr:rowOff>6350</xdr:rowOff>
                  </from>
                  <to>
                    <xdr:col>5</xdr:col>
                    <xdr:colOff>387350</xdr:colOff>
                    <xdr:row>56</xdr:row>
                    <xdr:rowOff>6350</xdr:rowOff>
                  </to>
                </anchor>
              </controlPr>
            </control>
          </mc:Choice>
        </mc:AlternateContent>
        <mc:AlternateContent xmlns:mc="http://schemas.openxmlformats.org/markup-compatibility/2006">
          <mc:Choice Requires="x14">
            <control shapeId="103257" r:id="rId9" name="Button 16217">
              <controlPr defaultSize="0" print="0" autoFill="0" autoPict="0" macro="[0]!Tabelle3.CalculateUserScheduleMetabolicValues">
                <anchor moveWithCells="1" sizeWithCells="1">
                  <from>
                    <xdr:col>2</xdr:col>
                    <xdr:colOff>647700</xdr:colOff>
                    <xdr:row>54</xdr:row>
                    <xdr:rowOff>6350</xdr:rowOff>
                  </from>
                  <to>
                    <xdr:col>4</xdr:col>
                    <xdr:colOff>254000</xdr:colOff>
                    <xdr:row>56</xdr:row>
                    <xdr:rowOff>6350</xdr:rowOff>
                  </to>
                </anchor>
              </controlPr>
            </control>
          </mc:Choice>
        </mc:AlternateContent>
      </controls>
    </mc:Choice>
  </mc:AlternateContent>
  <tableParts count="2">
    <tablePart r:id="rId10"/>
    <tablePart r:id="rId1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AO20"/>
  <sheetViews>
    <sheetView topLeftCell="A4" zoomScaleNormal="100" workbookViewId="0">
      <pane xSplit="1" topLeftCell="B1" activePane="topRight" state="frozen"/>
      <selection pane="topRight" activeCell="A2" sqref="A2"/>
    </sheetView>
  </sheetViews>
  <sheetFormatPr defaultColWidth="0" defaultRowHeight="14.5" x14ac:dyDescent="0.35"/>
  <cols>
    <col min="1" max="1" width="73.6328125" customWidth="1"/>
    <col min="2" max="2" width="15.54296875" customWidth="1"/>
    <col min="3" max="3" width="11.54296875" bestFit="1" customWidth="1"/>
    <col min="4" max="4" width="12.6328125" customWidth="1"/>
    <col min="5" max="5" width="8.54296875" bestFit="1" customWidth="1"/>
    <col min="6" max="8" width="7.6328125" bestFit="1" customWidth="1"/>
    <col min="9" max="9" width="13" customWidth="1"/>
    <col min="10" max="10" width="9.08984375" bestFit="1" customWidth="1"/>
    <col min="11" max="11" width="4" bestFit="1" customWidth="1"/>
    <col min="12" max="12" width="6.453125" customWidth="1"/>
    <col min="13" max="15" width="7.6328125" customWidth="1"/>
    <col min="16" max="16" width="13" customWidth="1"/>
    <col min="17" max="17" width="9.90625" customWidth="1"/>
    <col min="18" max="18" width="4" customWidth="1"/>
    <col min="19" max="19" width="10.453125" bestFit="1" customWidth="1"/>
    <col min="20" max="20" width="10.36328125" bestFit="1" customWidth="1"/>
    <col min="21" max="21" width="10.36328125" customWidth="1"/>
    <col min="22" max="22" width="9.6328125" bestFit="1" customWidth="1"/>
    <col min="23" max="23" width="8.54296875" bestFit="1" customWidth="1"/>
    <col min="24" max="24" width="9.54296875" bestFit="1" customWidth="1"/>
    <col min="25" max="25" width="8.6328125" bestFit="1" customWidth="1"/>
    <col min="26" max="26" width="9.54296875" bestFit="1" customWidth="1"/>
    <col min="27" max="27" width="7.6328125" hidden="1" customWidth="1"/>
    <col min="28" max="28" width="9.6328125" hidden="1" customWidth="1"/>
    <col min="29" max="29" width="8.6328125" hidden="1" customWidth="1"/>
    <col min="30" max="30" width="9.54296875" hidden="1" customWidth="1"/>
    <col min="31" max="31" width="14.08984375" hidden="1" customWidth="1"/>
    <col min="32" max="32" width="11.36328125" hidden="1" customWidth="1"/>
    <col min="33" max="33" width="6.453125" hidden="1" customWidth="1"/>
    <col min="34" max="34" width="11.54296875" customWidth="1"/>
    <col min="35" max="41" width="0" hidden="1" customWidth="1"/>
    <col min="42" max="16384" width="11.54296875" hidden="1"/>
  </cols>
  <sheetData>
    <row r="1" spans="1:34" ht="15.5" x14ac:dyDescent="0.35">
      <c r="A1" s="74" t="s">
        <v>844</v>
      </c>
      <c r="B1" s="39"/>
      <c r="C1" s="39"/>
      <c r="D1" s="39"/>
      <c r="E1" s="39"/>
      <c r="F1" s="39"/>
      <c r="G1" s="39"/>
      <c r="H1" s="39"/>
      <c r="I1" s="39"/>
      <c r="J1" s="39"/>
      <c r="K1" s="39"/>
      <c r="L1" s="39"/>
      <c r="M1" s="39"/>
      <c r="N1" s="39"/>
      <c r="O1" s="39"/>
      <c r="P1" s="39"/>
      <c r="Q1" s="39"/>
      <c r="R1" s="39"/>
      <c r="S1" s="39"/>
      <c r="T1" s="39"/>
      <c r="U1" s="39"/>
      <c r="V1" s="39"/>
      <c r="W1" s="39"/>
      <c r="X1" s="39"/>
      <c r="Y1" s="39"/>
      <c r="Z1" s="39"/>
      <c r="AA1" s="39"/>
      <c r="AB1" s="62"/>
      <c r="AC1" s="62"/>
      <c r="AD1" s="39"/>
      <c r="AE1" s="39"/>
      <c r="AF1" s="39"/>
      <c r="AG1" s="39"/>
      <c r="AH1" s="39"/>
    </row>
    <row r="2" spans="1:34" x14ac:dyDescent="0.35">
      <c r="A2" s="75" t="s">
        <v>1081</v>
      </c>
      <c r="B2" s="39"/>
      <c r="C2" s="39"/>
      <c r="D2" s="39"/>
      <c r="E2" s="39"/>
      <c r="F2" s="39"/>
      <c r="G2" s="39"/>
      <c r="H2" s="39"/>
      <c r="I2" s="39"/>
      <c r="J2" s="39"/>
      <c r="K2" s="39"/>
      <c r="L2" s="39"/>
      <c r="M2" s="39"/>
      <c r="N2" s="39"/>
      <c r="O2" s="39"/>
      <c r="P2" s="39"/>
      <c r="Q2" s="39"/>
      <c r="R2" s="39"/>
      <c r="S2" s="39"/>
      <c r="T2" s="39"/>
      <c r="U2" s="39"/>
      <c r="V2" s="39"/>
      <c r="W2" s="39"/>
      <c r="X2" s="39"/>
      <c r="Y2" s="39"/>
      <c r="Z2" s="39"/>
      <c r="AA2" s="39"/>
      <c r="AB2" s="62"/>
      <c r="AC2" s="62"/>
      <c r="AD2" s="39"/>
      <c r="AE2" s="39"/>
      <c r="AF2" s="39"/>
      <c r="AG2" s="39"/>
      <c r="AH2" s="39"/>
    </row>
    <row r="3" spans="1:34" ht="97.25" customHeight="1" thickBot="1" x14ac:dyDescent="0.4">
      <c r="A3" s="76" t="s">
        <v>1274</v>
      </c>
      <c r="B3" s="39"/>
      <c r="C3" s="39"/>
      <c r="D3" s="39"/>
      <c r="E3" s="39"/>
      <c r="F3" s="39"/>
      <c r="G3" s="39"/>
      <c r="H3" s="39"/>
      <c r="I3" s="39"/>
      <c r="J3" s="39"/>
      <c r="K3" s="39"/>
      <c r="L3" s="39"/>
      <c r="M3" s="39"/>
      <c r="N3" s="39"/>
      <c r="O3" s="39"/>
      <c r="P3" s="39"/>
      <c r="Q3" s="39"/>
      <c r="R3" s="39"/>
      <c r="S3" s="39"/>
      <c r="T3" s="39"/>
      <c r="U3" s="39"/>
      <c r="V3" s="39"/>
      <c r="W3" s="39"/>
      <c r="X3" s="39"/>
      <c r="Y3" s="39"/>
      <c r="Z3" s="39"/>
      <c r="AA3" s="39"/>
      <c r="AB3" s="62"/>
      <c r="AC3" s="62"/>
      <c r="AD3" s="39"/>
      <c r="AE3" s="39"/>
      <c r="AF3" s="39"/>
      <c r="AG3" s="39"/>
      <c r="AH3" s="39"/>
    </row>
    <row r="4" spans="1:34" ht="43.25" customHeight="1" thickBot="1" x14ac:dyDescent="0.4">
      <c r="A4" s="96" t="s">
        <v>843</v>
      </c>
      <c r="B4" s="306" t="s">
        <v>845</v>
      </c>
      <c r="C4" s="306" t="s">
        <v>964</v>
      </c>
      <c r="D4" s="306" t="s">
        <v>965</v>
      </c>
      <c r="E4" s="307" t="s">
        <v>1254</v>
      </c>
      <c r="F4" s="307" t="s">
        <v>1255</v>
      </c>
      <c r="G4" s="307" t="s">
        <v>1256</v>
      </c>
      <c r="H4" s="307" t="s">
        <v>1257</v>
      </c>
      <c r="I4" s="307" t="s">
        <v>1258</v>
      </c>
      <c r="J4" s="306" t="s">
        <v>846</v>
      </c>
      <c r="K4" s="306" t="s">
        <v>1</v>
      </c>
      <c r="L4" s="307" t="s">
        <v>847</v>
      </c>
      <c r="M4" s="307" t="s">
        <v>848</v>
      </c>
      <c r="N4" s="307" t="s">
        <v>849</v>
      </c>
      <c r="O4" s="307" t="s">
        <v>850</v>
      </c>
      <c r="P4" s="307" t="s">
        <v>851</v>
      </c>
      <c r="Q4" s="307" t="s">
        <v>852</v>
      </c>
      <c r="R4" s="307" t="s">
        <v>853</v>
      </c>
      <c r="S4" s="306" t="s">
        <v>854</v>
      </c>
      <c r="T4" s="308" t="s">
        <v>1174</v>
      </c>
      <c r="U4" s="307" t="s">
        <v>1398</v>
      </c>
      <c r="V4" s="307" t="s">
        <v>1460</v>
      </c>
      <c r="W4" s="307" t="s">
        <v>2</v>
      </c>
      <c r="X4" s="306" t="s">
        <v>1175</v>
      </c>
      <c r="Y4" s="71"/>
      <c r="Z4" s="71"/>
      <c r="AA4" s="49" t="s">
        <v>847</v>
      </c>
      <c r="AB4" s="48" t="s">
        <v>848</v>
      </c>
      <c r="AC4" s="50" t="s">
        <v>849</v>
      </c>
      <c r="AD4" s="48" t="s">
        <v>850</v>
      </c>
      <c r="AE4" s="49" t="s">
        <v>851</v>
      </c>
      <c r="AF4" s="61" t="s">
        <v>852</v>
      </c>
      <c r="AG4" s="49" t="s">
        <v>853</v>
      </c>
    </row>
    <row r="5" spans="1:34" ht="28.75" customHeight="1" x14ac:dyDescent="0.35">
      <c r="A5" s="303"/>
      <c r="B5" s="304"/>
      <c r="C5" s="304"/>
      <c r="D5" s="304"/>
      <c r="E5" s="305" t="s">
        <v>787</v>
      </c>
      <c r="F5" s="305" t="s">
        <v>1397</v>
      </c>
      <c r="G5" s="305" t="s">
        <v>789</v>
      </c>
      <c r="H5" s="305" t="s">
        <v>789</v>
      </c>
      <c r="I5" s="305" t="s">
        <v>790</v>
      </c>
      <c r="J5" s="304" t="s">
        <v>1399</v>
      </c>
      <c r="K5" s="304" t="s">
        <v>1399</v>
      </c>
      <c r="L5" s="304" t="s">
        <v>1399</v>
      </c>
      <c r="M5" s="304" t="s">
        <v>1399</v>
      </c>
      <c r="N5" s="304" t="s">
        <v>1399</v>
      </c>
      <c r="O5" s="304" t="s">
        <v>1399</v>
      </c>
      <c r="P5" s="304" t="s">
        <v>1399</v>
      </c>
      <c r="Q5" s="304" t="s">
        <v>1399</v>
      </c>
      <c r="R5" s="304" t="s">
        <v>1399</v>
      </c>
      <c r="S5" s="304" t="s">
        <v>1399</v>
      </c>
      <c r="T5" s="304" t="s">
        <v>1399</v>
      </c>
      <c r="U5" s="305" t="s">
        <v>787</v>
      </c>
      <c r="V5" s="304" t="s">
        <v>1399</v>
      </c>
      <c r="W5" s="305" t="s">
        <v>787</v>
      </c>
      <c r="X5" s="304" t="s">
        <v>1399</v>
      </c>
      <c r="Y5" s="71"/>
      <c r="Z5" s="71"/>
      <c r="AA5" s="302"/>
      <c r="AB5" s="302"/>
      <c r="AC5" s="302"/>
      <c r="AD5" s="302"/>
      <c r="AE5" s="302"/>
      <c r="AF5" s="302"/>
      <c r="AG5" s="302"/>
    </row>
    <row r="6" spans="1:34" ht="28.75" customHeight="1" x14ac:dyDescent="0.35">
      <c r="A6" s="776" t="s">
        <v>1576</v>
      </c>
      <c r="B6" s="776" t="s">
        <v>22</v>
      </c>
      <c r="C6" s="776" t="s">
        <v>33</v>
      </c>
      <c r="D6" s="776" t="s">
        <v>24</v>
      </c>
      <c r="E6" s="776">
        <v>582.97913436631563</v>
      </c>
      <c r="F6" s="776">
        <v>2.234352606315789</v>
      </c>
      <c r="G6" s="776">
        <v>65.696983578947339</v>
      </c>
      <c r="H6" s="776">
        <v>58.658021052631554</v>
      </c>
      <c r="I6" s="776">
        <v>0</v>
      </c>
      <c r="J6" s="776">
        <v>0.99998402911185846</v>
      </c>
      <c r="K6" s="776">
        <v>9</v>
      </c>
      <c r="L6" s="776">
        <v>0.5</v>
      </c>
      <c r="M6" s="776">
        <v>0.5</v>
      </c>
      <c r="N6" s="776">
        <v>0.5</v>
      </c>
      <c r="O6" s="776">
        <v>0.25</v>
      </c>
      <c r="P6" s="776">
        <v>0.5</v>
      </c>
      <c r="Q6" s="776">
        <v>0.25</v>
      </c>
      <c r="R6" s="776">
        <v>1</v>
      </c>
      <c r="S6">
        <v>0.49869594663624423</v>
      </c>
      <c r="T6">
        <v>5</v>
      </c>
      <c r="U6">
        <v>5265.5149034566721</v>
      </c>
      <c r="V6">
        <v>7</v>
      </c>
      <c r="W6">
        <v>7874.9613566086718</v>
      </c>
      <c r="X6">
        <v>7</v>
      </c>
    </row>
    <row r="7" spans="1:34" ht="28.75" customHeight="1" x14ac:dyDescent="0.35">
      <c r="A7" s="776" t="s">
        <v>1580</v>
      </c>
      <c r="B7" s="776" t="s">
        <v>22</v>
      </c>
      <c r="C7" s="776" t="s">
        <v>33</v>
      </c>
      <c r="D7" s="776" t="s">
        <v>34</v>
      </c>
      <c r="E7" s="776">
        <v>306.81463908126307</v>
      </c>
      <c r="F7" s="776">
        <v>0.50109850515789467</v>
      </c>
      <c r="G7" s="776">
        <v>72.980623375578915</v>
      </c>
      <c r="H7" s="776">
        <v>478.56146475789456</v>
      </c>
      <c r="I7" s="776">
        <v>0</v>
      </c>
      <c r="J7" s="776">
        <v>0.61803605752176827</v>
      </c>
      <c r="K7" s="776">
        <v>6</v>
      </c>
      <c r="L7" s="776">
        <v>0.75</v>
      </c>
      <c r="M7" s="776">
        <v>0.75</v>
      </c>
      <c r="N7" s="776">
        <v>0.75</v>
      </c>
      <c r="O7" s="776">
        <v>0.75</v>
      </c>
      <c r="P7" s="776">
        <v>0.25</v>
      </c>
      <c r="Q7" s="776">
        <v>0.75</v>
      </c>
      <c r="R7" s="776">
        <v>1</v>
      </c>
      <c r="S7">
        <v>0.52819912921384837</v>
      </c>
      <c r="T7">
        <v>3</v>
      </c>
      <c r="U7">
        <v>2220.4394883971568</v>
      </c>
      <c r="V7">
        <v>3</v>
      </c>
      <c r="W7">
        <v>3584.4507817271565</v>
      </c>
      <c r="X7">
        <v>2</v>
      </c>
    </row>
    <row r="8" spans="1:34" ht="28.75" customHeight="1" x14ac:dyDescent="0.35">
      <c r="A8" s="776" t="s">
        <v>1582</v>
      </c>
      <c r="B8" s="776" t="s">
        <v>22</v>
      </c>
      <c r="C8" s="776" t="s">
        <v>33</v>
      </c>
      <c r="D8" s="776" t="s">
        <v>24</v>
      </c>
      <c r="E8" s="776">
        <v>3518.0188540841168</v>
      </c>
      <c r="F8" s="776">
        <v>0.28777075977536559</v>
      </c>
      <c r="G8" s="776">
        <v>60.247384615384561</v>
      </c>
      <c r="H8" s="776">
        <v>0</v>
      </c>
      <c r="I8" s="776">
        <v>782.37885462554993</v>
      </c>
      <c r="J8" s="776">
        <v>0.99999999999982103</v>
      </c>
      <c r="K8" s="776">
        <v>9</v>
      </c>
      <c r="L8" s="776">
        <v>0.5</v>
      </c>
      <c r="M8" s="776">
        <v>0.5</v>
      </c>
      <c r="N8" s="776">
        <v>0.25</v>
      </c>
      <c r="O8" s="776">
        <v>0.75</v>
      </c>
      <c r="P8" s="776">
        <v>0.25</v>
      </c>
      <c r="Q8" s="776">
        <v>0.25</v>
      </c>
      <c r="R8" s="776">
        <v>1</v>
      </c>
      <c r="S8">
        <v>0.48807813955216162</v>
      </c>
      <c r="T8">
        <v>6</v>
      </c>
      <c r="U8">
        <v>25668.361085106706</v>
      </c>
      <c r="V8">
        <v>8</v>
      </c>
      <c r="W8">
        <v>28828.292341550332</v>
      </c>
      <c r="X8">
        <v>8</v>
      </c>
    </row>
    <row r="9" spans="1:34" ht="28.75" customHeight="1" x14ac:dyDescent="0.35">
      <c r="A9" s="776" t="s">
        <v>1584</v>
      </c>
      <c r="B9" s="776" t="s">
        <v>22</v>
      </c>
      <c r="C9" s="776" t="s">
        <v>33</v>
      </c>
      <c r="D9" s="776" t="s">
        <v>34</v>
      </c>
      <c r="E9" s="776">
        <v>103.76841168346148</v>
      </c>
      <c r="F9" s="776">
        <v>0.26622291876923065</v>
      </c>
      <c r="G9" s="776">
        <v>702.88615384615321</v>
      </c>
      <c r="H9" s="776">
        <v>627.57692307692253</v>
      </c>
      <c r="I9" s="776">
        <v>1168</v>
      </c>
      <c r="J9" s="776">
        <v>0</v>
      </c>
      <c r="K9" s="776">
        <v>9</v>
      </c>
      <c r="L9" s="776">
        <v>0.75</v>
      </c>
      <c r="M9" s="776">
        <v>0.5</v>
      </c>
      <c r="N9" s="776">
        <v>0.75</v>
      </c>
      <c r="O9" s="776">
        <v>0.5</v>
      </c>
      <c r="P9" s="776">
        <v>0.5</v>
      </c>
      <c r="Q9" s="776"/>
      <c r="R9" s="776">
        <v>0.25</v>
      </c>
      <c r="S9">
        <v>0.44780564004214474</v>
      </c>
      <c r="T9">
        <v>7</v>
      </c>
      <c r="U9">
        <v>1809.1819626469598</v>
      </c>
      <c r="V9">
        <v>2</v>
      </c>
      <c r="W9">
        <v>6256.3684708741603</v>
      </c>
      <c r="X9">
        <v>6</v>
      </c>
    </row>
    <row r="10" spans="1:34" ht="28.75" customHeight="1" x14ac:dyDescent="0.35">
      <c r="A10" s="776" t="s">
        <v>1586</v>
      </c>
      <c r="B10" s="776" t="s">
        <v>22</v>
      </c>
      <c r="C10" s="776" t="s">
        <v>33</v>
      </c>
      <c r="D10" s="776" t="s">
        <v>34</v>
      </c>
      <c r="E10" s="776">
        <v>466.45936259999974</v>
      </c>
      <c r="F10" s="776">
        <v>0.89948255039999991</v>
      </c>
      <c r="G10" s="776">
        <v>719.62153846153785</v>
      </c>
      <c r="H10" s="776">
        <v>642.51923076923026</v>
      </c>
      <c r="I10" s="776">
        <v>12.103269230769222</v>
      </c>
      <c r="J10" s="776">
        <v>0.97972723608288925</v>
      </c>
      <c r="K10" s="776">
        <v>9</v>
      </c>
      <c r="L10" s="776">
        <v>1</v>
      </c>
      <c r="M10" s="776">
        <v>1</v>
      </c>
      <c r="N10" s="776">
        <v>0.75</v>
      </c>
      <c r="O10" s="776">
        <v>0.75</v>
      </c>
      <c r="P10" s="776">
        <v>0.75</v>
      </c>
      <c r="Q10" s="776">
        <v>0.75</v>
      </c>
      <c r="R10" s="776">
        <v>1</v>
      </c>
      <c r="S10">
        <v>0.85055853724384123</v>
      </c>
      <c r="T10">
        <v>1</v>
      </c>
      <c r="U10">
        <v>3895.5622839807661</v>
      </c>
      <c r="V10">
        <v>6</v>
      </c>
      <c r="W10">
        <v>6003.0875037763726</v>
      </c>
      <c r="X10">
        <v>5</v>
      </c>
    </row>
    <row r="11" spans="1:34" ht="28.75" customHeight="1" x14ac:dyDescent="0.35">
      <c r="A11" s="776" t="s">
        <v>1593</v>
      </c>
      <c r="B11" s="776" t="s">
        <v>22</v>
      </c>
      <c r="C11" s="776" t="s">
        <v>33</v>
      </c>
      <c r="D11" s="776" t="s">
        <v>34</v>
      </c>
      <c r="E11" s="776">
        <v>335.17929320480749</v>
      </c>
      <c r="F11" s="776">
        <v>0.8332295415230766</v>
      </c>
      <c r="G11" s="776">
        <v>670.97512246153792</v>
      </c>
      <c r="H11" s="776">
        <v>599.08493076923025</v>
      </c>
      <c r="I11" s="776">
        <v>0</v>
      </c>
      <c r="J11" s="776">
        <v>0.98899715895726947</v>
      </c>
      <c r="K11" s="776">
        <v>8</v>
      </c>
      <c r="L11" s="776">
        <v>0.75</v>
      </c>
      <c r="M11" s="776">
        <v>0.75</v>
      </c>
      <c r="N11" s="776">
        <v>0.75</v>
      </c>
      <c r="O11" s="776">
        <v>0.75</v>
      </c>
      <c r="P11" s="776">
        <v>0.25</v>
      </c>
      <c r="Q11" s="776">
        <v>0.5</v>
      </c>
      <c r="R11" s="776">
        <v>0.75</v>
      </c>
      <c r="S11">
        <v>0.60439449537066847</v>
      </c>
      <c r="T11">
        <v>2</v>
      </c>
      <c r="U11">
        <v>3233.5789003070508</v>
      </c>
      <c r="V11">
        <v>4</v>
      </c>
      <c r="W11">
        <v>4822.2449131312906</v>
      </c>
      <c r="X11">
        <v>3</v>
      </c>
    </row>
    <row r="12" spans="1:34" ht="28.75" customHeight="1" x14ac:dyDescent="0.35">
      <c r="A12" s="776" t="s">
        <v>1520</v>
      </c>
      <c r="B12" s="776" t="s">
        <v>22</v>
      </c>
      <c r="C12" s="776" t="s">
        <v>1522</v>
      </c>
      <c r="D12" s="776" t="s">
        <v>34</v>
      </c>
      <c r="E12" s="776">
        <v>95.251512272941142</v>
      </c>
      <c r="F12" s="776">
        <v>0.36098140799999989</v>
      </c>
      <c r="G12" s="776">
        <v>385.30470588235272</v>
      </c>
      <c r="H12" s="776">
        <v>315.82352941176453</v>
      </c>
      <c r="I12" s="776">
        <v>1.4076735999999999</v>
      </c>
      <c r="J12" s="776">
        <v>0</v>
      </c>
      <c r="K12" s="776">
        <v>5</v>
      </c>
      <c r="L12" s="776">
        <v>0.5</v>
      </c>
      <c r="M12" s="776">
        <v>1</v>
      </c>
      <c r="N12" s="776">
        <v>1</v>
      </c>
      <c r="O12" s="776">
        <v>1</v>
      </c>
      <c r="P12" s="776"/>
      <c r="Q12" s="776"/>
      <c r="R12" s="776">
        <v>1</v>
      </c>
      <c r="S12">
        <v>0.4997246223464295</v>
      </c>
      <c r="T12">
        <v>4</v>
      </c>
      <c r="U12">
        <v>1399.7710213454109</v>
      </c>
      <c r="V12">
        <v>1</v>
      </c>
      <c r="W12">
        <v>1849.3040259758109</v>
      </c>
      <c r="X12">
        <v>1</v>
      </c>
    </row>
    <row r="13" spans="1:34" ht="28.75" customHeight="1" x14ac:dyDescent="0.35">
      <c r="A13" s="776" t="s">
        <v>1526</v>
      </c>
      <c r="B13" s="776" t="s">
        <v>22</v>
      </c>
      <c r="C13" s="776" t="s">
        <v>1522</v>
      </c>
      <c r="D13" s="776" t="s">
        <v>34</v>
      </c>
      <c r="E13" s="776">
        <v>1344.6552075132954</v>
      </c>
      <c r="F13" s="776">
        <v>9.0328175529411716</v>
      </c>
      <c r="G13" s="776">
        <v>9434.9879152941121</v>
      </c>
      <c r="H13" s="776">
        <v>7862.4899294117604</v>
      </c>
      <c r="I13" s="776">
        <v>24.2088</v>
      </c>
      <c r="J13" s="776">
        <v>0.99947436049753335</v>
      </c>
      <c r="K13" s="776">
        <v>5</v>
      </c>
      <c r="L13" s="776">
        <v>0.5</v>
      </c>
      <c r="M13" s="776">
        <v>0.5</v>
      </c>
      <c r="N13" s="776">
        <v>0.5</v>
      </c>
      <c r="O13" s="776">
        <v>0.5</v>
      </c>
      <c r="P13" s="776">
        <v>0.25</v>
      </c>
      <c r="Q13" s="776"/>
      <c r="R13" s="776">
        <v>1</v>
      </c>
      <c r="S13">
        <v>0.31406680131063247</v>
      </c>
      <c r="T13">
        <v>8</v>
      </c>
      <c r="U13">
        <v>31789.120805146809</v>
      </c>
      <c r="V13">
        <v>9</v>
      </c>
      <c r="W13">
        <v>38480.139311626815</v>
      </c>
      <c r="X13">
        <v>9</v>
      </c>
    </row>
    <row r="14" spans="1:34" ht="28.75" customHeight="1" x14ac:dyDescent="0.35">
      <c r="A14" s="776" t="s">
        <v>1537</v>
      </c>
      <c r="B14" s="776" t="s">
        <v>22</v>
      </c>
      <c r="C14" s="776" t="s">
        <v>1522</v>
      </c>
      <c r="D14" s="776" t="s">
        <v>34</v>
      </c>
      <c r="E14" s="776">
        <v>9387.8080651087785</v>
      </c>
      <c r="F14" s="776">
        <v>92.862794117647013</v>
      </c>
      <c r="G14" s="776">
        <v>99557.502352941112</v>
      </c>
      <c r="H14" s="776">
        <v>82964.585294117598</v>
      </c>
      <c r="I14" s="776">
        <v>1152.5302941176462</v>
      </c>
      <c r="J14" s="776">
        <v>0.99947436049753335</v>
      </c>
      <c r="K14" s="776">
        <v>5</v>
      </c>
      <c r="L14" s="776">
        <v>0.5</v>
      </c>
      <c r="M14" s="776">
        <v>0.5</v>
      </c>
      <c r="N14" s="776">
        <v>0.5</v>
      </c>
      <c r="O14" s="776">
        <v>0.5</v>
      </c>
      <c r="P14" s="776">
        <v>0.25</v>
      </c>
      <c r="Q14" s="776"/>
      <c r="R14" s="776">
        <v>1</v>
      </c>
      <c r="S14">
        <v>0.24862974358072973</v>
      </c>
      <c r="T14">
        <v>10</v>
      </c>
      <c r="U14">
        <v>358645.27959229395</v>
      </c>
      <c r="V14">
        <v>10</v>
      </c>
      <c r="W14">
        <v>370182.99227567634</v>
      </c>
      <c r="X14">
        <v>10</v>
      </c>
    </row>
    <row r="15" spans="1:34" ht="28.75" customHeight="1" x14ac:dyDescent="0.35">
      <c r="A15" s="776" t="s">
        <v>1696</v>
      </c>
      <c r="B15" s="777" t="s">
        <v>22</v>
      </c>
      <c r="C15" s="777" t="s">
        <v>1522</v>
      </c>
      <c r="D15" s="777" t="s">
        <v>34</v>
      </c>
      <c r="E15" s="777">
        <v>74864.61763526185</v>
      </c>
      <c r="F15" s="777">
        <v>765.0683617647054</v>
      </c>
      <c r="G15" s="777">
        <v>838069.94929411716</v>
      </c>
      <c r="H15" s="777">
        <v>698391.62441176432</v>
      </c>
      <c r="I15" s="777">
        <v>9701.940911764701</v>
      </c>
      <c r="J15" s="776">
        <v>0.99947436049753335</v>
      </c>
      <c r="K15" s="776">
        <v>5</v>
      </c>
      <c r="L15" s="776">
        <v>0.5</v>
      </c>
      <c r="M15" s="776">
        <v>0.5</v>
      </c>
      <c r="N15" s="776">
        <v>0.5</v>
      </c>
      <c r="O15" s="776">
        <v>0.5</v>
      </c>
      <c r="P15" s="776">
        <v>0.25</v>
      </c>
      <c r="Q15" s="776"/>
      <c r="R15" s="776">
        <v>1</v>
      </c>
      <c r="S15">
        <v>1.2122965385080825E-17</v>
      </c>
      <c r="T15">
        <v>15</v>
      </c>
      <c r="U15">
        <v>3019057.5715423101</v>
      </c>
      <c r="V15">
        <v>15</v>
      </c>
      <c r="W15">
        <v>3059616.258567295</v>
      </c>
      <c r="X15">
        <v>15</v>
      </c>
    </row>
    <row r="16" spans="1:34" ht="28.75" customHeight="1" x14ac:dyDescent="0.35">
      <c r="A16" s="776" t="s">
        <v>1692</v>
      </c>
      <c r="B16" s="777" t="s">
        <v>22</v>
      </c>
      <c r="C16" s="777" t="s">
        <v>1522</v>
      </c>
      <c r="D16" s="777" t="s">
        <v>34</v>
      </c>
      <c r="E16" s="777">
        <v>24800.772917260259</v>
      </c>
      <c r="F16" s="777">
        <v>251.09714999999986</v>
      </c>
      <c r="G16" s="777">
        <v>273400.21799999982</v>
      </c>
      <c r="H16" s="777">
        <v>227833.51499999984</v>
      </c>
      <c r="I16" s="777">
        <v>3165.0254999999979</v>
      </c>
      <c r="J16" s="776">
        <v>0.99947436049753335</v>
      </c>
      <c r="K16" s="776">
        <v>5</v>
      </c>
      <c r="L16" s="776">
        <v>0.5</v>
      </c>
      <c r="M16" s="776">
        <v>0.5</v>
      </c>
      <c r="N16" s="776">
        <v>0.5</v>
      </c>
      <c r="O16" s="776">
        <v>0.5</v>
      </c>
      <c r="P16" s="776">
        <v>0.25</v>
      </c>
      <c r="Q16" s="776"/>
      <c r="R16" s="776">
        <v>1</v>
      </c>
      <c r="S16">
        <v>0.14535382342073774</v>
      </c>
      <c r="T16">
        <v>12</v>
      </c>
      <c r="U16">
        <v>984895.11395729962</v>
      </c>
      <c r="V16">
        <v>12</v>
      </c>
      <c r="W16">
        <v>1003264.2416170494</v>
      </c>
      <c r="X16">
        <v>12</v>
      </c>
    </row>
    <row r="17" spans="1:24" ht="28.75" customHeight="1" x14ac:dyDescent="0.35">
      <c r="A17" s="776" t="s">
        <v>1695</v>
      </c>
      <c r="B17" s="776" t="s">
        <v>22</v>
      </c>
      <c r="C17" s="776" t="s">
        <v>1522</v>
      </c>
      <c r="D17" s="776" t="s">
        <v>34</v>
      </c>
      <c r="E17" s="776">
        <v>23818.507609502005</v>
      </c>
      <c r="F17" s="776">
        <v>241.01290470588222</v>
      </c>
      <c r="G17" s="776">
        <v>262321.25491764693</v>
      </c>
      <c r="H17" s="776">
        <v>218601.04576470578</v>
      </c>
      <c r="I17" s="776">
        <v>3036.7695647058804</v>
      </c>
      <c r="J17" s="776">
        <v>0.99947436049753335</v>
      </c>
      <c r="K17" s="776">
        <v>5</v>
      </c>
      <c r="L17" s="776">
        <v>0.5</v>
      </c>
      <c r="M17" s="776">
        <v>0.5</v>
      </c>
      <c r="N17" s="776">
        <v>0.5</v>
      </c>
      <c r="O17" s="776">
        <v>0.5</v>
      </c>
      <c r="P17" s="776">
        <v>0.25</v>
      </c>
      <c r="Q17" s="776"/>
      <c r="R17" s="776">
        <v>1</v>
      </c>
      <c r="S17">
        <v>0.15111353563296445</v>
      </c>
      <c r="T17">
        <v>11</v>
      </c>
      <c r="U17">
        <v>944984.33156164421</v>
      </c>
      <c r="V17">
        <v>11</v>
      </c>
      <c r="W17">
        <v>962918.09444903838</v>
      </c>
      <c r="X17">
        <v>11</v>
      </c>
    </row>
    <row r="18" spans="1:24" ht="28.75" customHeight="1" x14ac:dyDescent="0.35">
      <c r="A18" s="776" t="s">
        <v>1706</v>
      </c>
      <c r="B18" s="776" t="s">
        <v>22</v>
      </c>
      <c r="C18" s="776" t="s">
        <v>1522</v>
      </c>
      <c r="D18" s="776" t="s">
        <v>34</v>
      </c>
      <c r="E18" s="776">
        <v>26362.438959548737</v>
      </c>
      <c r="F18" s="776">
        <v>267.12970588235282</v>
      </c>
      <c r="G18" s="776">
        <v>291014.23764705868</v>
      </c>
      <c r="H18" s="776">
        <v>242511.86470588221</v>
      </c>
      <c r="I18" s="776">
        <v>3368.9347058823505</v>
      </c>
      <c r="J18" s="776">
        <v>0.99947436049753335</v>
      </c>
      <c r="K18" s="776">
        <v>5</v>
      </c>
      <c r="L18" s="776">
        <v>0.5</v>
      </c>
      <c r="M18" s="776">
        <v>0.5</v>
      </c>
      <c r="N18" s="776">
        <v>0.5</v>
      </c>
      <c r="O18" s="776">
        <v>0.5</v>
      </c>
      <c r="P18" s="776">
        <v>0.25</v>
      </c>
      <c r="Q18" s="776"/>
      <c r="R18" s="776">
        <v>1</v>
      </c>
      <c r="S18">
        <v>0.13642707151660505</v>
      </c>
      <c r="T18">
        <v>13</v>
      </c>
      <c r="U18">
        <v>1048347.7403467054</v>
      </c>
      <c r="V18">
        <v>13</v>
      </c>
      <c r="W18">
        <v>1067409.0378058231</v>
      </c>
      <c r="X18">
        <v>13</v>
      </c>
    </row>
    <row r="19" spans="1:24" ht="28.75" customHeight="1" x14ac:dyDescent="0.35">
      <c r="A19" s="776" t="s">
        <v>1704</v>
      </c>
      <c r="B19" s="777" t="s">
        <v>22</v>
      </c>
      <c r="C19" s="777" t="s">
        <v>1522</v>
      </c>
      <c r="D19" s="777" t="s">
        <v>34</v>
      </c>
      <c r="E19" s="777">
        <v>52643.694152380311</v>
      </c>
      <c r="F19" s="777">
        <v>536.94135647058795</v>
      </c>
      <c r="G19" s="777">
        <v>587440.31901176437</v>
      </c>
      <c r="H19" s="777">
        <v>489533.59917647031</v>
      </c>
      <c r="I19" s="777">
        <v>6800.5197764705845</v>
      </c>
      <c r="J19" s="776">
        <v>0.99947436049753335</v>
      </c>
      <c r="K19" s="776">
        <v>5</v>
      </c>
      <c r="L19" s="776">
        <v>0.5</v>
      </c>
      <c r="M19" s="776">
        <v>0.5</v>
      </c>
      <c r="N19" s="776">
        <v>0.5</v>
      </c>
      <c r="O19" s="776">
        <v>0.5</v>
      </c>
      <c r="P19" s="776">
        <v>0.25</v>
      </c>
      <c r="Q19" s="776"/>
      <c r="R19" s="776">
        <v>1</v>
      </c>
      <c r="S19">
        <v>2.8635335137433163E-2</v>
      </c>
      <c r="T19">
        <v>14</v>
      </c>
      <c r="U19">
        <v>2116191.0702507352</v>
      </c>
      <c r="V19">
        <v>14</v>
      </c>
      <c r="W19">
        <v>2146900.8832319644</v>
      </c>
      <c r="X19">
        <v>14</v>
      </c>
    </row>
    <row r="20" spans="1:24" ht="28.75" customHeight="1" x14ac:dyDescent="0.35">
      <c r="A20" s="776" t="s">
        <v>1720</v>
      </c>
      <c r="B20" s="776" t="s">
        <v>22</v>
      </c>
      <c r="C20" s="776" t="s">
        <v>33</v>
      </c>
      <c r="D20" s="776" t="s">
        <v>34</v>
      </c>
      <c r="E20" s="776">
        <v>398.01346153846129</v>
      </c>
      <c r="F20" s="776">
        <v>0.81654807692307674</v>
      </c>
      <c r="G20" s="776">
        <v>995.15769230769149</v>
      </c>
      <c r="H20" s="776">
        <v>469.56201923076884</v>
      </c>
      <c r="I20" s="776">
        <v>0</v>
      </c>
      <c r="J20" s="776">
        <v>0</v>
      </c>
      <c r="K20" s="776">
        <v>5</v>
      </c>
      <c r="L20" s="776">
        <v>0.5</v>
      </c>
      <c r="M20" s="776">
        <v>0.5</v>
      </c>
      <c r="N20" s="776">
        <v>0.5</v>
      </c>
      <c r="O20" s="776">
        <v>0.5</v>
      </c>
      <c r="P20" s="776"/>
      <c r="Q20" s="776"/>
      <c r="R20" s="776">
        <v>1</v>
      </c>
      <c r="S20">
        <v>0.28477892608412081</v>
      </c>
      <c r="T20">
        <v>9</v>
      </c>
      <c r="U20">
        <v>3385.5892269230735</v>
      </c>
      <c r="V20">
        <v>5</v>
      </c>
      <c r="W20">
        <v>5322.5347269230742</v>
      </c>
      <c r="X20">
        <v>4</v>
      </c>
    </row>
  </sheetData>
  <autoFilter ref="A4" xr:uid="{00000000-0009-0000-0000-000004000000}"/>
  <sortState xmlns:xlrd2="http://schemas.microsoft.com/office/spreadsheetml/2017/richdata2" ref="A6:Z20">
    <sortCondition ref="X1"/>
  </sortSt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Tabelle5.sortByMCA">
                <anchor moveWithCells="1" sizeWithCells="1">
                  <from>
                    <xdr:col>0</xdr:col>
                    <xdr:colOff>3054350</xdr:colOff>
                    <xdr:row>2</xdr:row>
                    <xdr:rowOff>406400</xdr:rowOff>
                  </from>
                  <to>
                    <xdr:col>0</xdr:col>
                    <xdr:colOff>5124450</xdr:colOff>
                    <xdr:row>2</xdr:row>
                    <xdr:rowOff>603250</xdr:rowOff>
                  </to>
                </anchor>
              </controlPr>
            </control>
          </mc:Choice>
        </mc:AlternateContent>
        <mc:AlternateContent xmlns:mc="http://schemas.openxmlformats.org/markup-compatibility/2006">
          <mc:Choice Requires="x14">
            <control shapeId="4098" r:id="rId5" name="Button 2">
              <controlPr defaultSize="0" print="0" autoFill="0" autoPict="0" macro="[0]!performsensitivityanalysis_up">
                <anchor moveWithCells="1" sizeWithCells="1">
                  <from>
                    <xdr:col>0</xdr:col>
                    <xdr:colOff>3054350</xdr:colOff>
                    <xdr:row>1</xdr:row>
                    <xdr:rowOff>88900</xdr:rowOff>
                  </from>
                  <to>
                    <xdr:col>0</xdr:col>
                    <xdr:colOff>5124450</xdr:colOff>
                    <xdr:row>2</xdr:row>
                    <xdr:rowOff>107950</xdr:rowOff>
                  </to>
                </anchor>
              </controlPr>
            </control>
          </mc:Choice>
        </mc:AlternateContent>
        <mc:AlternateContent xmlns:mc="http://schemas.openxmlformats.org/markup-compatibility/2006">
          <mc:Choice Requires="x14">
            <control shapeId="4100" r:id="rId6" name="Button 4">
              <controlPr defaultSize="0" print="0" autoFill="0" autoPict="0" macro="[0]!Tabelle1.PerformMCA">
                <anchor moveWithCells="1">
                  <from>
                    <xdr:col>0</xdr:col>
                    <xdr:colOff>3054350</xdr:colOff>
                    <xdr:row>0</xdr:row>
                    <xdr:rowOff>38100</xdr:rowOff>
                  </from>
                  <to>
                    <xdr:col>0</xdr:col>
                    <xdr:colOff>5124450</xdr:colOff>
                    <xdr:row>1</xdr:row>
                    <xdr:rowOff>38100</xdr:rowOff>
                  </to>
                </anchor>
              </controlPr>
            </control>
          </mc:Choice>
        </mc:AlternateContent>
        <mc:AlternateContent xmlns:mc="http://schemas.openxmlformats.org/markup-compatibility/2006">
          <mc:Choice Requires="x14">
            <control shapeId="4101" r:id="rId7" name="Button 5">
              <controlPr defaultSize="0" print="0" autoFill="0" autoPict="0" macro="[0]!Tabelle5.sortByESM_NCT">
                <anchor moveWithCells="1" sizeWithCells="1">
                  <from>
                    <xdr:col>0</xdr:col>
                    <xdr:colOff>3054350</xdr:colOff>
                    <xdr:row>2</xdr:row>
                    <xdr:rowOff>158750</xdr:rowOff>
                  </from>
                  <to>
                    <xdr:col>0</xdr:col>
                    <xdr:colOff>5124450</xdr:colOff>
                    <xdr:row>2</xdr:row>
                    <xdr:rowOff>355600</xdr:rowOff>
                  </to>
                </anchor>
              </controlPr>
            </control>
          </mc:Choice>
        </mc:AlternateContent>
        <mc:AlternateContent xmlns:mc="http://schemas.openxmlformats.org/markup-compatibility/2006">
          <mc:Choice Requires="x14">
            <control shapeId="4102" r:id="rId8" name="Button 6">
              <controlPr defaultSize="0" print="0" autoFill="0" autoPict="0" macro="[0]!Tabelle5.sortByESM">
                <anchor moveWithCells="1">
                  <from>
                    <xdr:col>0</xdr:col>
                    <xdr:colOff>3054350</xdr:colOff>
                    <xdr:row>2</xdr:row>
                    <xdr:rowOff>654050</xdr:rowOff>
                  </from>
                  <to>
                    <xdr:col>0</xdr:col>
                    <xdr:colOff>5124450</xdr:colOff>
                    <xdr:row>2</xdr:row>
                    <xdr:rowOff>857250</xdr:rowOff>
                  </to>
                </anchor>
              </controlPr>
            </control>
          </mc:Choice>
        </mc:AlternateContent>
        <mc:AlternateContent xmlns:mc="http://schemas.openxmlformats.org/markup-compatibility/2006">
          <mc:Choice Requires="x14">
            <control shapeId="4104" r:id="rId9" name="Button 8">
              <controlPr defaultSize="0" print="0" autoFill="0" autoPict="0" macro="[0]!Tabelle5.exclalt">
                <anchor moveWithCells="1">
                  <from>
                    <xdr:col>0</xdr:col>
                    <xdr:colOff>3054350</xdr:colOff>
                    <xdr:row>2</xdr:row>
                    <xdr:rowOff>908050</xdr:rowOff>
                  </from>
                  <to>
                    <xdr:col>0</xdr:col>
                    <xdr:colOff>5124450</xdr:colOff>
                    <xdr:row>2</xdr:row>
                    <xdr:rowOff>1104900</xdr:rowOff>
                  </to>
                </anchor>
              </controlPr>
            </control>
          </mc:Choice>
        </mc:AlternateContent>
        <mc:AlternateContent xmlns:mc="http://schemas.openxmlformats.org/markup-compatibility/2006">
          <mc:Choice Requires="x14">
            <control shapeId="4105" r:id="rId10" name="Button 9">
              <controlPr defaultSize="0" print="0" autoFill="0" autoPict="0" macro="[0]!Tabelle5.calculateAttributeCriticality">
                <anchor moveWithCells="1">
                  <from>
                    <xdr:col>0</xdr:col>
                    <xdr:colOff>6350</xdr:colOff>
                    <xdr:row>2</xdr:row>
                    <xdr:rowOff>615950</xdr:rowOff>
                  </from>
                  <to>
                    <xdr:col>0</xdr:col>
                    <xdr:colOff>2438400</xdr:colOff>
                    <xdr:row>2</xdr:row>
                    <xdr:rowOff>1104900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pageSetUpPr fitToPage="1"/>
  </sheetPr>
  <dimension ref="A1:AM69"/>
  <sheetViews>
    <sheetView showGridLines="0" zoomScaleNormal="100" zoomScalePageLayoutView="55" workbookViewId="0">
      <selection activeCell="B4" sqref="B4"/>
    </sheetView>
  </sheetViews>
  <sheetFormatPr defaultColWidth="5.6328125" defaultRowHeight="14.5" zeroHeight="1" x14ac:dyDescent="0.35"/>
  <cols>
    <col min="1" max="35" width="5.6328125" customWidth="1"/>
  </cols>
  <sheetData>
    <row r="1" spans="1:39" x14ac:dyDescent="0.35">
      <c r="AA1" s="85" t="s">
        <v>1613</v>
      </c>
      <c r="AB1" s="39"/>
      <c r="AJ1" s="760"/>
    </row>
    <row r="2" spans="1:39" x14ac:dyDescent="0.35">
      <c r="AA2" t="s">
        <v>1614</v>
      </c>
      <c r="AB2" s="39"/>
    </row>
    <row r="3" spans="1:39" ht="15" customHeight="1" x14ac:dyDescent="0.35">
      <c r="A3" s="39"/>
      <c r="B3" s="39"/>
      <c r="C3" s="39"/>
      <c r="D3" s="39"/>
      <c r="E3" s="39"/>
      <c r="F3" s="39"/>
      <c r="G3" s="39"/>
      <c r="H3" s="406"/>
      <c r="I3" s="39"/>
      <c r="J3" s="39"/>
      <c r="K3" s="39"/>
      <c r="L3" s="39"/>
      <c r="M3" s="39"/>
      <c r="N3" s="39"/>
      <c r="O3" s="39"/>
      <c r="P3" s="39"/>
      <c r="Q3" s="39"/>
      <c r="R3" s="409">
        <v>0</v>
      </c>
      <c r="S3" s="39"/>
      <c r="T3" s="39"/>
      <c r="U3" s="39"/>
      <c r="V3" s="39"/>
      <c r="W3" s="39"/>
      <c r="X3" s="430"/>
      <c r="Y3" s="39"/>
      <c r="Z3" s="39"/>
      <c r="AA3" s="39" t="s">
        <v>1615</v>
      </c>
      <c r="AB3" s="39"/>
      <c r="AC3" s="39"/>
      <c r="AD3" s="39"/>
      <c r="AE3" s="39"/>
      <c r="AF3" s="39"/>
      <c r="AG3" s="39"/>
      <c r="AH3" s="39"/>
      <c r="AI3" s="39"/>
      <c r="AJ3" s="39"/>
      <c r="AK3" s="39"/>
      <c r="AL3" s="39"/>
      <c r="AM3" s="39"/>
    </row>
    <row r="4" spans="1:39" ht="15" customHeight="1" x14ac:dyDescent="0.35">
      <c r="A4" s="39"/>
      <c r="B4" s="39"/>
      <c r="C4" s="39"/>
      <c r="D4" s="39"/>
      <c r="E4" s="39"/>
      <c r="F4" s="39"/>
      <c r="G4" s="39"/>
      <c r="H4" s="406"/>
      <c r="I4" s="39"/>
      <c r="J4" s="39"/>
      <c r="K4" s="407"/>
      <c r="L4" s="39"/>
      <c r="M4" s="39"/>
      <c r="N4" s="39"/>
      <c r="O4" s="39"/>
      <c r="P4" s="39"/>
      <c r="Q4" s="39"/>
      <c r="R4" s="39"/>
      <c r="S4" s="101"/>
      <c r="T4" s="39"/>
      <c r="U4" s="39"/>
      <c r="V4" s="39"/>
      <c r="W4" s="408"/>
      <c r="X4" s="787">
        <v>0</v>
      </c>
      <c r="Y4" s="39"/>
      <c r="Z4" s="39"/>
      <c r="AA4" s="39"/>
      <c r="AB4" s="39"/>
      <c r="AC4" s="39"/>
      <c r="AD4" s="101"/>
      <c r="AE4" s="39"/>
      <c r="AF4" s="39"/>
      <c r="AG4" s="39"/>
      <c r="AH4" s="39"/>
      <c r="AI4" s="39"/>
      <c r="AJ4" s="39"/>
      <c r="AK4" s="39"/>
      <c r="AL4" s="39"/>
      <c r="AM4" s="39"/>
    </row>
    <row r="5" spans="1:39" ht="15" customHeight="1" x14ac:dyDescent="0.35">
      <c r="A5" s="39"/>
      <c r="B5" s="39"/>
      <c r="C5" s="39"/>
      <c r="D5" s="39"/>
      <c r="E5" s="39"/>
      <c r="F5" s="39"/>
      <c r="G5" s="39"/>
      <c r="H5" s="778"/>
      <c r="I5" s="39"/>
      <c r="J5" s="409">
        <v>0</v>
      </c>
      <c r="K5" s="407"/>
      <c r="L5" s="39"/>
      <c r="M5" s="39"/>
      <c r="N5" s="39"/>
      <c r="O5" s="39"/>
      <c r="P5" s="39"/>
      <c r="Q5" s="39"/>
      <c r="R5" s="39"/>
      <c r="S5" s="101"/>
      <c r="T5" s="39"/>
      <c r="U5" s="39"/>
      <c r="V5" s="39"/>
      <c r="W5" s="408"/>
      <c r="X5" s="788"/>
      <c r="Y5" s="39"/>
      <c r="Z5" s="39"/>
      <c r="AA5" s="39"/>
      <c r="AB5" s="39"/>
      <c r="AC5" s="39"/>
      <c r="AD5" s="101"/>
      <c r="AE5" s="39"/>
      <c r="AF5" s="427">
        <v>0</v>
      </c>
      <c r="AG5" s="409" t="s">
        <v>1563</v>
      </c>
      <c r="AH5" s="39"/>
      <c r="AI5" s="39"/>
      <c r="AJ5" s="39"/>
      <c r="AK5" s="39"/>
      <c r="AL5" s="39"/>
      <c r="AM5" s="39"/>
    </row>
    <row r="6" spans="1:39" ht="15" customHeight="1" x14ac:dyDescent="0.35">
      <c r="A6" s="39"/>
      <c r="B6" s="39"/>
      <c r="C6" s="39"/>
      <c r="D6" s="39"/>
      <c r="E6" s="39"/>
      <c r="F6" s="39"/>
      <c r="G6" s="39"/>
      <c r="H6" s="39"/>
      <c r="I6" s="39"/>
      <c r="J6" s="39"/>
      <c r="K6" s="39"/>
      <c r="L6" s="39"/>
      <c r="M6" s="39"/>
      <c r="N6" s="39"/>
      <c r="O6" s="39"/>
      <c r="P6" s="39"/>
      <c r="Q6" s="427">
        <v>0</v>
      </c>
      <c r="R6" s="39"/>
      <c r="S6" s="331"/>
      <c r="T6" s="39"/>
      <c r="U6" s="39"/>
      <c r="V6" s="39"/>
      <c r="W6" s="39"/>
      <c r="X6" s="39"/>
      <c r="Y6" s="39"/>
      <c r="Z6" s="39"/>
      <c r="AA6" s="39"/>
      <c r="AB6" s="39"/>
      <c r="AC6" s="332"/>
      <c r="AD6" s="333"/>
      <c r="AE6" s="39"/>
      <c r="AF6" s="39"/>
      <c r="AG6" s="39"/>
      <c r="AH6" s="39"/>
      <c r="AI6" s="39"/>
      <c r="AJ6" s="39"/>
      <c r="AK6" s="39"/>
      <c r="AL6" s="39"/>
      <c r="AM6" s="39"/>
    </row>
    <row r="7" spans="1:39" ht="15" customHeight="1" x14ac:dyDescent="0.35">
      <c r="A7" s="737">
        <v>0</v>
      </c>
      <c r="B7" s="39"/>
      <c r="C7" s="39"/>
      <c r="D7" s="39"/>
      <c r="E7" s="39"/>
      <c r="F7" s="39"/>
      <c r="G7" s="39"/>
      <c r="H7" s="39"/>
      <c r="I7" s="742">
        <v>0</v>
      </c>
      <c r="J7" s="39"/>
      <c r="K7" s="39"/>
      <c r="L7" s="39"/>
      <c r="M7" s="39"/>
      <c r="N7" s="39"/>
      <c r="O7" s="39"/>
      <c r="P7" s="39"/>
      <c r="Q7" s="39"/>
      <c r="R7" s="39"/>
      <c r="S7" s="39"/>
      <c r="T7" s="39"/>
      <c r="U7" s="39"/>
      <c r="V7" s="39"/>
      <c r="W7" s="39"/>
      <c r="X7" s="39"/>
      <c r="Y7" s="39"/>
      <c r="Z7" s="798">
        <v>0</v>
      </c>
      <c r="AA7" s="39"/>
      <c r="AB7" s="39"/>
      <c r="AC7" s="39"/>
      <c r="AD7" s="39"/>
      <c r="AE7" s="797">
        <v>0</v>
      </c>
      <c r="AF7" s="39"/>
      <c r="AG7" s="39"/>
      <c r="AH7" s="39"/>
      <c r="AI7" s="39"/>
      <c r="AK7" s="39"/>
      <c r="AL7" s="39"/>
      <c r="AM7" s="39"/>
    </row>
    <row r="8" spans="1:39" ht="15" customHeight="1" x14ac:dyDescent="0.35">
      <c r="A8" s="39"/>
      <c r="B8" s="39"/>
      <c r="C8" s="39"/>
      <c r="D8" s="39"/>
      <c r="E8" s="39"/>
      <c r="F8" s="788">
        <v>319.08694968238086</v>
      </c>
      <c r="G8" s="787">
        <v>0</v>
      </c>
      <c r="H8" s="335"/>
      <c r="I8" s="330"/>
      <c r="J8" s="330"/>
      <c r="K8" s="39"/>
      <c r="L8" s="39"/>
      <c r="M8" s="39"/>
      <c r="N8" s="39"/>
      <c r="O8" s="39"/>
      <c r="P8" s="39"/>
      <c r="Q8" s="39"/>
      <c r="R8" s="39"/>
      <c r="S8" s="39"/>
      <c r="T8" s="39"/>
      <c r="U8" s="336"/>
      <c r="V8" s="39"/>
      <c r="W8" s="39"/>
      <c r="X8" s="39"/>
      <c r="Y8" s="39"/>
      <c r="Z8" s="798"/>
      <c r="AA8" s="39"/>
      <c r="AB8" s="337"/>
      <c r="AC8" s="338"/>
      <c r="AD8" s="39"/>
      <c r="AE8" s="798"/>
      <c r="AF8" s="39"/>
      <c r="AG8" s="39"/>
      <c r="AH8" s="39"/>
      <c r="AI8" s="39"/>
      <c r="AJ8" s="39"/>
      <c r="AK8" s="39"/>
      <c r="AL8" s="39"/>
      <c r="AM8" s="39"/>
    </row>
    <row r="9" spans="1:39" ht="15" customHeight="1" x14ac:dyDescent="0.35">
      <c r="A9" s="410"/>
      <c r="B9" s="775">
        <v>0</v>
      </c>
      <c r="C9" s="39"/>
      <c r="D9" s="39"/>
      <c r="E9" s="39"/>
      <c r="F9" s="791"/>
      <c r="G9" s="788"/>
      <c r="H9" s="39"/>
      <c r="I9" s="39"/>
      <c r="J9" s="39"/>
      <c r="K9" s="39"/>
      <c r="L9" s="39"/>
      <c r="M9" s="39"/>
      <c r="N9" s="39"/>
      <c r="O9" s="340"/>
      <c r="P9" s="39"/>
      <c r="Q9" s="39"/>
      <c r="R9" s="39"/>
      <c r="S9" s="39"/>
      <c r="T9" s="39"/>
      <c r="U9" s="39"/>
      <c r="V9" s="39"/>
      <c r="W9" s="39"/>
      <c r="X9" s="39"/>
      <c r="Y9" s="352"/>
      <c r="Z9" s="774">
        <v>0</v>
      </c>
      <c r="AA9" s="409" t="s">
        <v>1563</v>
      </c>
      <c r="AB9" s="39"/>
      <c r="AC9" s="39"/>
      <c r="AD9" s="39"/>
      <c r="AE9" s="39"/>
      <c r="AF9" s="39"/>
      <c r="AG9" s="39"/>
      <c r="AH9" s="39"/>
      <c r="AI9" s="39"/>
      <c r="AJ9" s="39"/>
      <c r="AK9" s="39"/>
      <c r="AL9" s="39"/>
      <c r="AM9" s="39"/>
    </row>
    <row r="10" spans="1:39" ht="15" customHeight="1" x14ac:dyDescent="0.35">
      <c r="A10" s="39"/>
      <c r="B10" s="39"/>
      <c r="C10" s="39"/>
      <c r="E10" s="39"/>
      <c r="F10" s="39"/>
      <c r="G10" s="409">
        <v>0</v>
      </c>
      <c r="H10" s="39"/>
      <c r="I10" s="39"/>
      <c r="J10" s="39"/>
      <c r="K10" s="39"/>
      <c r="L10" s="39"/>
      <c r="M10" s="39"/>
      <c r="N10" s="39"/>
      <c r="O10" s="341"/>
      <c r="P10" s="39"/>
      <c r="Q10" s="39"/>
      <c r="R10" s="39"/>
      <c r="S10" s="39"/>
      <c r="T10" s="39"/>
      <c r="U10" s="39"/>
      <c r="V10" s="39"/>
      <c r="W10" s="39"/>
      <c r="X10" s="39"/>
      <c r="Y10" s="39"/>
      <c r="Z10" s="341"/>
      <c r="AA10" s="39"/>
      <c r="AB10" s="409">
        <v>0</v>
      </c>
      <c r="AC10" s="780"/>
      <c r="AD10" s="780"/>
      <c r="AE10" s="39"/>
      <c r="AF10" s="39"/>
      <c r="AG10" s="39"/>
      <c r="AH10" s="39"/>
      <c r="AI10" s="39"/>
      <c r="AJ10" s="39"/>
      <c r="AK10" s="39"/>
      <c r="AL10" s="39"/>
      <c r="AM10" s="39"/>
    </row>
    <row r="11" spans="1:39" ht="15" customHeight="1" x14ac:dyDescent="0.35">
      <c r="A11" s="39"/>
      <c r="C11" s="409">
        <v>0</v>
      </c>
      <c r="D11" s="779">
        <v>0</v>
      </c>
      <c r="E11" s="786"/>
      <c r="F11" s="39"/>
      <c r="G11" s="39"/>
      <c r="H11" s="39"/>
      <c r="I11" s="39"/>
      <c r="J11" s="330"/>
      <c r="K11" s="342"/>
      <c r="L11" s="39"/>
      <c r="M11" s="39"/>
      <c r="N11" s="39"/>
      <c r="O11" s="343"/>
      <c r="P11" s="39"/>
      <c r="Q11" s="774">
        <v>0</v>
      </c>
      <c r="R11" s="39"/>
      <c r="S11" s="39"/>
      <c r="T11" s="39"/>
      <c r="U11" s="39"/>
      <c r="V11" s="39"/>
      <c r="W11" s="344"/>
      <c r="X11" s="39"/>
      <c r="Y11" s="39"/>
      <c r="Z11" s="341"/>
      <c r="AA11" s="39"/>
      <c r="AB11" s="39"/>
      <c r="AC11" s="345"/>
      <c r="AD11" s="346"/>
      <c r="AE11" s="39"/>
      <c r="AF11" s="39"/>
      <c r="AG11" s="347"/>
      <c r="AH11" s="39"/>
      <c r="AI11" s="409">
        <v>0</v>
      </c>
      <c r="AJ11" s="409" t="s">
        <v>2004</v>
      </c>
      <c r="AK11" s="39"/>
      <c r="AL11" s="39"/>
      <c r="AM11" s="39"/>
    </row>
    <row r="12" spans="1:39" ht="15" customHeight="1" x14ac:dyDescent="0.35">
      <c r="A12" s="39"/>
      <c r="B12" s="39"/>
      <c r="C12" s="39"/>
      <c r="D12" s="39"/>
      <c r="E12" s="39"/>
      <c r="F12" s="39"/>
      <c r="G12" s="39"/>
      <c r="H12" s="39"/>
      <c r="I12" s="39"/>
      <c r="J12" s="39"/>
      <c r="K12" s="39"/>
      <c r="L12" s="39"/>
      <c r="M12" s="39"/>
      <c r="N12" s="348"/>
      <c r="O12" s="343"/>
      <c r="P12" s="340"/>
      <c r="Q12" s="340"/>
      <c r="R12" s="340"/>
      <c r="S12" s="340"/>
      <c r="T12" s="39"/>
      <c r="U12" s="39"/>
      <c r="V12" s="39"/>
      <c r="W12" s="349"/>
      <c r="X12" s="39"/>
      <c r="Y12" s="39"/>
      <c r="Z12" s="343"/>
      <c r="AA12" s="39"/>
      <c r="AB12" s="350"/>
      <c r="AC12" s="39"/>
      <c r="AD12" s="39"/>
      <c r="AE12" s="39"/>
      <c r="AF12" s="39"/>
      <c r="AG12" s="774">
        <v>0</v>
      </c>
      <c r="AH12" s="742" t="s">
        <v>2010</v>
      </c>
      <c r="AI12" s="39"/>
      <c r="AJ12" s="39"/>
      <c r="AK12" s="39"/>
      <c r="AL12" s="39"/>
      <c r="AM12" s="39"/>
    </row>
    <row r="13" spans="1:39" ht="15" customHeight="1" x14ac:dyDescent="0.35">
      <c r="A13" s="39"/>
      <c r="B13" s="39"/>
      <c r="C13" s="39"/>
      <c r="D13" s="39"/>
      <c r="E13" s="39"/>
      <c r="F13" s="39"/>
      <c r="G13" s="39"/>
      <c r="I13" s="427">
        <v>0</v>
      </c>
      <c r="J13" s="39"/>
      <c r="K13" s="39"/>
      <c r="L13" s="39"/>
      <c r="M13" s="351"/>
      <c r="N13" s="39"/>
      <c r="O13" s="341"/>
      <c r="P13" s="39"/>
      <c r="Q13" s="799">
        <v>7.5929999999999997E-2</v>
      </c>
      <c r="R13" s="39"/>
      <c r="S13" s="39"/>
      <c r="T13" s="39"/>
      <c r="U13" s="39"/>
      <c r="V13" s="39"/>
      <c r="W13" s="39"/>
      <c r="X13" s="352"/>
      <c r="Y13" s="797">
        <v>0</v>
      </c>
      <c r="Z13" s="341"/>
      <c r="AA13" s="39"/>
      <c r="AB13" s="39"/>
      <c r="AC13" s="39"/>
      <c r="AD13" s="39"/>
      <c r="AE13" s="39"/>
      <c r="AF13" s="39"/>
      <c r="AG13" s="353"/>
      <c r="AH13" s="39"/>
      <c r="AI13" s="792"/>
      <c r="AJ13" s="792"/>
      <c r="AK13" s="39"/>
      <c r="AL13" s="409">
        <v>0</v>
      </c>
      <c r="AM13" s="39"/>
    </row>
    <row r="14" spans="1:39" ht="15" customHeight="1" x14ac:dyDescent="0.35">
      <c r="A14" s="39"/>
      <c r="B14" s="39"/>
      <c r="C14" s="39"/>
      <c r="D14" s="39">
        <v>45.075740607817067</v>
      </c>
      <c r="E14" s="39"/>
      <c r="F14" s="39"/>
      <c r="G14" s="39"/>
      <c r="H14" s="39"/>
      <c r="I14" s="39"/>
      <c r="J14" s="39"/>
      <c r="K14" s="39"/>
      <c r="L14" s="39"/>
      <c r="M14" s="39"/>
      <c r="N14" s="39"/>
      <c r="O14" s="341"/>
      <c r="P14" s="39"/>
      <c r="Q14" s="799"/>
      <c r="R14" s="39"/>
      <c r="S14" s="39"/>
      <c r="T14" s="39"/>
      <c r="U14" s="39"/>
      <c r="V14" s="39"/>
      <c r="W14" s="39"/>
      <c r="X14" s="39"/>
      <c r="Y14" s="799"/>
      <c r="Z14" s="354"/>
      <c r="AA14" s="39"/>
      <c r="AB14" s="39"/>
      <c r="AC14" s="39"/>
      <c r="AD14" s="39"/>
      <c r="AE14" s="39"/>
      <c r="AF14" s="39"/>
      <c r="AG14" s="39"/>
      <c r="AH14" s="39"/>
      <c r="AI14" s="39"/>
      <c r="AJ14" s="39"/>
      <c r="AK14" s="39"/>
      <c r="AL14" s="39"/>
      <c r="AM14" s="39"/>
    </row>
    <row r="15" spans="1:39" ht="15" customHeight="1" x14ac:dyDescent="0.35">
      <c r="A15" s="39"/>
      <c r="B15" s="39"/>
      <c r="C15" s="39"/>
      <c r="D15" s="39"/>
      <c r="E15" s="39"/>
      <c r="F15" s="39"/>
      <c r="G15" s="39"/>
      <c r="H15" s="39"/>
      <c r="I15" s="742">
        <v>0</v>
      </c>
      <c r="J15" s="39"/>
      <c r="K15" s="39"/>
      <c r="L15" s="39"/>
      <c r="M15" s="39"/>
      <c r="N15" s="355"/>
      <c r="O15" s="341"/>
      <c r="P15" s="39"/>
      <c r="Q15" s="39"/>
      <c r="R15" s="39"/>
      <c r="S15" s="39"/>
      <c r="T15" s="39"/>
      <c r="U15" s="340"/>
      <c r="V15" s="39"/>
      <c r="W15" s="39"/>
      <c r="X15" s="39"/>
      <c r="Y15" s="39"/>
      <c r="Z15" s="341"/>
      <c r="AA15" s="39"/>
      <c r="AB15" s="39"/>
      <c r="AC15" s="39"/>
      <c r="AD15" s="39"/>
      <c r="AE15" s="409">
        <v>0</v>
      </c>
      <c r="AF15" s="39"/>
      <c r="AG15" s="39"/>
      <c r="AH15" s="39"/>
      <c r="AI15" s="39"/>
      <c r="AJ15" s="39"/>
      <c r="AK15" s="39"/>
      <c r="AL15" s="39"/>
      <c r="AM15" s="39"/>
    </row>
    <row r="16" spans="1:39" ht="15" customHeight="1" x14ac:dyDescent="0.35">
      <c r="A16" s="39"/>
      <c r="B16" s="39"/>
      <c r="C16" s="39"/>
      <c r="D16" s="39"/>
      <c r="E16" s="39"/>
      <c r="F16" s="39"/>
      <c r="G16" s="39"/>
      <c r="H16" s="39"/>
      <c r="I16" s="39"/>
      <c r="J16" s="39"/>
      <c r="K16" s="39"/>
      <c r="L16" s="39"/>
      <c r="M16" s="39"/>
      <c r="N16" s="39"/>
      <c r="O16" s="356"/>
      <c r="P16" s="39"/>
      <c r="Q16" s="357"/>
      <c r="R16" s="39"/>
      <c r="S16" s="39"/>
      <c r="T16" s="39"/>
      <c r="U16" s="340"/>
      <c r="V16" s="39"/>
      <c r="W16" s="345"/>
      <c r="X16" s="39"/>
      <c r="Y16" s="39"/>
      <c r="Z16" s="340"/>
      <c r="AA16" s="39"/>
      <c r="AB16" s="353"/>
      <c r="AC16" s="39"/>
      <c r="AD16" s="39"/>
      <c r="AE16" s="39"/>
      <c r="AF16" s="352"/>
      <c r="AG16" s="358"/>
      <c r="AH16" s="346"/>
      <c r="AI16" s="39"/>
      <c r="AJ16" s="39"/>
      <c r="AK16" s="39"/>
      <c r="AL16" s="39"/>
      <c r="AM16" s="39"/>
    </row>
    <row r="17" spans="1:39" ht="15" customHeight="1" x14ac:dyDescent="0.35">
      <c r="A17" s="39"/>
      <c r="B17" s="39"/>
      <c r="C17" s="39"/>
      <c r="D17" s="39"/>
      <c r="E17" s="39"/>
      <c r="F17" s="39"/>
      <c r="G17" s="39"/>
      <c r="H17" s="39"/>
      <c r="I17" s="427">
        <v>0</v>
      </c>
      <c r="J17" s="39"/>
      <c r="K17" s="39"/>
      <c r="L17" s="39"/>
      <c r="M17" s="39"/>
      <c r="N17" s="359"/>
      <c r="O17" s="39"/>
      <c r="P17" s="39" t="s">
        <v>1564</v>
      </c>
      <c r="Q17" s="39"/>
      <c r="R17" s="39"/>
      <c r="S17" s="39"/>
      <c r="T17" s="39"/>
      <c r="U17" s="779">
        <v>0</v>
      </c>
      <c r="V17" s="782"/>
      <c r="W17" s="39"/>
      <c r="X17" s="775">
        <v>0</v>
      </c>
      <c r="Y17" s="39"/>
      <c r="Z17" s="39"/>
      <c r="AA17" s="39"/>
      <c r="AB17" s="409">
        <v>0</v>
      </c>
      <c r="AC17" s="792"/>
      <c r="AD17" s="805"/>
      <c r="AE17" s="39"/>
      <c r="AF17" s="358"/>
      <c r="AG17" s="39"/>
      <c r="AH17" s="39"/>
      <c r="AI17" s="39"/>
      <c r="AJ17" s="39"/>
      <c r="AK17" s="39"/>
      <c r="AL17" s="39"/>
      <c r="AM17" s="39"/>
    </row>
    <row r="18" spans="1:39" ht="15" customHeight="1" x14ac:dyDescent="0.35">
      <c r="A18" s="39"/>
      <c r="B18" s="39"/>
      <c r="C18" s="39"/>
      <c r="D18" s="39"/>
      <c r="E18" s="39"/>
      <c r="F18" s="39"/>
      <c r="G18" s="39"/>
      <c r="H18" s="39"/>
      <c r="I18" s="360"/>
      <c r="J18" s="361"/>
      <c r="K18" s="362"/>
      <c r="L18" s="39"/>
      <c r="M18" s="39"/>
      <c r="N18" s="39"/>
      <c r="O18" s="39"/>
      <c r="P18" s="428">
        <v>9.7922553358738501E-4</v>
      </c>
      <c r="Q18" s="39"/>
      <c r="R18" s="39"/>
      <c r="S18" s="39"/>
      <c r="T18" s="39"/>
      <c r="U18" s="363"/>
      <c r="V18" s="39"/>
      <c r="W18" s="364"/>
      <c r="X18" s="39"/>
      <c r="Y18" s="39"/>
      <c r="Z18" s="341"/>
      <c r="AA18" s="39"/>
      <c r="AB18" s="39"/>
      <c r="AC18" s="365"/>
      <c r="AD18" s="366"/>
      <c r="AE18" s="367"/>
      <c r="AF18" s="39"/>
      <c r="AG18" s="39"/>
      <c r="AH18" s="39"/>
      <c r="AI18" s="39"/>
      <c r="AJ18" s="39"/>
      <c r="AK18" s="39"/>
      <c r="AL18" s="39"/>
      <c r="AM18" s="39"/>
    </row>
    <row r="19" spans="1:39" ht="15" customHeight="1" x14ac:dyDescent="0.35">
      <c r="A19" s="39"/>
      <c r="B19" s="39"/>
      <c r="C19" s="39"/>
      <c r="D19" s="39"/>
      <c r="E19" s="39"/>
      <c r="F19" s="39"/>
      <c r="G19" s="39"/>
      <c r="H19" s="340"/>
      <c r="I19" s="39"/>
      <c r="J19" s="39"/>
      <c r="K19" s="39"/>
      <c r="L19" s="39"/>
      <c r="M19" s="39"/>
      <c r="N19" s="39"/>
      <c r="O19" s="39"/>
      <c r="P19" s="429">
        <v>3.2101136014324786E-3</v>
      </c>
      <c r="Q19" s="39"/>
      <c r="R19" s="39"/>
      <c r="S19" s="39"/>
      <c r="T19" s="39"/>
      <c r="U19" s="39"/>
      <c r="V19" s="39"/>
      <c r="W19" s="39"/>
      <c r="X19" s="409">
        <v>0</v>
      </c>
      <c r="Y19" s="803"/>
      <c r="Z19" s="341"/>
      <c r="AA19" s="39"/>
      <c r="AB19" s="39"/>
      <c r="AC19" s="39"/>
      <c r="AD19" s="39"/>
      <c r="AE19" s="39"/>
      <c r="AF19" s="39"/>
      <c r="AG19" s="340"/>
      <c r="AH19" s="39"/>
      <c r="AI19" s="39"/>
      <c r="AJ19" s="39"/>
      <c r="AK19" s="39"/>
      <c r="AL19" s="39"/>
      <c r="AM19" s="39"/>
    </row>
    <row r="20" spans="1:39" ht="15" customHeight="1" x14ac:dyDescent="0.35">
      <c r="A20" s="39"/>
      <c r="B20" s="39"/>
      <c r="C20" s="39"/>
      <c r="D20" s="39"/>
      <c r="E20" s="39"/>
      <c r="F20" s="39"/>
      <c r="G20" s="39"/>
      <c r="H20" s="101"/>
      <c r="I20" s="101"/>
      <c r="J20" s="39"/>
      <c r="K20" s="368"/>
      <c r="L20" s="101"/>
      <c r="M20" s="101"/>
      <c r="N20" s="39"/>
      <c r="O20" s="340"/>
      <c r="P20" s="39"/>
      <c r="Q20" s="39"/>
      <c r="R20" s="39"/>
      <c r="S20" s="357"/>
      <c r="T20" s="39"/>
      <c r="U20" s="340"/>
      <c r="V20" s="39"/>
      <c r="W20" s="39"/>
      <c r="X20" s="353"/>
      <c r="Y20" s="803"/>
      <c r="Z20" s="341"/>
      <c r="AA20" s="39"/>
      <c r="AB20" s="39"/>
      <c r="AC20" s="39"/>
      <c r="AD20" s="39"/>
      <c r="AE20" s="39"/>
      <c r="AF20" s="39"/>
      <c r="AG20" s="340"/>
      <c r="AH20" s="39"/>
      <c r="AI20" s="39"/>
      <c r="AJ20" s="39"/>
      <c r="AK20" s="39"/>
      <c r="AL20" s="39"/>
      <c r="AM20" s="39"/>
    </row>
    <row r="21" spans="1:39" ht="15" customHeight="1" x14ac:dyDescent="0.35">
      <c r="A21" s="39"/>
      <c r="B21" s="39"/>
      <c r="C21" s="427">
        <v>0</v>
      </c>
      <c r="D21" s="409" t="s">
        <v>1517</v>
      </c>
      <c r="E21" s="39"/>
      <c r="F21" s="427">
        <v>0</v>
      </c>
      <c r="G21" s="409" t="s">
        <v>1516</v>
      </c>
      <c r="H21" s="39"/>
      <c r="I21" s="39"/>
      <c r="J21" s="369"/>
      <c r="K21" s="39"/>
      <c r="L21" s="39"/>
      <c r="M21" s="39"/>
      <c r="N21" s="39"/>
      <c r="O21" s="39"/>
      <c r="P21" s="39"/>
      <c r="Q21" s="39"/>
      <c r="R21" s="39"/>
      <c r="S21" s="39"/>
      <c r="T21" s="39"/>
      <c r="U21" s="370"/>
      <c r="V21" s="39"/>
      <c r="W21" s="352"/>
      <c r="X21" s="371"/>
      <c r="Y21" s="39"/>
      <c r="Z21" s="341"/>
      <c r="AA21" s="39"/>
      <c r="AB21" s="39"/>
      <c r="AC21" s="39"/>
      <c r="AD21" s="39"/>
      <c r="AE21" s="39"/>
      <c r="AF21" s="39"/>
      <c r="AG21" s="409">
        <v>0</v>
      </c>
      <c r="AH21" s="39"/>
      <c r="AI21" s="39"/>
      <c r="AJ21" s="39"/>
      <c r="AK21" s="39"/>
      <c r="AL21" s="39"/>
      <c r="AM21" s="39"/>
    </row>
    <row r="22" spans="1:39" ht="15" customHeight="1" x14ac:dyDescent="0.35">
      <c r="A22" s="39"/>
      <c r="B22" s="39"/>
      <c r="C22" s="427">
        <v>0</v>
      </c>
      <c r="D22" s="409" t="s">
        <v>1544</v>
      </c>
      <c r="E22" s="784">
        <v>0</v>
      </c>
      <c r="F22" s="785"/>
      <c r="G22" s="409" t="s">
        <v>1549</v>
      </c>
      <c r="H22" s="39"/>
      <c r="I22" s="369"/>
      <c r="J22" s="362"/>
      <c r="K22" s="39"/>
      <c r="L22" s="39"/>
      <c r="M22" s="39"/>
      <c r="N22" s="39"/>
      <c r="O22" s="365"/>
      <c r="P22" s="39"/>
      <c r="Q22" s="39"/>
      <c r="R22" s="39"/>
      <c r="S22" s="39"/>
      <c r="T22" s="39"/>
      <c r="U22" s="343"/>
      <c r="V22" s="39"/>
      <c r="W22" s="341"/>
      <c r="X22" s="39"/>
      <c r="Y22" s="39"/>
      <c r="Z22" s="372"/>
      <c r="AA22" s="39"/>
      <c r="AB22" s="373"/>
      <c r="AC22" s="39"/>
      <c r="AD22" s="374"/>
      <c r="AE22" s="373"/>
      <c r="AF22" s="39"/>
      <c r="AG22" s="39"/>
      <c r="AH22" s="39"/>
      <c r="AI22" s="39"/>
      <c r="AJ22" s="39"/>
      <c r="AK22" s="39"/>
      <c r="AL22" s="39"/>
      <c r="AM22" s="39"/>
    </row>
    <row r="23" spans="1:39" ht="15" customHeight="1" x14ac:dyDescent="0.35">
      <c r="A23" s="39"/>
      <c r="B23" s="39"/>
      <c r="C23" s="39"/>
      <c r="D23" s="39"/>
      <c r="E23" s="39"/>
      <c r="F23" s="427">
        <v>0</v>
      </c>
      <c r="G23" s="409" t="s">
        <v>1657</v>
      </c>
      <c r="H23" s="39"/>
      <c r="I23" s="39"/>
      <c r="J23" s="39"/>
      <c r="K23" s="413">
        <v>2.3218799999999988</v>
      </c>
      <c r="L23" s="39"/>
      <c r="M23" s="780">
        <v>1.1654999999999991</v>
      </c>
      <c r="N23" s="780"/>
      <c r="O23" s="415">
        <v>0.92039999999999944</v>
      </c>
      <c r="P23" s="39"/>
      <c r="Q23" s="39"/>
      <c r="R23" s="39"/>
      <c r="S23" s="39"/>
      <c r="T23" s="39"/>
      <c r="U23" s="800">
        <v>0</v>
      </c>
      <c r="V23" s="801"/>
      <c r="W23" s="39"/>
      <c r="X23" s="39"/>
      <c r="Y23" s="39"/>
      <c r="Z23" s="375"/>
      <c r="AA23" s="39"/>
      <c r="AB23" s="39"/>
      <c r="AC23" s="39"/>
      <c r="AD23" s="373"/>
      <c r="AE23" s="367"/>
      <c r="AF23" s="39"/>
      <c r="AG23" s="359"/>
      <c r="AH23" s="39"/>
      <c r="AI23" s="376"/>
      <c r="AJ23" s="39"/>
      <c r="AK23" s="39"/>
      <c r="AL23" s="39"/>
      <c r="AM23" s="39"/>
    </row>
    <row r="24" spans="1:39" ht="15" customHeight="1" x14ac:dyDescent="0.35">
      <c r="A24" s="39"/>
      <c r="B24" s="39"/>
      <c r="C24" s="39"/>
      <c r="D24" s="39"/>
      <c r="E24" s="39"/>
      <c r="F24" s="39"/>
      <c r="G24" s="39"/>
      <c r="H24" s="39"/>
      <c r="I24" s="39"/>
      <c r="J24" s="362"/>
      <c r="K24" s="362"/>
      <c r="L24" s="39"/>
      <c r="M24" s="39"/>
      <c r="N24" s="39"/>
      <c r="O24" s="340"/>
      <c r="P24" s="383" t="s">
        <v>1545</v>
      </c>
      <c r="Q24" s="411"/>
      <c r="R24" s="383" t="s">
        <v>1424</v>
      </c>
      <c r="S24" s="377"/>
      <c r="T24" s="39"/>
      <c r="U24" s="340"/>
      <c r="V24" s="39"/>
      <c r="W24" s="39"/>
      <c r="X24" s="39"/>
      <c r="Y24" s="39"/>
      <c r="Z24" s="101"/>
      <c r="AA24" s="39"/>
      <c r="AB24" s="39"/>
      <c r="AC24" s="39"/>
      <c r="AD24" s="39"/>
      <c r="AE24" s="39"/>
      <c r="AF24" s="39"/>
      <c r="AG24" s="39"/>
      <c r="AH24" s="39"/>
      <c r="AI24" s="39"/>
      <c r="AJ24" s="39"/>
      <c r="AK24" s="39"/>
      <c r="AL24" s="39"/>
      <c r="AM24" s="39"/>
    </row>
    <row r="25" spans="1:39" ht="15" customHeight="1" x14ac:dyDescent="0.35">
      <c r="A25" s="39"/>
      <c r="B25" s="39"/>
      <c r="C25" s="39"/>
      <c r="D25" s="39"/>
      <c r="E25" s="39"/>
      <c r="F25" s="39"/>
      <c r="G25" s="39"/>
      <c r="H25" s="416">
        <v>0.28971658324199462</v>
      </c>
      <c r="I25" s="39" t="s">
        <v>1199</v>
      </c>
      <c r="J25" s="378"/>
      <c r="K25" s="379"/>
      <c r="L25" s="352"/>
      <c r="M25" s="39"/>
      <c r="N25" s="355"/>
      <c r="O25" s="39"/>
      <c r="P25" s="413">
        <v>1.9073648088037192</v>
      </c>
      <c r="Q25" s="414" t="s">
        <v>1546</v>
      </c>
      <c r="R25" s="412">
        <v>0.80000000000000038</v>
      </c>
      <c r="S25" s="39"/>
      <c r="T25" s="39"/>
      <c r="U25" s="357"/>
      <c r="V25" s="39"/>
      <c r="W25" s="357"/>
      <c r="X25" s="39"/>
      <c r="Y25" s="39"/>
      <c r="Z25" s="427">
        <v>0</v>
      </c>
      <c r="AA25" s="39"/>
      <c r="AB25" s="39"/>
      <c r="AC25" s="380"/>
      <c r="AD25" s="381"/>
      <c r="AE25" s="39"/>
      <c r="AF25" s="39"/>
      <c r="AG25" s="39"/>
      <c r="AH25" s="759"/>
      <c r="AI25" s="410"/>
      <c r="AJ25" s="39"/>
      <c r="AK25" s="39"/>
      <c r="AL25" s="39"/>
      <c r="AM25" s="39"/>
    </row>
    <row r="26" spans="1:39" ht="15" customHeight="1" x14ac:dyDescent="0.35">
      <c r="A26" s="39"/>
      <c r="B26" s="39"/>
      <c r="C26" s="39"/>
      <c r="D26" s="39"/>
      <c r="E26" s="39"/>
      <c r="F26" s="39"/>
      <c r="G26" s="39"/>
      <c r="H26" s="409">
        <f>EdibleFromPlantsValue</f>
        <v>0</v>
      </c>
      <c r="I26" s="409" t="s">
        <v>1550</v>
      </c>
      <c r="J26" s="39"/>
      <c r="K26" s="39"/>
      <c r="L26" s="39"/>
      <c r="M26" s="39"/>
      <c r="N26" s="39"/>
      <c r="O26" s="340"/>
      <c r="P26" s="39"/>
      <c r="Q26" s="39"/>
      <c r="R26" s="373"/>
      <c r="S26" s="39"/>
      <c r="T26" s="39"/>
      <c r="U26" s="367"/>
      <c r="V26" s="39"/>
      <c r="W26" s="39"/>
      <c r="X26" s="39"/>
      <c r="Y26" s="39"/>
      <c r="Z26" s="39"/>
      <c r="AA26" s="39"/>
      <c r="AB26" s="39"/>
      <c r="AC26" s="39"/>
      <c r="AD26" s="39"/>
      <c r="AE26" s="39"/>
      <c r="AF26" s="39"/>
      <c r="AG26" s="39"/>
      <c r="AH26" s="39"/>
      <c r="AI26" s="410"/>
      <c r="AJ26" s="39"/>
      <c r="AK26" s="39"/>
      <c r="AL26" s="39"/>
      <c r="AM26" s="39"/>
    </row>
    <row r="27" spans="1:39" ht="15" customHeight="1" x14ac:dyDescent="0.35">
      <c r="A27" s="39"/>
      <c r="B27" s="39"/>
      <c r="C27" s="39"/>
      <c r="D27" s="39"/>
      <c r="E27" s="39"/>
      <c r="F27" s="39"/>
      <c r="G27" s="39"/>
      <c r="H27" s="413">
        <v>0.13430570084065974</v>
      </c>
      <c r="I27" s="39"/>
      <c r="J27" s="39"/>
      <c r="K27" s="39"/>
      <c r="L27" s="39"/>
      <c r="M27" s="39"/>
      <c r="N27" s="39"/>
      <c r="O27" s="341"/>
      <c r="P27" s="39"/>
      <c r="Q27" s="409">
        <v>0</v>
      </c>
      <c r="R27" s="373"/>
      <c r="S27" s="39"/>
      <c r="T27" s="39"/>
      <c r="U27" s="39"/>
      <c r="V27" s="39"/>
      <c r="W27" s="39"/>
      <c r="X27" s="39"/>
      <c r="Y27" s="39"/>
      <c r="Z27" s="409">
        <v>0</v>
      </c>
      <c r="AA27" s="39"/>
      <c r="AB27" s="367"/>
      <c r="AC27" s="39"/>
      <c r="AD27" s="39"/>
      <c r="AE27" s="39"/>
      <c r="AF27" s="39"/>
      <c r="AG27" s="39"/>
      <c r="AH27" s="39"/>
      <c r="AI27" s="39"/>
      <c r="AJ27" s="39"/>
      <c r="AK27" s="39"/>
      <c r="AL27" s="39"/>
      <c r="AM27" s="39"/>
    </row>
    <row r="28" spans="1:39" ht="15" customHeight="1" x14ac:dyDescent="0.35">
      <c r="A28" s="39"/>
      <c r="B28" s="39"/>
      <c r="C28" s="39"/>
      <c r="D28" s="39"/>
      <c r="E28" s="39"/>
      <c r="F28" s="39"/>
      <c r="G28" s="773" t="s">
        <v>1546</v>
      </c>
      <c r="H28" s="427">
        <v>0</v>
      </c>
      <c r="I28" s="409" t="s">
        <v>1550</v>
      </c>
      <c r="J28" s="39"/>
      <c r="K28" s="39"/>
      <c r="L28" s="39"/>
      <c r="M28" s="39"/>
      <c r="N28" s="39"/>
      <c r="O28" s="382"/>
      <c r="P28" s="39"/>
      <c r="Q28" s="39"/>
      <c r="R28" s="39"/>
      <c r="S28" s="39"/>
      <c r="T28" s="39"/>
      <c r="U28" s="39"/>
      <c r="V28" s="39"/>
      <c r="W28" s="39"/>
      <c r="X28" s="39"/>
      <c r="Y28" s="39"/>
      <c r="Z28" s="39"/>
      <c r="AA28" s="39"/>
      <c r="AB28" s="39"/>
      <c r="AC28" s="39"/>
      <c r="AD28" s="39"/>
      <c r="AE28" s="39"/>
      <c r="AF28" s="39"/>
      <c r="AG28" s="39"/>
      <c r="AH28" s="39"/>
      <c r="AI28" s="39"/>
      <c r="AJ28" s="39"/>
      <c r="AK28" s="39"/>
      <c r="AL28" s="39"/>
      <c r="AM28" s="39"/>
    </row>
    <row r="29" spans="1:39" ht="15" customHeight="1" x14ac:dyDescent="0.35">
      <c r="A29" s="39"/>
      <c r="B29" s="39"/>
      <c r="C29" s="39"/>
      <c r="D29" s="39"/>
      <c r="E29" s="39"/>
      <c r="F29" s="39"/>
      <c r="G29" s="39"/>
      <c r="H29" s="39"/>
      <c r="I29" s="39"/>
      <c r="J29" s="39"/>
      <c r="K29" s="101"/>
      <c r="L29" s="39"/>
      <c r="M29" s="779">
        <v>0</v>
      </c>
      <c r="N29" s="794"/>
      <c r="O29" s="382"/>
      <c r="P29" s="103">
        <v>0.14788400000000002</v>
      </c>
      <c r="Q29" s="39" t="s">
        <v>801</v>
      </c>
      <c r="R29" s="802">
        <v>0</v>
      </c>
      <c r="S29" s="802"/>
      <c r="T29" s="39"/>
      <c r="U29" s="779">
        <v>0</v>
      </c>
      <c r="V29" s="786"/>
      <c r="W29" s="39"/>
      <c r="X29" s="39"/>
      <c r="Y29" s="39"/>
      <c r="Z29" s="39"/>
      <c r="AA29" s="39"/>
      <c r="AB29" s="39"/>
      <c r="AC29" s="39"/>
      <c r="AD29" s="39"/>
      <c r="AE29" s="39"/>
      <c r="AF29" s="39"/>
      <c r="AG29" s="39"/>
      <c r="AH29" s="39"/>
      <c r="AI29" s="39"/>
      <c r="AJ29" s="39"/>
      <c r="AK29" s="39"/>
      <c r="AL29" s="39"/>
      <c r="AM29" s="39"/>
    </row>
    <row r="30" spans="1:39" ht="15" customHeight="1" x14ac:dyDescent="0.35">
      <c r="A30" s="39"/>
      <c r="B30" s="39"/>
      <c r="C30" s="39"/>
      <c r="D30" s="39"/>
      <c r="E30" s="39"/>
      <c r="F30" s="39"/>
      <c r="G30" s="39"/>
      <c r="H30" s="427">
        <v>1.6589999999999998</v>
      </c>
      <c r="I30" s="39"/>
      <c r="J30" s="360"/>
      <c r="K30" s="39"/>
      <c r="L30" s="39"/>
      <c r="M30" s="39"/>
      <c r="N30" s="39"/>
      <c r="O30" s="39"/>
      <c r="P30" s="410">
        <v>1.5999999999999999</v>
      </c>
      <c r="Q30" s="410" t="s">
        <v>1544</v>
      </c>
      <c r="R30" s="339"/>
      <c r="S30" s="339"/>
      <c r="T30" s="39"/>
      <c r="U30" s="384"/>
      <c r="V30" s="39"/>
      <c r="W30" s="39"/>
      <c r="X30" s="39"/>
      <c r="Y30" s="39"/>
      <c r="Z30" s="385"/>
      <c r="AA30" s="39"/>
      <c r="AB30" s="39"/>
      <c r="AC30" s="39"/>
      <c r="AD30" s="39"/>
      <c r="AE30" s="409">
        <v>0</v>
      </c>
      <c r="AF30" s="409" t="s">
        <v>2003</v>
      </c>
      <c r="AG30" s="39"/>
      <c r="AH30" s="39"/>
      <c r="AI30" s="39"/>
      <c r="AJ30" s="39"/>
      <c r="AK30" s="39"/>
      <c r="AL30" s="39"/>
      <c r="AM30" s="39"/>
    </row>
    <row r="31" spans="1:39" ht="15" customHeight="1" x14ac:dyDescent="0.35">
      <c r="A31" s="39"/>
      <c r="B31" s="39"/>
      <c r="C31" s="39"/>
      <c r="D31" s="795" t="s">
        <v>1548</v>
      </c>
      <c r="E31" s="796"/>
      <c r="F31" s="39"/>
      <c r="G31" s="39"/>
      <c r="H31" s="39"/>
      <c r="I31" s="39"/>
      <c r="J31" s="39"/>
      <c r="K31" s="39"/>
      <c r="L31" s="39"/>
      <c r="M31" s="39"/>
      <c r="N31" s="39"/>
      <c r="O31" s="355"/>
      <c r="P31" s="787">
        <v>0</v>
      </c>
      <c r="Q31" s="787">
        <v>0</v>
      </c>
      <c r="R31" s="39"/>
      <c r="S31" s="363"/>
      <c r="T31" s="39"/>
      <c r="U31" s="387"/>
      <c r="V31" s="39"/>
      <c r="W31" s="39"/>
      <c r="X31" s="39"/>
      <c r="Y31" s="39"/>
      <c r="Z31" s="356"/>
      <c r="AA31" s="39"/>
      <c r="AB31" s="39"/>
      <c r="AC31" s="39"/>
      <c r="AD31" s="388"/>
      <c r="AE31" s="39"/>
      <c r="AF31" s="39"/>
      <c r="AG31" s="39"/>
      <c r="AH31" s="39"/>
      <c r="AI31" s="39"/>
      <c r="AJ31" s="39"/>
      <c r="AK31" s="39"/>
      <c r="AL31" s="39"/>
      <c r="AM31" s="39"/>
    </row>
    <row r="32" spans="1:39" ht="15" customHeight="1" x14ac:dyDescent="0.35">
      <c r="A32" s="39"/>
      <c r="B32" s="39"/>
      <c r="C32" s="39"/>
      <c r="D32" s="796"/>
      <c r="E32" s="796"/>
      <c r="F32" s="39"/>
      <c r="G32" s="39"/>
      <c r="H32" s="39"/>
      <c r="I32" s="389"/>
      <c r="J32" s="390"/>
      <c r="K32" s="39"/>
      <c r="L32" s="39"/>
      <c r="M32" s="39"/>
      <c r="N32" s="39"/>
      <c r="O32" s="39"/>
      <c r="P32" s="804"/>
      <c r="Q32" s="804"/>
      <c r="R32" s="39"/>
      <c r="S32" s="39"/>
      <c r="T32" s="39"/>
      <c r="U32" s="39"/>
      <c r="V32" s="39"/>
      <c r="W32" s="391"/>
      <c r="X32" s="39"/>
      <c r="Y32" s="39"/>
      <c r="Z32" s="39"/>
      <c r="AA32" s="39"/>
      <c r="AB32" s="39"/>
      <c r="AC32" s="39"/>
      <c r="AD32" s="39"/>
      <c r="AE32" s="39"/>
      <c r="AF32" s="39"/>
      <c r="AG32" s="39"/>
      <c r="AH32" s="39"/>
      <c r="AI32" s="39"/>
      <c r="AJ32" s="39"/>
      <c r="AK32" s="39"/>
      <c r="AL32" s="39"/>
      <c r="AM32" s="39"/>
    </row>
    <row r="33" spans="1:39" ht="15" customHeight="1" x14ac:dyDescent="0.35">
      <c r="A33" s="39"/>
      <c r="B33" s="779">
        <v>0</v>
      </c>
      <c r="C33" s="786"/>
      <c r="D33" s="779">
        <v>0</v>
      </c>
      <c r="E33" s="793"/>
      <c r="F33" s="39"/>
      <c r="G33" s="39"/>
      <c r="H33" s="39"/>
      <c r="I33" s="342"/>
      <c r="J33" s="39"/>
      <c r="K33" s="39"/>
      <c r="L33" s="39"/>
      <c r="M33" s="392"/>
      <c r="N33" s="39"/>
      <c r="O33" s="39"/>
      <c r="P33" s="39"/>
      <c r="Q33" s="39"/>
      <c r="R33" s="39"/>
      <c r="S33" s="39"/>
      <c r="T33" s="39"/>
      <c r="U33" s="39"/>
      <c r="V33" s="39"/>
      <c r="W33" s="39"/>
      <c r="X33" s="39"/>
      <c r="Y33" s="39"/>
      <c r="Z33" s="39"/>
      <c r="AA33" s="39"/>
      <c r="AB33" s="39"/>
      <c r="AC33" s="39"/>
      <c r="AD33" s="103"/>
      <c r="AE33" s="39"/>
      <c r="AF33" s="103"/>
      <c r="AG33" s="39"/>
      <c r="AH33" s="39"/>
      <c r="AI33" s="39"/>
      <c r="AJ33" s="39"/>
      <c r="AK33" s="39"/>
      <c r="AL33" s="39"/>
      <c r="AM33" s="39"/>
    </row>
    <row r="34" spans="1:39" ht="15" customHeight="1" x14ac:dyDescent="0.35">
      <c r="A34" s="39"/>
      <c r="B34" s="786"/>
      <c r="C34" s="786"/>
      <c r="D34" s="737" t="s">
        <v>1658</v>
      </c>
      <c r="F34" s="39"/>
      <c r="G34" s="39"/>
      <c r="H34" s="39"/>
      <c r="I34" s="39"/>
      <c r="J34" s="39"/>
      <c r="K34" s="39"/>
      <c r="L34" s="39"/>
      <c r="M34" s="39"/>
      <c r="N34" s="39"/>
      <c r="O34" s="340"/>
      <c r="P34" s="39"/>
      <c r="Q34" s="39"/>
      <c r="R34" s="39"/>
      <c r="U34" s="393"/>
      <c r="V34" s="39"/>
      <c r="W34" s="39"/>
      <c r="X34" s="774">
        <v>0</v>
      </c>
      <c r="Y34" s="39"/>
      <c r="Z34" s="39"/>
      <c r="AA34" s="39"/>
      <c r="AB34" s="39"/>
      <c r="AC34" s="39"/>
      <c r="AD34" s="393"/>
      <c r="AE34" s="363"/>
      <c r="AF34" s="39"/>
      <c r="AG34" s="39"/>
      <c r="AH34" s="39"/>
      <c r="AI34" s="39"/>
      <c r="AJ34" s="409">
        <v>0</v>
      </c>
      <c r="AK34" s="742" t="s">
        <v>2003</v>
      </c>
      <c r="AL34" s="39"/>
      <c r="AM34" s="39"/>
    </row>
    <row r="35" spans="1:39" ht="15" customHeight="1" x14ac:dyDescent="0.35">
      <c r="A35" s="39"/>
      <c r="B35" s="39"/>
      <c r="C35" s="39"/>
      <c r="D35" s="779">
        <v>0</v>
      </c>
      <c r="E35" s="786"/>
      <c r="F35" s="39"/>
      <c r="G35" s="39"/>
      <c r="H35" s="39"/>
      <c r="I35" s="39"/>
      <c r="J35" s="39"/>
      <c r="K35" s="39"/>
      <c r="L35" s="39"/>
      <c r="M35" s="779">
        <v>0</v>
      </c>
      <c r="N35" s="794"/>
      <c r="O35" s="341"/>
      <c r="P35" s="410">
        <v>0.80000000000000038</v>
      </c>
      <c r="Q35" s="410" t="s">
        <v>1547</v>
      </c>
      <c r="R35" s="39"/>
      <c r="T35" s="789">
        <v>0.12723294635175988</v>
      </c>
      <c r="U35" s="790"/>
      <c r="V35" s="410" t="s">
        <v>1551</v>
      </c>
      <c r="W35" s="39"/>
      <c r="X35" s="39"/>
      <c r="Y35" s="39"/>
      <c r="Z35" s="39"/>
      <c r="AC35" s="39"/>
      <c r="AD35" s="39"/>
      <c r="AE35" s="39"/>
      <c r="AF35" s="39"/>
      <c r="AG35" s="39"/>
      <c r="AH35" s="39"/>
      <c r="AI35" s="39"/>
      <c r="AJ35" s="39"/>
      <c r="AK35" s="39"/>
      <c r="AL35" s="39"/>
      <c r="AM35" s="39"/>
    </row>
    <row r="36" spans="1:39" ht="15" customHeight="1" x14ac:dyDescent="0.35">
      <c r="A36" s="39"/>
      <c r="B36" s="39"/>
      <c r="C36" s="39"/>
      <c r="D36" s="39"/>
      <c r="E36" s="39"/>
      <c r="F36" s="39"/>
      <c r="G36" s="39"/>
      <c r="H36" s="39"/>
      <c r="I36" s="427">
        <v>0</v>
      </c>
      <c r="J36" s="339"/>
      <c r="K36" s="39"/>
      <c r="L36" s="39"/>
      <c r="M36" s="39"/>
      <c r="N36" s="39"/>
      <c r="O36" s="341"/>
      <c r="P36" s="39"/>
      <c r="Q36" s="39"/>
      <c r="R36" s="39"/>
      <c r="S36" s="39"/>
      <c r="T36" s="39"/>
      <c r="U36" s="39"/>
      <c r="V36" s="39"/>
      <c r="W36" s="39"/>
      <c r="X36" s="39"/>
      <c r="Y36" s="39"/>
      <c r="Z36" s="39"/>
      <c r="AC36" s="39"/>
      <c r="AD36" s="39"/>
      <c r="AE36" s="39"/>
      <c r="AF36" s="39"/>
      <c r="AG36" s="39"/>
      <c r="AH36" s="39"/>
      <c r="AI36" s="39"/>
      <c r="AJ36" s="39"/>
      <c r="AK36" s="39"/>
      <c r="AL36" s="39"/>
      <c r="AM36" s="39"/>
    </row>
    <row r="37" spans="1:39" ht="15" customHeight="1" x14ac:dyDescent="0.35">
      <c r="A37" s="39"/>
      <c r="B37" s="39"/>
      <c r="C37" s="39"/>
      <c r="D37" s="39"/>
      <c r="E37" s="39"/>
      <c r="F37" s="39"/>
      <c r="G37" s="39"/>
      <c r="I37" s="39"/>
      <c r="J37" s="39"/>
      <c r="K37" s="101"/>
      <c r="L37" s="39"/>
      <c r="M37" s="39"/>
      <c r="N37" s="39"/>
      <c r="O37" s="341"/>
      <c r="P37" s="39"/>
      <c r="Q37" s="39"/>
      <c r="R37" s="39"/>
      <c r="S37" s="39"/>
      <c r="T37" s="39"/>
      <c r="U37" s="39"/>
      <c r="V37" s="39"/>
      <c r="W37" s="39"/>
      <c r="X37" s="39"/>
      <c r="Y37" s="39"/>
      <c r="Z37" s="39"/>
      <c r="AC37" s="39"/>
      <c r="AD37" s="39"/>
      <c r="AE37" s="39"/>
      <c r="AF37" s="39"/>
      <c r="AG37" s="39"/>
      <c r="AH37" s="39"/>
      <c r="AI37" s="39"/>
      <c r="AJ37" s="39"/>
      <c r="AK37" s="39"/>
      <c r="AL37" s="39"/>
      <c r="AM37" s="39"/>
    </row>
    <row r="38" spans="1:39" ht="15" customHeight="1" x14ac:dyDescent="0.35">
      <c r="A38" s="39"/>
      <c r="B38" s="39"/>
      <c r="C38" s="783" t="s">
        <v>1694</v>
      </c>
      <c r="D38" s="783"/>
      <c r="E38" s="783"/>
      <c r="F38" s="39"/>
      <c r="G38" s="39"/>
      <c r="H38" s="39"/>
      <c r="I38" s="39"/>
      <c r="J38" s="394"/>
      <c r="K38" s="39"/>
      <c r="L38" s="39"/>
      <c r="M38" s="39"/>
      <c r="N38" s="39"/>
      <c r="O38" s="341"/>
      <c r="P38" s="39"/>
      <c r="Q38" s="39"/>
      <c r="R38" s="39"/>
      <c r="S38" s="39"/>
      <c r="T38" s="39"/>
      <c r="U38" s="39"/>
      <c r="V38" s="39"/>
      <c r="W38" s="39"/>
      <c r="X38" s="39"/>
      <c r="Y38" s="39"/>
      <c r="Z38" s="39"/>
      <c r="AA38" s="39"/>
      <c r="AB38" s="39"/>
      <c r="AC38" s="39"/>
      <c r="AD38" s="39"/>
      <c r="AE38" s="39"/>
      <c r="AF38" s="39"/>
      <c r="AG38" s="39"/>
      <c r="AH38" s="39"/>
      <c r="AI38" s="39"/>
      <c r="AJ38" s="39"/>
      <c r="AK38" s="39"/>
      <c r="AL38" s="39"/>
      <c r="AM38" s="39"/>
    </row>
    <row r="39" spans="1:39" ht="15" customHeight="1" thickBot="1" x14ac:dyDescent="0.4">
      <c r="A39" s="39"/>
      <c r="B39" s="39"/>
      <c r="C39" s="783"/>
      <c r="D39" s="783"/>
      <c r="E39" s="783"/>
      <c r="F39" s="39"/>
      <c r="G39" s="39"/>
      <c r="H39" s="39"/>
      <c r="I39" s="779">
        <v>0</v>
      </c>
      <c r="J39" s="780"/>
      <c r="K39" s="395"/>
      <c r="L39" s="39"/>
      <c r="M39" s="39"/>
      <c r="N39" s="39"/>
      <c r="O39" s="341"/>
      <c r="P39" s="427">
        <v>0</v>
      </c>
      <c r="Q39" s="409" t="s">
        <v>1551</v>
      </c>
      <c r="R39" s="39"/>
      <c r="S39" s="39"/>
      <c r="T39" s="39"/>
      <c r="U39" s="39"/>
      <c r="V39" s="39"/>
      <c r="W39" s="39"/>
      <c r="X39" s="39"/>
      <c r="Y39" s="39"/>
      <c r="Z39" s="39"/>
      <c r="AA39" s="39"/>
      <c r="AC39" s="39"/>
      <c r="AD39" s="39"/>
      <c r="AF39" s="39"/>
      <c r="AG39" s="39"/>
      <c r="AH39" s="39"/>
      <c r="AI39" s="39"/>
      <c r="AJ39" s="39"/>
      <c r="AK39" s="39"/>
      <c r="AL39" s="39"/>
      <c r="AM39" s="39"/>
    </row>
    <row r="40" spans="1:39" ht="15" customHeight="1" x14ac:dyDescent="0.35">
      <c r="A40" s="39"/>
      <c r="B40" s="39"/>
      <c r="C40" s="39"/>
      <c r="D40" s="781">
        <v>1.1018596318624783</v>
      </c>
      <c r="E40" s="782"/>
      <c r="F40" s="39"/>
      <c r="G40" s="39"/>
      <c r="H40" s="363"/>
      <c r="I40" s="39"/>
      <c r="J40" s="39"/>
      <c r="K40" s="39"/>
      <c r="L40" s="39"/>
      <c r="M40" s="39"/>
      <c r="N40" s="39"/>
      <c r="O40" s="396"/>
      <c r="P40" s="39"/>
      <c r="Q40" s="39"/>
      <c r="R40" s="39"/>
      <c r="S40" s="39"/>
      <c r="T40" s="39"/>
      <c r="U40" s="39"/>
      <c r="V40" s="39"/>
      <c r="W40" s="39"/>
      <c r="X40" s="39"/>
      <c r="Y40" s="39"/>
      <c r="Z40" s="39"/>
      <c r="AA40" s="398" t="s">
        <v>1513</v>
      </c>
      <c r="AB40" s="326"/>
      <c r="AC40" s="399" t="s">
        <v>1515</v>
      </c>
      <c r="AD40" s="399"/>
      <c r="AE40" s="399"/>
      <c r="AF40" s="399"/>
      <c r="AG40" s="399"/>
      <c r="AH40" s="399"/>
      <c r="AI40" s="400"/>
      <c r="AJ40" s="39"/>
      <c r="AK40" s="39"/>
      <c r="AL40" s="39"/>
      <c r="AM40" s="39"/>
    </row>
    <row r="41" spans="1:39" ht="15" customHeight="1" x14ac:dyDescent="0.45">
      <c r="A41" s="39"/>
      <c r="B41" s="39"/>
      <c r="C41" s="39"/>
      <c r="D41" s="39"/>
      <c r="E41" s="39"/>
      <c r="F41" s="39"/>
      <c r="G41" s="39"/>
      <c r="H41" s="39"/>
      <c r="I41" s="39"/>
      <c r="J41" s="103">
        <f>H25*0.25/1.51</f>
        <v>4.7966321728807056E-2</v>
      </c>
      <c r="K41" s="39" t="s">
        <v>1510</v>
      </c>
      <c r="L41" s="39"/>
      <c r="M41" s="39"/>
      <c r="N41" s="39"/>
      <c r="O41" s="341"/>
      <c r="P41" s="39"/>
      <c r="Q41" s="39"/>
      <c r="R41" s="39"/>
      <c r="S41" s="39"/>
      <c r="T41" s="39"/>
      <c r="U41" s="39"/>
      <c r="V41" s="39"/>
      <c r="W41" s="39"/>
      <c r="X41" s="39"/>
      <c r="Y41" s="39"/>
      <c r="Z41" s="39"/>
      <c r="AA41" s="129"/>
      <c r="AB41" s="339" t="s">
        <v>2011</v>
      </c>
      <c r="AC41" s="39"/>
      <c r="AD41" s="39"/>
      <c r="AE41" s="386" t="s">
        <v>1511</v>
      </c>
      <c r="AF41" s="39"/>
      <c r="AG41" s="39"/>
      <c r="AH41" s="39"/>
      <c r="AI41" s="401" t="s">
        <v>1514</v>
      </c>
      <c r="AJ41" s="39"/>
      <c r="AK41" s="39"/>
      <c r="AL41" s="39"/>
      <c r="AM41" s="39"/>
    </row>
    <row r="42" spans="1:39" ht="15" customHeight="1" x14ac:dyDescent="0.45">
      <c r="A42" s="39"/>
      <c r="B42" s="39"/>
      <c r="C42" s="39"/>
      <c r="D42" s="39"/>
      <c r="E42" s="39"/>
      <c r="F42" s="39"/>
      <c r="G42" s="39"/>
      <c r="H42" s="39"/>
      <c r="I42" s="39"/>
      <c r="J42" s="39"/>
      <c r="K42" s="39"/>
      <c r="L42" s="39"/>
      <c r="M42" s="39"/>
      <c r="N42" s="39"/>
      <c r="O42" s="39"/>
      <c r="P42" s="39"/>
      <c r="Q42" s="39"/>
      <c r="R42" s="39"/>
      <c r="S42" s="39"/>
      <c r="T42" s="39"/>
      <c r="U42" s="39"/>
      <c r="V42" s="39"/>
      <c r="W42" s="39"/>
      <c r="X42" s="39"/>
      <c r="Y42" s="39"/>
      <c r="Z42" s="39"/>
      <c r="AA42" s="129"/>
      <c r="AB42" s="334" t="s">
        <v>2012</v>
      </c>
      <c r="AC42" s="39"/>
      <c r="AD42" s="39"/>
      <c r="AE42" s="397" t="s">
        <v>2014</v>
      </c>
      <c r="AF42" s="39"/>
      <c r="AG42" s="39"/>
      <c r="AH42" s="39"/>
      <c r="AI42" s="401"/>
      <c r="AJ42" s="39"/>
      <c r="AK42" s="39"/>
      <c r="AL42" s="39"/>
      <c r="AM42" s="39"/>
    </row>
    <row r="43" spans="1:39" ht="15" customHeight="1" thickBot="1" x14ac:dyDescent="0.5">
      <c r="A43" s="39"/>
      <c r="B43" s="39"/>
      <c r="C43" s="39"/>
      <c r="D43" s="39"/>
      <c r="E43" s="39"/>
      <c r="F43" s="39"/>
      <c r="G43" s="39"/>
      <c r="H43" s="39"/>
      <c r="I43" s="39"/>
      <c r="J43" s="39"/>
      <c r="K43" s="39"/>
      <c r="L43" s="39"/>
      <c r="M43" s="39"/>
      <c r="N43" s="39"/>
      <c r="O43" s="39"/>
      <c r="P43" s="39"/>
      <c r="Q43" s="39"/>
      <c r="R43" s="39"/>
      <c r="S43" s="39"/>
      <c r="T43" s="39"/>
      <c r="U43" s="39"/>
      <c r="V43" s="39"/>
      <c r="W43" s="39"/>
      <c r="X43" s="39"/>
      <c r="Y43" s="39"/>
      <c r="Z43" s="39"/>
      <c r="AA43" s="130"/>
      <c r="AB43" s="402" t="s">
        <v>2013</v>
      </c>
      <c r="AC43" s="403"/>
      <c r="AD43" s="403"/>
      <c r="AE43" s="404" t="s">
        <v>1512</v>
      </c>
      <c r="AF43" s="403"/>
      <c r="AG43" s="403"/>
      <c r="AH43" s="403"/>
      <c r="AI43" s="405"/>
      <c r="AJ43" s="39"/>
      <c r="AK43" s="39"/>
      <c r="AL43" s="39"/>
      <c r="AM43" s="39"/>
    </row>
    <row r="44" spans="1:39" ht="15" hidden="1" thickBot="1" x14ac:dyDescent="0.4">
      <c r="A44" s="39"/>
      <c r="B44" s="39"/>
      <c r="C44" s="39"/>
      <c r="D44" s="39"/>
      <c r="E44" s="39"/>
      <c r="F44" s="39"/>
      <c r="G44" s="39"/>
      <c r="H44" s="39"/>
      <c r="J44" s="39"/>
      <c r="K44" s="39"/>
      <c r="L44" s="39"/>
      <c r="M44" s="39"/>
      <c r="N44" s="39"/>
      <c r="O44" s="39"/>
      <c r="P44" s="39"/>
      <c r="Q44" s="39"/>
      <c r="R44" s="39"/>
      <c r="S44" s="39"/>
      <c r="T44" s="39"/>
      <c r="U44" s="39"/>
      <c r="V44" s="39"/>
      <c r="W44" s="39"/>
      <c r="X44" s="39"/>
      <c r="Y44" s="39"/>
      <c r="Z44" s="39"/>
      <c r="AA44" s="39"/>
      <c r="AB44" s="39"/>
      <c r="AC44" s="39"/>
      <c r="AD44" s="39"/>
      <c r="AE44" s="39"/>
      <c r="AF44" s="39"/>
      <c r="AG44" s="403"/>
      <c r="AH44" s="39"/>
      <c r="AI44" s="39"/>
      <c r="AJ44" s="39"/>
      <c r="AK44" s="39"/>
      <c r="AL44" s="39"/>
      <c r="AM44" s="39"/>
    </row>
    <row r="45" spans="1:39" hidden="1" x14ac:dyDescent="0.35">
      <c r="A45" s="39"/>
      <c r="B45" s="39"/>
      <c r="C45" s="39"/>
      <c r="D45" s="39"/>
      <c r="E45" s="39"/>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row>
    <row r="46" spans="1:39" hidden="1" x14ac:dyDescent="0.35">
      <c r="A46" s="39"/>
      <c r="B46" s="39"/>
      <c r="C46" s="39"/>
      <c r="D46" s="39"/>
      <c r="E46" s="39"/>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row>
    <row r="47" spans="1:39" hidden="1" x14ac:dyDescent="0.35">
      <c r="A47" s="39"/>
      <c r="B47" s="39"/>
      <c r="C47" s="39"/>
      <c r="D47" s="39"/>
      <c r="E47" s="39"/>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row>
    <row r="48" spans="1:39" hidden="1" x14ac:dyDescent="0.35">
      <c r="A48" s="39"/>
      <c r="B48" s="39"/>
      <c r="C48" s="39"/>
      <c r="D48" s="39"/>
      <c r="E48" s="39"/>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row>
    <row r="49" spans="1:39" hidden="1" x14ac:dyDescent="0.35">
      <c r="A49" s="39"/>
      <c r="B49" s="39"/>
      <c r="C49" s="39"/>
      <c r="D49" s="39"/>
      <c r="E49" s="39"/>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row>
    <row r="50" spans="1:39" hidden="1" x14ac:dyDescent="0.35">
      <c r="A50" s="39"/>
      <c r="B50" s="39"/>
      <c r="C50" s="39"/>
      <c r="D50" s="39"/>
      <c r="E50" s="39"/>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row>
    <row r="51" spans="1:39" hidden="1" x14ac:dyDescent="0.35">
      <c r="A51" s="39"/>
      <c r="B51" s="39"/>
      <c r="C51" s="39"/>
      <c r="D51" s="39"/>
      <c r="E51" s="39"/>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row>
    <row r="52" spans="1:39" hidden="1" x14ac:dyDescent="0.35">
      <c r="A52" s="39"/>
      <c r="B52" s="39"/>
      <c r="C52" s="39"/>
      <c r="D52" s="39"/>
      <c r="E52" s="39"/>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row>
    <row r="53" spans="1:39" hidden="1" x14ac:dyDescent="0.35">
      <c r="A53" s="39"/>
      <c r="B53" s="39"/>
      <c r="C53" s="39"/>
      <c r="D53" s="39"/>
      <c r="E53" s="39"/>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row>
    <row r="54" spans="1:39" hidden="1" x14ac:dyDescent="0.35">
      <c r="A54" s="39"/>
      <c r="B54" s="39"/>
      <c r="C54" s="39"/>
      <c r="D54" s="39"/>
      <c r="E54" s="39"/>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row>
    <row r="55" spans="1:39" hidden="1" x14ac:dyDescent="0.35">
      <c r="A55" s="39"/>
      <c r="B55" s="39"/>
      <c r="C55" s="39"/>
      <c r="D55" s="39"/>
      <c r="E55" s="39"/>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row>
    <row r="56" spans="1:39" hidden="1" x14ac:dyDescent="0.35">
      <c r="A56" s="39"/>
      <c r="B56" s="39"/>
      <c r="C56" s="39"/>
      <c r="D56" s="39"/>
      <c r="E56" s="39"/>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row>
    <row r="57" spans="1:39" hidden="1" x14ac:dyDescent="0.35">
      <c r="A57" s="39"/>
      <c r="B57" s="39"/>
      <c r="C57" s="39"/>
      <c r="D57" s="39"/>
      <c r="E57" s="39"/>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row>
    <row r="58" spans="1:39" hidden="1" x14ac:dyDescent="0.35">
      <c r="A58" s="39"/>
      <c r="B58" s="39"/>
      <c r="C58" s="39"/>
      <c r="D58" s="39"/>
      <c r="E58" s="39"/>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row>
    <row r="59" spans="1:39" hidden="1" x14ac:dyDescent="0.35">
      <c r="A59" s="39"/>
      <c r="B59" s="39"/>
      <c r="C59" s="39"/>
      <c r="D59" s="39"/>
      <c r="E59" s="39"/>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row>
    <row r="60" spans="1:39" hidden="1" x14ac:dyDescent="0.35">
      <c r="A60" s="39"/>
      <c r="B60" s="39"/>
      <c r="C60" s="39"/>
      <c r="D60" s="39"/>
      <c r="E60" s="39"/>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row>
    <row r="61" spans="1:39" hidden="1" x14ac:dyDescent="0.35">
      <c r="A61" s="39"/>
      <c r="B61" s="39"/>
      <c r="C61" s="39"/>
      <c r="D61" s="39"/>
      <c r="E61" s="39"/>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row>
    <row r="62" spans="1:39" hidden="1" x14ac:dyDescent="0.35">
      <c r="A62" s="39"/>
      <c r="B62" s="39"/>
      <c r="C62" s="39"/>
      <c r="D62" s="39"/>
      <c r="E62" s="39"/>
      <c r="F62" s="39"/>
      <c r="G62" s="39"/>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c r="AG62" s="39"/>
      <c r="AH62" s="39"/>
      <c r="AI62" s="39"/>
      <c r="AJ62" s="39"/>
      <c r="AK62" s="39"/>
      <c r="AL62" s="39"/>
      <c r="AM62" s="39"/>
    </row>
    <row r="63" spans="1:39" hidden="1" x14ac:dyDescent="0.35">
      <c r="A63" s="39"/>
      <c r="B63" s="39"/>
      <c r="C63" s="39"/>
      <c r="D63" s="39"/>
      <c r="E63" s="39"/>
      <c r="F63" s="39"/>
      <c r="G63" s="39"/>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c r="AG63" s="39"/>
      <c r="AH63" s="39"/>
      <c r="AI63" s="39"/>
      <c r="AJ63" s="39"/>
      <c r="AK63" s="39"/>
      <c r="AL63" s="39"/>
      <c r="AM63" s="39"/>
    </row>
    <row r="64" spans="1:39" hidden="1" x14ac:dyDescent="0.35">
      <c r="A64" s="39"/>
      <c r="B64" s="39"/>
      <c r="C64" s="39"/>
      <c r="D64" s="39"/>
      <c r="E64" s="39"/>
      <c r="F64" s="39"/>
      <c r="G64" s="39"/>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c r="AG64" s="39"/>
      <c r="AH64" s="39"/>
      <c r="AI64" s="39"/>
      <c r="AJ64" s="39"/>
      <c r="AK64" s="39"/>
      <c r="AL64" s="39"/>
      <c r="AM64" s="39"/>
    </row>
    <row r="65" spans="1:39" hidden="1" x14ac:dyDescent="0.35">
      <c r="A65" s="39"/>
      <c r="B65" s="39"/>
      <c r="C65" s="39"/>
      <c r="D65" s="39"/>
      <c r="E65" s="39"/>
      <c r="F65" s="39"/>
      <c r="G65" s="39"/>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c r="AG65" s="39"/>
      <c r="AH65" s="39"/>
      <c r="AI65" s="39"/>
      <c r="AJ65" s="39"/>
      <c r="AK65" s="39"/>
      <c r="AL65" s="39"/>
      <c r="AM65" s="39"/>
    </row>
    <row r="66" spans="1:39" hidden="1" x14ac:dyDescent="0.35">
      <c r="A66" s="39"/>
      <c r="B66" s="39"/>
      <c r="C66" s="39"/>
      <c r="D66" s="39"/>
      <c r="E66" s="39"/>
      <c r="F66" s="39"/>
      <c r="G66" s="39"/>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c r="AG66" s="39"/>
      <c r="AH66" s="39"/>
      <c r="AI66" s="39"/>
      <c r="AJ66" s="39"/>
      <c r="AK66" s="39"/>
      <c r="AL66" s="39"/>
      <c r="AM66" s="39"/>
    </row>
    <row r="67" spans="1:39" hidden="1" x14ac:dyDescent="0.35">
      <c r="A67" s="39"/>
      <c r="B67" s="39"/>
      <c r="C67" s="39"/>
      <c r="D67" s="39"/>
      <c r="E67" s="39"/>
      <c r="F67" s="39"/>
      <c r="G67" s="39"/>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c r="AG67" s="39"/>
      <c r="AH67" s="39"/>
      <c r="AI67" s="39"/>
      <c r="AJ67" s="39"/>
      <c r="AK67" s="39"/>
      <c r="AL67" s="39"/>
      <c r="AM67" s="39"/>
    </row>
    <row r="68" spans="1:39" hidden="1" x14ac:dyDescent="0.35">
      <c r="A68" s="39"/>
      <c r="B68" s="39"/>
      <c r="C68" s="39"/>
      <c r="D68" s="39"/>
      <c r="E68" s="39"/>
      <c r="F68" s="39"/>
      <c r="G68" s="39"/>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c r="AG68" s="39"/>
      <c r="AH68" s="39"/>
      <c r="AI68" s="39"/>
      <c r="AJ68" s="39"/>
      <c r="AK68" s="39"/>
      <c r="AL68" s="39"/>
      <c r="AM68" s="39"/>
    </row>
    <row r="69" spans="1:39" hidden="1" x14ac:dyDescent="0.35">
      <c r="AG69" s="39"/>
    </row>
  </sheetData>
  <dataConsolidate/>
  <mergeCells count="30">
    <mergeCell ref="AE7:AE8"/>
    <mergeCell ref="Y13:Y14"/>
    <mergeCell ref="Q13:Q14"/>
    <mergeCell ref="M35:N35"/>
    <mergeCell ref="U23:V23"/>
    <mergeCell ref="U17:V17"/>
    <mergeCell ref="R29:S29"/>
    <mergeCell ref="Y19:Y20"/>
    <mergeCell ref="Z7:Z8"/>
    <mergeCell ref="Q31:Q32"/>
    <mergeCell ref="AC10:AD10"/>
    <mergeCell ref="P31:P32"/>
    <mergeCell ref="AC17:AD17"/>
    <mergeCell ref="U29:V29"/>
    <mergeCell ref="AI13:AJ13"/>
    <mergeCell ref="D33:E33"/>
    <mergeCell ref="M23:N23"/>
    <mergeCell ref="M29:N29"/>
    <mergeCell ref="D31:E32"/>
    <mergeCell ref="X4:X5"/>
    <mergeCell ref="B33:C34"/>
    <mergeCell ref="D11:E11"/>
    <mergeCell ref="T35:U35"/>
    <mergeCell ref="F8:F9"/>
    <mergeCell ref="G8:G9"/>
    <mergeCell ref="I39:J39"/>
    <mergeCell ref="D40:E40"/>
    <mergeCell ref="C38:E39"/>
    <mergeCell ref="E22:F22"/>
    <mergeCell ref="D35:E35"/>
  </mergeCells>
  <dataValidations disablePrompts="1" count="2">
    <dataValidation type="list" allowBlank="1" showInputMessage="1" showErrorMessage="1" sqref="H4" xr:uid="{00000000-0002-0000-0500-000000000000}">
      <formula1>"open,partial,closed,hybrid,biological"</formula1>
    </dataValidation>
    <dataValidation showInputMessage="1" showErrorMessage="1" sqref="H5" xr:uid="{9ABE60DB-ED0B-4E75-B5C9-690499C92C27}"/>
  </dataValidations>
  <pageMargins left="0.7" right="0.7" top="0.78740157499999996" bottom="0.78740157499999996" header="0.3" footer="0.3"/>
  <pageSetup paperSize="9" scale="59" orientation="landscape" r:id="rId1"/>
  <drawing r:id="rId2"/>
  <legacyDrawing r:id="rId3"/>
  <controls>
    <mc:AlternateContent xmlns:mc="http://schemas.openxmlformats.org/markup-compatibility/2006">
      <mc:Choice Requires="x14">
        <control shapeId="201017" r:id="rId4" name="PBR_CO2Percentage">
          <controlPr defaultSize="0" autoLine="0" r:id="rId5">
            <anchor moveWithCells="1">
              <from>
                <xdr:col>5</xdr:col>
                <xdr:colOff>234950</xdr:colOff>
                <xdr:row>6</xdr:row>
                <xdr:rowOff>25400</xdr:rowOff>
              </from>
              <to>
                <xdr:col>6</xdr:col>
                <xdr:colOff>311150</xdr:colOff>
                <xdr:row>7</xdr:row>
                <xdr:rowOff>76200</xdr:rowOff>
              </to>
            </anchor>
          </controlPr>
        </control>
      </mc:Choice>
      <mc:Fallback>
        <control shapeId="201017" r:id="rId4" name="PBR_CO2Percentage"/>
      </mc:Fallback>
    </mc:AlternateContent>
    <mc:AlternateContent xmlns:mc="http://schemas.openxmlformats.org/markup-compatibility/2006">
      <mc:Choice Requires="x14">
        <control shapeId="201016" r:id="rId6" name="PBR_LabelCO2Percentage">
          <controlPr defaultSize="0" autoLine="0" r:id="rId7">
            <anchor moveWithCells="1">
              <from>
                <xdr:col>2</xdr:col>
                <xdr:colOff>12700</xdr:colOff>
                <xdr:row>6</xdr:row>
                <xdr:rowOff>31750</xdr:rowOff>
              </from>
              <to>
                <xdr:col>5</xdr:col>
                <xdr:colOff>215900</xdr:colOff>
                <xdr:row>7</xdr:row>
                <xdr:rowOff>107950</xdr:rowOff>
              </to>
            </anchor>
          </controlPr>
        </control>
      </mc:Choice>
      <mc:Fallback>
        <control shapeId="201016" r:id="rId6" name="PBR_LabelCO2Percentage"/>
      </mc:Fallback>
    </mc:AlternateContent>
    <mc:AlternateContent xmlns:mc="http://schemas.openxmlformats.org/markup-compatibility/2006">
      <mc:Choice Requires="x14">
        <control shapeId="201007" r:id="rId8" name="WaterBalance">
          <controlPr defaultSize="0" autoLine="0" autoPict="0" r:id="rId9">
            <anchor moveWithCells="1">
              <from>
                <xdr:col>18</xdr:col>
                <xdr:colOff>25400</xdr:colOff>
                <xdr:row>25</xdr:row>
                <xdr:rowOff>107950</xdr:rowOff>
              </from>
              <to>
                <xdr:col>22</xdr:col>
                <xdr:colOff>355600</xdr:colOff>
                <xdr:row>26</xdr:row>
                <xdr:rowOff>152400</xdr:rowOff>
              </to>
            </anchor>
          </controlPr>
        </control>
      </mc:Choice>
      <mc:Fallback>
        <control shapeId="201007" r:id="rId8" name="WaterBalance"/>
      </mc:Fallback>
    </mc:AlternateContent>
    <mc:AlternateContent xmlns:mc="http://schemas.openxmlformats.org/markup-compatibility/2006">
      <mc:Choice Requires="x14">
        <control shapeId="201002" r:id="rId10" name="TraceContaminantControlList">
          <controlPr defaultSize="0" autoLine="0" r:id="rId11">
            <anchor moveWithCells="1">
              <from>
                <xdr:col>31</xdr:col>
                <xdr:colOff>0</xdr:colOff>
                <xdr:row>2</xdr:row>
                <xdr:rowOff>0</xdr:rowOff>
              </from>
              <to>
                <xdr:col>34</xdr:col>
                <xdr:colOff>342900</xdr:colOff>
                <xdr:row>3</xdr:row>
                <xdr:rowOff>63500</xdr:rowOff>
              </to>
            </anchor>
          </controlPr>
        </control>
      </mc:Choice>
      <mc:Fallback>
        <control shapeId="201002" r:id="rId10" name="TraceContaminantControlList"/>
      </mc:Fallback>
    </mc:AlternateContent>
    <mc:AlternateContent xmlns:mc="http://schemas.openxmlformats.org/markup-compatibility/2006">
      <mc:Choice Requires="x14">
        <control shapeId="200999" r:id="rId12" name="AtmosphereMonitoringList">
          <controlPr defaultSize="0" autoLine="0" r:id="rId13">
            <anchor moveWithCells="1">
              <from>
                <xdr:col>31</xdr:col>
                <xdr:colOff>0</xdr:colOff>
                <xdr:row>0</xdr:row>
                <xdr:rowOff>139700</xdr:rowOff>
              </from>
              <to>
                <xdr:col>34</xdr:col>
                <xdr:colOff>342900</xdr:colOff>
                <xdr:row>2</xdr:row>
                <xdr:rowOff>25400</xdr:rowOff>
              </to>
            </anchor>
          </controlPr>
        </control>
      </mc:Choice>
      <mc:Fallback>
        <control shapeId="200999" r:id="rId12" name="AtmosphereMonitoringList"/>
      </mc:Fallback>
    </mc:AlternateContent>
    <mc:AlternateContent xmlns:mc="http://schemas.openxmlformats.org/markup-compatibility/2006">
      <mc:Choice Requires="x14">
        <control shapeId="200991" r:id="rId14" name="PGC_LabelNumberOfUnits">
          <controlPr defaultSize="0" autoLine="0" r:id="rId15">
            <anchor moveWithCells="1">
              <from>
                <xdr:col>2</xdr:col>
                <xdr:colOff>139700</xdr:colOff>
                <xdr:row>15</xdr:row>
                <xdr:rowOff>44450</xdr:rowOff>
              </from>
              <to>
                <xdr:col>5</xdr:col>
                <xdr:colOff>31750</xdr:colOff>
                <xdr:row>16</xdr:row>
                <xdr:rowOff>6350</xdr:rowOff>
              </to>
            </anchor>
          </controlPr>
        </control>
      </mc:Choice>
      <mc:Fallback>
        <control shapeId="200991" r:id="rId14" name="PGC_LabelNumberOfUnits"/>
      </mc:Fallback>
    </mc:AlternateContent>
    <mc:AlternateContent xmlns:mc="http://schemas.openxmlformats.org/markup-compatibility/2006">
      <mc:Choice Requires="x14">
        <control shapeId="200990" r:id="rId16" name="PGC_NumberOfUnits">
          <controlPr defaultSize="0" autoLine="0" autoPict="0" r:id="rId17">
            <anchor moveWithCells="1">
              <from>
                <xdr:col>5</xdr:col>
                <xdr:colOff>184150</xdr:colOff>
                <xdr:row>15</xdr:row>
                <xdr:rowOff>25400</xdr:rowOff>
              </from>
              <to>
                <xdr:col>6</xdr:col>
                <xdr:colOff>311150</xdr:colOff>
                <xdr:row>16</xdr:row>
                <xdr:rowOff>107950</xdr:rowOff>
              </to>
            </anchor>
          </controlPr>
        </control>
      </mc:Choice>
      <mc:Fallback>
        <control shapeId="200990" r:id="rId16" name="PGC_NumberOfUnits"/>
      </mc:Fallback>
    </mc:AlternateContent>
    <mc:AlternateContent xmlns:mc="http://schemas.openxmlformats.org/markup-compatibility/2006">
      <mc:Choice Requires="x14">
        <control shapeId="200988" r:id="rId18" name="H2StorageList">
          <controlPr defaultSize="0" autoLine="0" r:id="rId19">
            <anchor moveWithCells="1">
              <from>
                <xdr:col>24</xdr:col>
                <xdr:colOff>127000</xdr:colOff>
                <xdr:row>19</xdr:row>
                <xdr:rowOff>44450</xdr:rowOff>
              </from>
              <to>
                <xdr:col>29</xdr:col>
                <xdr:colOff>50800</xdr:colOff>
                <xdr:row>20</xdr:row>
                <xdr:rowOff>146050</xdr:rowOff>
              </to>
            </anchor>
          </controlPr>
        </control>
      </mc:Choice>
      <mc:Fallback>
        <control shapeId="200988" r:id="rId18" name="H2StorageList"/>
      </mc:Fallback>
    </mc:AlternateContent>
    <mc:AlternateContent xmlns:mc="http://schemas.openxmlformats.org/markup-compatibility/2006">
      <mc:Choice Requires="x14">
        <control shapeId="200987" r:id="rId20" name="O2StorageList">
          <controlPr defaultSize="0" autoLine="0" r:id="rId21">
            <anchor moveWithCells="1">
              <from>
                <xdr:col>18</xdr:col>
                <xdr:colOff>38100</xdr:colOff>
                <xdr:row>13</xdr:row>
                <xdr:rowOff>25400</xdr:rowOff>
              </from>
              <to>
                <xdr:col>22</xdr:col>
                <xdr:colOff>355600</xdr:colOff>
                <xdr:row>14</xdr:row>
                <xdr:rowOff>127000</xdr:rowOff>
              </to>
            </anchor>
          </controlPr>
        </control>
      </mc:Choice>
      <mc:Fallback>
        <control shapeId="200987" r:id="rId20" name="O2StorageList"/>
      </mc:Fallback>
    </mc:AlternateContent>
    <mc:AlternateContent xmlns:mc="http://schemas.openxmlformats.org/markup-compatibility/2006">
      <mc:Choice Requires="x14">
        <control shapeId="200986" r:id="rId22" name="ISRUList">
          <controlPr defaultSize="0" autoLine="0" r:id="rId19">
            <anchor moveWithCells="1">
              <from>
                <xdr:col>24</xdr:col>
                <xdr:colOff>317500</xdr:colOff>
                <xdr:row>31</xdr:row>
                <xdr:rowOff>44450</xdr:rowOff>
              </from>
              <to>
                <xdr:col>29</xdr:col>
                <xdr:colOff>241300</xdr:colOff>
                <xdr:row>32</xdr:row>
                <xdr:rowOff>146050</xdr:rowOff>
              </to>
            </anchor>
          </controlPr>
        </control>
      </mc:Choice>
      <mc:Fallback>
        <control shapeId="200986" r:id="rId22" name="ISRUList"/>
      </mc:Fallback>
    </mc:AlternateContent>
    <mc:AlternateContent xmlns:mc="http://schemas.openxmlformats.org/markup-compatibility/2006">
      <mc:Choice Requires="x14">
        <control shapeId="200985" r:id="rId23" name="WWFiltrationList">
          <controlPr defaultSize="0" autoLine="0" r:id="rId19">
            <anchor moveWithCells="1">
              <from>
                <xdr:col>18</xdr:col>
                <xdr:colOff>38100</xdr:colOff>
                <xdr:row>31</xdr:row>
                <xdr:rowOff>44450</xdr:rowOff>
              </from>
              <to>
                <xdr:col>22</xdr:col>
                <xdr:colOff>355600</xdr:colOff>
                <xdr:row>32</xdr:row>
                <xdr:rowOff>146050</xdr:rowOff>
              </to>
            </anchor>
          </controlPr>
        </control>
      </mc:Choice>
      <mc:Fallback>
        <control shapeId="200985" r:id="rId23" name="WWFiltrationList"/>
      </mc:Fallback>
    </mc:AlternateContent>
    <mc:AlternateContent xmlns:mc="http://schemas.openxmlformats.org/markup-compatibility/2006">
      <mc:Choice Requires="x14">
        <control shapeId="200984" r:id="rId24" name="BrineProcessingList">
          <controlPr defaultSize="0" autoLine="0" r:id="rId19">
            <anchor moveWithCells="1">
              <from>
                <xdr:col>10</xdr:col>
                <xdr:colOff>38100</xdr:colOff>
                <xdr:row>36</xdr:row>
                <xdr:rowOff>158750</xdr:rowOff>
              </from>
              <to>
                <xdr:col>14</xdr:col>
                <xdr:colOff>355600</xdr:colOff>
                <xdr:row>38</xdr:row>
                <xdr:rowOff>69850</xdr:rowOff>
              </to>
            </anchor>
          </controlPr>
        </control>
      </mc:Choice>
      <mc:Fallback>
        <control shapeId="200984" r:id="rId24" name="BrineProcessingList"/>
      </mc:Fallback>
    </mc:AlternateContent>
    <mc:AlternateContent xmlns:mc="http://schemas.openxmlformats.org/markup-compatibility/2006">
      <mc:Choice Requires="x14">
        <control shapeId="200983" r:id="rId25" name="UrineProcessingList">
          <controlPr defaultSize="0" autoLine="0" r:id="rId19">
            <anchor moveWithCells="1">
              <from>
                <xdr:col>10</xdr:col>
                <xdr:colOff>38100</xdr:colOff>
                <xdr:row>31</xdr:row>
                <xdr:rowOff>44450</xdr:rowOff>
              </from>
              <to>
                <xdr:col>14</xdr:col>
                <xdr:colOff>355600</xdr:colOff>
                <xdr:row>32</xdr:row>
                <xdr:rowOff>146050</xdr:rowOff>
              </to>
            </anchor>
          </controlPr>
        </control>
      </mc:Choice>
      <mc:Fallback>
        <control shapeId="200983" r:id="rId25" name="UrineProcessingList"/>
      </mc:Fallback>
    </mc:AlternateContent>
    <mc:AlternateContent xmlns:mc="http://schemas.openxmlformats.org/markup-compatibility/2006">
      <mc:Choice Requires="x14">
        <control shapeId="200982" r:id="rId26" name="ElectrolysisList">
          <controlPr defaultSize="0" autoLine="0" r:id="rId19">
            <anchor moveWithCells="1">
              <from>
                <xdr:col>18</xdr:col>
                <xdr:colOff>38100</xdr:colOff>
                <xdr:row>19</xdr:row>
                <xdr:rowOff>44450</xdr:rowOff>
              </from>
              <to>
                <xdr:col>22</xdr:col>
                <xdr:colOff>355600</xdr:colOff>
                <xdr:row>20</xdr:row>
                <xdr:rowOff>146050</xdr:rowOff>
              </to>
            </anchor>
          </controlPr>
        </control>
      </mc:Choice>
      <mc:Fallback>
        <control shapeId="200982" r:id="rId26" name="ElectrolysisList"/>
      </mc:Fallback>
    </mc:AlternateContent>
    <mc:AlternateContent xmlns:mc="http://schemas.openxmlformats.org/markup-compatibility/2006">
      <mc:Choice Requires="x14">
        <control shapeId="200981" r:id="rId27" name="CO2ReductionList">
          <controlPr defaultSize="0" autoLine="0" r:id="rId28">
            <anchor moveWithCells="1">
              <from>
                <xdr:col>24</xdr:col>
                <xdr:colOff>127000</xdr:colOff>
                <xdr:row>13</xdr:row>
                <xdr:rowOff>25400</xdr:rowOff>
              </from>
              <to>
                <xdr:col>29</xdr:col>
                <xdr:colOff>44450</xdr:colOff>
                <xdr:row>14</xdr:row>
                <xdr:rowOff>127000</xdr:rowOff>
              </to>
            </anchor>
          </controlPr>
        </control>
      </mc:Choice>
      <mc:Fallback>
        <control shapeId="200981" r:id="rId27" name="CO2ReductionList"/>
      </mc:Fallback>
    </mc:AlternateContent>
    <mc:AlternateContent xmlns:mc="http://schemas.openxmlformats.org/markup-compatibility/2006">
      <mc:Choice Requires="x14">
        <control shapeId="200979" r:id="rId29" name="HumidityControlList">
          <controlPr defaultSize="0" autoLine="0" r:id="rId30">
            <anchor moveWithCells="1">
              <from>
                <xdr:col>10</xdr:col>
                <xdr:colOff>38100</xdr:colOff>
                <xdr:row>7</xdr:row>
                <xdr:rowOff>69850</xdr:rowOff>
              </from>
              <to>
                <xdr:col>14</xdr:col>
                <xdr:colOff>355600</xdr:colOff>
                <xdr:row>8</xdr:row>
                <xdr:rowOff>171450</xdr:rowOff>
              </to>
            </anchor>
          </controlPr>
        </control>
      </mc:Choice>
      <mc:Fallback>
        <control shapeId="200979" r:id="rId29" name="HumidityControlList"/>
      </mc:Fallback>
    </mc:AlternateContent>
    <mc:AlternateContent xmlns:mc="http://schemas.openxmlformats.org/markup-compatibility/2006">
      <mc:Choice Requires="x14">
        <control shapeId="200976" r:id="rId31" name="CO2_RemovalList">
          <controlPr defaultSize="0" autoLine="0" r:id="rId32">
            <anchor moveWithCells="1">
              <from>
                <xdr:col>18</xdr:col>
                <xdr:colOff>38100</xdr:colOff>
                <xdr:row>7</xdr:row>
                <xdr:rowOff>57150</xdr:rowOff>
              </from>
              <to>
                <xdr:col>22</xdr:col>
                <xdr:colOff>355600</xdr:colOff>
                <xdr:row>8</xdr:row>
                <xdr:rowOff>158750</xdr:rowOff>
              </to>
            </anchor>
          </controlPr>
        </control>
      </mc:Choice>
      <mc:Fallback>
        <control shapeId="200976" r:id="rId31" name="CO2_RemovalList"/>
      </mc:Fallback>
    </mc:AlternateContent>
    <mc:AlternateContent xmlns:mc="http://schemas.openxmlformats.org/markup-compatibility/2006">
      <mc:Choice Requires="x14">
        <control shapeId="200989" r:id="rId33" name="PlantGrowthChamberList">
          <controlPr defaultSize="0" autoLine="0" r:id="rId19">
            <anchor moveWithCells="1">
              <from>
                <xdr:col>2</xdr:col>
                <xdr:colOff>6350</xdr:colOff>
                <xdr:row>13</xdr:row>
                <xdr:rowOff>82550</xdr:rowOff>
              </from>
              <to>
                <xdr:col>6</xdr:col>
                <xdr:colOff>323850</xdr:colOff>
                <xdr:row>14</xdr:row>
                <xdr:rowOff>184150</xdr:rowOff>
              </to>
            </anchor>
          </controlPr>
        </control>
      </mc:Choice>
      <mc:Fallback>
        <control shapeId="200989" r:id="rId33" name="PlantGrowthChamberList"/>
      </mc:Fallback>
    </mc:AlternateContent>
    <mc:AlternateContent xmlns:mc="http://schemas.openxmlformats.org/markup-compatibility/2006">
      <mc:Choice Requires="x14">
        <control shapeId="201010" r:id="rId34" name="PGCurineTreatmentOption">
          <controlPr defaultSize="0" autoLine="0" r:id="rId35">
            <anchor moveWithCells="1">
              <from>
                <xdr:col>2</xdr:col>
                <xdr:colOff>44450</xdr:colOff>
                <xdr:row>16</xdr:row>
                <xdr:rowOff>114300</xdr:rowOff>
              </from>
              <to>
                <xdr:col>6</xdr:col>
                <xdr:colOff>273050</xdr:colOff>
                <xdr:row>17</xdr:row>
                <xdr:rowOff>127000</xdr:rowOff>
              </to>
            </anchor>
          </controlPr>
        </control>
      </mc:Choice>
      <mc:Fallback>
        <control shapeId="201010" r:id="rId34" name="PGCurineTreatmentOption"/>
      </mc:Fallback>
    </mc:AlternateContent>
    <mc:AlternateContent xmlns:mc="http://schemas.openxmlformats.org/markup-compatibility/2006">
      <mc:Choice Requires="x14">
        <control shapeId="201011" r:id="rId36" name="OptionIncinerateInedible">
          <controlPr defaultSize="0" autoLine="0" r:id="rId37">
            <anchor moveWithCells="1">
              <from>
                <xdr:col>18</xdr:col>
                <xdr:colOff>254000</xdr:colOff>
                <xdr:row>37</xdr:row>
                <xdr:rowOff>101600</xdr:rowOff>
              </from>
              <to>
                <xdr:col>22</xdr:col>
                <xdr:colOff>133350</xdr:colOff>
                <xdr:row>38</xdr:row>
                <xdr:rowOff>107950</xdr:rowOff>
              </to>
            </anchor>
          </controlPr>
        </control>
      </mc:Choice>
      <mc:Fallback>
        <control shapeId="201011" r:id="rId36" name="OptionIncinerateInedible"/>
      </mc:Fallback>
    </mc:AlternateContent>
    <mc:AlternateContent xmlns:mc="http://schemas.openxmlformats.org/markup-compatibility/2006">
      <mc:Choice Requires="x14">
        <control shapeId="201014" r:id="rId38" name="PBRList">
          <controlPr defaultSize="0" autoLine="0" r:id="rId19">
            <anchor moveWithCells="1">
              <from>
                <xdr:col>1</xdr:col>
                <xdr:colOff>387350</xdr:colOff>
                <xdr:row>4</xdr:row>
                <xdr:rowOff>31750</xdr:rowOff>
              </from>
              <to>
                <xdr:col>6</xdr:col>
                <xdr:colOff>311150</xdr:colOff>
                <xdr:row>5</xdr:row>
                <xdr:rowOff>133350</xdr:rowOff>
              </to>
            </anchor>
          </controlPr>
        </control>
      </mc:Choice>
      <mc:Fallback>
        <control shapeId="201014" r:id="rId38" name="PBRList"/>
      </mc:Fallback>
    </mc:AlternateContent>
    <mc:AlternateContent xmlns:mc="http://schemas.openxmlformats.org/markup-compatibility/2006">
      <mc:Choice Requires="x14">
        <control shapeId="201018" r:id="rId39" name="MethaneProcessingList">
          <controlPr defaultSize="0" autoLine="0" r:id="rId19">
            <anchor moveWithCells="1">
              <from>
                <xdr:col>31</xdr:col>
                <xdr:colOff>25400</xdr:colOff>
                <xdr:row>15</xdr:row>
                <xdr:rowOff>69850</xdr:rowOff>
              </from>
              <to>
                <xdr:col>35</xdr:col>
                <xdr:colOff>342900</xdr:colOff>
                <xdr:row>16</xdr:row>
                <xdr:rowOff>171450</xdr:rowOff>
              </to>
            </anchor>
          </controlPr>
        </control>
      </mc:Choice>
      <mc:Fallback>
        <control shapeId="201018" r:id="rId39" name="MethaneProcessingList"/>
      </mc:Fallback>
    </mc:AlternateContent>
    <mc:AlternateContent xmlns:mc="http://schemas.openxmlformats.org/markup-compatibility/2006">
      <mc:Choice Requires="x14">
        <control shapeId="201019" r:id="rId40" name="Button 48443">
          <controlPr defaultSize="0" print="0" autoFill="0" autoPict="0" macro="[0]!Tabelle4.ECLSSCompUserGuid">
            <anchor moveWithCells="1" sizeWithCells="1">
              <from>
                <xdr:col>0</xdr:col>
                <xdr:colOff>25400</xdr:colOff>
                <xdr:row>0</xdr:row>
                <xdr:rowOff>0</xdr:rowOff>
              </from>
              <to>
                <xdr:col>3</xdr:col>
                <xdr:colOff>381000</xdr:colOff>
                <xdr:row>2</xdr:row>
                <xdr:rowOff>6350</xdr:rowOff>
              </to>
            </anchor>
          </controlPr>
        </control>
      </mc:Choice>
    </mc:AlternateContent>
    <mc:AlternateContent xmlns:mc="http://schemas.openxmlformats.org/markup-compatibility/2006">
      <mc:Choice Requires="x14">
        <control shapeId="201020" r:id="rId41" name="Button 48444">
          <controlPr defaultSize="0" print="0" autoFill="0" autoPict="0" macro="[0]!Tabelle4.InitializeDropDownButton">
            <anchor moveWithCells="1" sizeWithCells="1">
              <from>
                <xdr:col>4</xdr:col>
                <xdr:colOff>19050</xdr:colOff>
                <xdr:row>0</xdr:row>
                <xdr:rowOff>0</xdr:rowOff>
              </from>
              <to>
                <xdr:col>7</xdr:col>
                <xdr:colOff>374650</xdr:colOff>
                <xdr:row>2</xdr:row>
                <xdr:rowOff>6350</xdr:rowOff>
              </to>
            </anchor>
          </controlPr>
        </control>
      </mc:Choice>
    </mc:AlternateContent>
    <mc:AlternateContent xmlns:mc="http://schemas.openxmlformats.org/markup-compatibility/2006">
      <mc:Choice Requires="x14">
        <control shapeId="201021" r:id="rId42" name="Button 48445">
          <controlPr defaultSize="0" print="0" autoFill="0" autoPict="0" macro="[0]!Tabelle4.ExecuteCalculations">
            <anchor moveWithCells="1" sizeWithCells="1">
              <from>
                <xdr:col>8</xdr:col>
                <xdr:colOff>19050</xdr:colOff>
                <xdr:row>0</xdr:row>
                <xdr:rowOff>0</xdr:rowOff>
              </from>
              <to>
                <xdr:col>11</xdr:col>
                <xdr:colOff>374650</xdr:colOff>
                <xdr:row>2</xdr:row>
                <xdr:rowOff>6350</xdr:rowOff>
              </to>
            </anchor>
          </controlPr>
        </control>
      </mc:Choice>
    </mc:AlternateContent>
    <mc:AlternateContent xmlns:mc="http://schemas.openxmlformats.org/markup-compatibility/2006">
      <mc:Choice Requires="x14">
        <control shapeId="201022" r:id="rId43" name="Button 48446">
          <controlPr defaultSize="0" print="0" autoFill="0" autoPict="0" macro="[0]!Tabelle4.AddESMResultsToPosition">
            <anchor moveWithCells="1" sizeWithCells="1">
              <from>
                <xdr:col>12</xdr:col>
                <xdr:colOff>12700</xdr:colOff>
                <xdr:row>0</xdr:row>
                <xdr:rowOff>0</xdr:rowOff>
              </from>
              <to>
                <xdr:col>15</xdr:col>
                <xdr:colOff>368300</xdr:colOff>
                <xdr:row>2</xdr:row>
                <xdr:rowOff>6350</xdr:rowOff>
              </to>
            </anchor>
          </controlPr>
        </control>
      </mc:Choice>
    </mc:AlternateContent>
    <mc:AlternateContent xmlns:mc="http://schemas.openxmlformats.org/markup-compatibility/2006">
      <mc:Choice Requires="x14">
        <control shapeId="201023" r:id="rId44" name="Button 48447">
          <controlPr defaultSize="0" print="0" autoFill="0" autoPict="0" macro="[0]!Tabelle4.LoadResults">
            <anchor moveWithCells="1" sizeWithCells="1">
              <from>
                <xdr:col>16</xdr:col>
                <xdr:colOff>12700</xdr:colOff>
                <xdr:row>0</xdr:row>
                <xdr:rowOff>0</xdr:rowOff>
              </from>
              <to>
                <xdr:col>19</xdr:col>
                <xdr:colOff>368300</xdr:colOff>
                <xdr:row>2</xdr:row>
                <xdr:rowOff>6350</xdr:rowOff>
              </to>
            </anchor>
          </controlPr>
        </control>
      </mc:Choice>
    </mc:AlternateContent>
    <mc:AlternateContent xmlns:mc="http://schemas.openxmlformats.org/markup-compatibility/2006">
      <mc:Choice Requires="x14">
        <control shapeId="201024" r:id="rId45" name="Button 48448">
          <controlPr defaultSize="0" print="0" autoFill="0" autoPict="0" macro="[0]!Tabelle4.ClearResults">
            <anchor moveWithCells="1" sizeWithCells="1">
              <from>
                <xdr:col>20</xdr:col>
                <xdr:colOff>6350</xdr:colOff>
                <xdr:row>0</xdr:row>
                <xdr:rowOff>0</xdr:rowOff>
              </from>
              <to>
                <xdr:col>23</xdr:col>
                <xdr:colOff>361950</xdr:colOff>
                <xdr:row>2</xdr:row>
                <xdr:rowOff>6350</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AH1094"/>
  <sheetViews>
    <sheetView workbookViewId="0">
      <selection activeCell="G23" sqref="G23"/>
    </sheetView>
  </sheetViews>
  <sheetFormatPr defaultColWidth="11.453125" defaultRowHeight="14.5" x14ac:dyDescent="0.35"/>
  <cols>
    <col min="1" max="1" width="12.6328125" customWidth="1"/>
    <col min="2" max="2" width="13" customWidth="1"/>
    <col min="3" max="3" width="13.36328125" customWidth="1"/>
    <col min="6" max="6" width="11.36328125" bestFit="1" customWidth="1"/>
    <col min="13" max="13" width="12.36328125" customWidth="1"/>
    <col min="14" max="14" width="16.36328125" customWidth="1"/>
    <col min="22" max="22" width="11.6328125" bestFit="1" customWidth="1"/>
    <col min="28" max="30" width="12.36328125" customWidth="1"/>
  </cols>
  <sheetData>
    <row r="1" spans="1:34" ht="18.5" x14ac:dyDescent="0.45">
      <c r="A1" s="84" t="s">
        <v>1187</v>
      </c>
      <c r="B1" s="39"/>
      <c r="C1" s="39"/>
      <c r="D1" s="39"/>
      <c r="E1" s="39"/>
      <c r="F1" s="39"/>
      <c r="G1" s="39"/>
      <c r="H1" s="39"/>
      <c r="I1" s="39"/>
      <c r="J1" s="39"/>
      <c r="K1" s="39"/>
      <c r="L1" s="39"/>
      <c r="M1" s="39"/>
      <c r="N1" s="39"/>
      <c r="O1" s="39"/>
      <c r="P1" s="39"/>
      <c r="Q1" s="39"/>
      <c r="R1" s="39"/>
      <c r="T1" s="39"/>
      <c r="U1" s="39"/>
      <c r="V1" s="39"/>
      <c r="W1" s="39"/>
      <c r="X1" s="39"/>
      <c r="Y1" s="39"/>
      <c r="Z1" s="39"/>
      <c r="AA1" s="39"/>
      <c r="AB1" s="39"/>
      <c r="AC1" s="39"/>
      <c r="AD1" s="39"/>
      <c r="AE1" s="39"/>
      <c r="AF1" s="39"/>
      <c r="AG1" s="39"/>
    </row>
    <row r="2" spans="1:34" x14ac:dyDescent="0.35">
      <c r="A2" s="39" t="s">
        <v>1240</v>
      </c>
      <c r="B2" s="39"/>
      <c r="C2" s="39"/>
      <c r="D2" s="39"/>
      <c r="E2" s="39"/>
      <c r="F2" s="39"/>
      <c r="G2" s="39"/>
      <c r="H2" s="39"/>
      <c r="I2" s="39"/>
      <c r="J2" s="39"/>
      <c r="K2" s="39"/>
      <c r="L2" s="39"/>
      <c r="M2" s="39"/>
      <c r="N2" s="39"/>
      <c r="O2" s="39"/>
      <c r="P2" s="39"/>
      <c r="Q2" s="39"/>
      <c r="R2" s="39"/>
      <c r="T2" s="39"/>
      <c r="U2" s="39"/>
      <c r="V2" s="39"/>
      <c r="W2" s="39"/>
      <c r="X2" s="39"/>
      <c r="Y2" s="39"/>
      <c r="Z2" s="39"/>
      <c r="AA2" s="39"/>
      <c r="AB2" s="39"/>
      <c r="AC2" s="39"/>
      <c r="AD2" s="39"/>
      <c r="AE2" s="39"/>
      <c r="AF2" s="39"/>
      <c r="AG2" s="39"/>
    </row>
    <row r="3" spans="1:34" ht="15" thickBot="1" x14ac:dyDescent="0.4">
      <c r="A3" s="39" t="s">
        <v>1241</v>
      </c>
      <c r="B3" s="39"/>
      <c r="C3" s="39"/>
      <c r="D3" s="39"/>
      <c r="E3" s="39"/>
      <c r="F3" s="39"/>
      <c r="G3" s="39"/>
      <c r="H3" s="39"/>
      <c r="I3" s="39"/>
      <c r="J3" s="39"/>
      <c r="K3" s="39"/>
      <c r="L3" s="39"/>
      <c r="M3" s="39"/>
      <c r="N3" s="39"/>
      <c r="O3" s="39"/>
      <c r="P3" s="39"/>
      <c r="Q3" s="39"/>
      <c r="R3" s="39"/>
      <c r="T3" s="39"/>
      <c r="U3" s="39"/>
      <c r="V3" s="39"/>
      <c r="W3" s="39"/>
      <c r="X3" s="39"/>
      <c r="Y3" s="39"/>
      <c r="Z3" s="39"/>
      <c r="AA3" s="39"/>
      <c r="AB3" s="39"/>
      <c r="AC3" s="39"/>
      <c r="AD3" s="39"/>
      <c r="AE3" s="39"/>
      <c r="AF3" s="39"/>
      <c r="AG3" s="39"/>
    </row>
    <row r="4" spans="1:34" ht="15" thickBot="1" x14ac:dyDescent="0.4">
      <c r="A4" s="39"/>
      <c r="B4" s="39"/>
      <c r="C4" s="85"/>
      <c r="D4" s="85" t="s">
        <v>1188</v>
      </c>
      <c r="E4" s="39"/>
      <c r="F4" s="39"/>
      <c r="G4" s="39"/>
      <c r="H4" s="39"/>
      <c r="I4" s="39"/>
      <c r="J4" s="39"/>
      <c r="K4" s="39"/>
      <c r="L4" s="39"/>
      <c r="M4" s="417"/>
      <c r="N4" s="417"/>
      <c r="T4" s="39"/>
      <c r="U4" s="825" t="s">
        <v>795</v>
      </c>
      <c r="V4" s="828" t="s">
        <v>799</v>
      </c>
      <c r="W4" s="829"/>
      <c r="X4" s="830" t="s">
        <v>798</v>
      </c>
      <c r="Y4" s="829"/>
      <c r="Z4" s="806" t="s">
        <v>1639</v>
      </c>
      <c r="AA4" s="807"/>
      <c r="AB4" s="807"/>
      <c r="AC4" s="807"/>
      <c r="AD4" s="807"/>
      <c r="AE4" s="808" t="s">
        <v>128</v>
      </c>
      <c r="AF4" s="809"/>
      <c r="AG4" s="810"/>
    </row>
    <row r="5" spans="1:34" ht="15.75" customHeight="1" thickBot="1" x14ac:dyDescent="0.4">
      <c r="A5" s="39"/>
      <c r="B5" s="85"/>
      <c r="C5" s="85"/>
      <c r="D5" s="85"/>
      <c r="E5" s="85"/>
      <c r="F5" s="39"/>
      <c r="G5" s="39"/>
      <c r="H5" s="39"/>
      <c r="I5" s="39"/>
      <c r="J5" s="39"/>
      <c r="K5" s="39"/>
      <c r="L5" s="39"/>
      <c r="N5" s="568" t="s">
        <v>1629</v>
      </c>
      <c r="O5" s="229"/>
      <c r="P5" s="649"/>
      <c r="T5" s="39"/>
      <c r="U5" s="826"/>
      <c r="V5" s="579" t="s">
        <v>1633</v>
      </c>
      <c r="W5" s="577" t="s">
        <v>1635</v>
      </c>
      <c r="X5" s="579" t="s">
        <v>1638</v>
      </c>
      <c r="Y5" s="577" t="s">
        <v>1637</v>
      </c>
      <c r="Z5" s="579" t="s">
        <v>1640</v>
      </c>
      <c r="AA5" s="577" t="s">
        <v>800</v>
      </c>
      <c r="AB5" s="577" t="s">
        <v>1641</v>
      </c>
      <c r="AC5" s="577" t="s">
        <v>1424</v>
      </c>
      <c r="AD5" s="577" t="s">
        <v>1545</v>
      </c>
      <c r="AE5" s="633" t="s">
        <v>1656</v>
      </c>
      <c r="AF5" s="577" t="s">
        <v>1449</v>
      </c>
      <c r="AG5" s="580" t="s">
        <v>1653</v>
      </c>
    </row>
    <row r="6" spans="1:34" ht="15.75" customHeight="1" thickBot="1" x14ac:dyDescent="0.4">
      <c r="A6" s="813" t="s">
        <v>1616</v>
      </c>
      <c r="B6" s="814"/>
      <c r="C6" s="435" t="s">
        <v>1552</v>
      </c>
      <c r="D6" s="423" t="s">
        <v>1553</v>
      </c>
      <c r="E6" s="423" t="s">
        <v>1554</v>
      </c>
      <c r="F6" s="423" t="s">
        <v>1555</v>
      </c>
      <c r="G6" s="423" t="s">
        <v>1556</v>
      </c>
      <c r="H6" s="423" t="s">
        <v>1557</v>
      </c>
      <c r="I6" s="423" t="s">
        <v>1558</v>
      </c>
      <c r="J6" s="423" t="s">
        <v>1559</v>
      </c>
      <c r="K6" s="423" t="s">
        <v>1560</v>
      </c>
      <c r="L6" s="424" t="s">
        <v>1561</v>
      </c>
      <c r="M6" s="418"/>
      <c r="N6" s="569"/>
      <c r="O6" s="570"/>
      <c r="P6" s="650"/>
      <c r="U6" s="827"/>
      <c r="V6" s="578" t="s">
        <v>1634</v>
      </c>
      <c r="W6" s="581" t="s">
        <v>1636</v>
      </c>
      <c r="X6" s="578" t="s">
        <v>1634</v>
      </c>
      <c r="Y6" s="581" t="s">
        <v>1636</v>
      </c>
      <c r="Z6" s="578" t="s">
        <v>1634</v>
      </c>
      <c r="AA6" s="581" t="s">
        <v>1634</v>
      </c>
      <c r="AB6" s="581" t="s">
        <v>1634</v>
      </c>
      <c r="AC6" s="581" t="s">
        <v>1634</v>
      </c>
      <c r="AD6" s="581" t="s">
        <v>1634</v>
      </c>
      <c r="AE6" s="578" t="s">
        <v>1399</v>
      </c>
      <c r="AF6" s="582" t="s">
        <v>1655</v>
      </c>
      <c r="AG6" s="634" t="s">
        <v>1654</v>
      </c>
      <c r="AH6" s="230"/>
    </row>
    <row r="7" spans="1:34" ht="15" thickBot="1" x14ac:dyDescent="0.4">
      <c r="A7" s="815"/>
      <c r="B7" s="816"/>
      <c r="C7" s="436"/>
      <c r="D7" s="431"/>
      <c r="E7" s="431"/>
      <c r="F7" s="431"/>
      <c r="G7" s="431"/>
      <c r="H7" s="431"/>
      <c r="I7" s="431"/>
      <c r="J7" s="431"/>
      <c r="K7" s="431"/>
      <c r="L7" s="432"/>
      <c r="M7" s="46"/>
      <c r="N7" s="129" t="s">
        <v>1237</v>
      </c>
      <c r="O7" s="567">
        <v>1</v>
      </c>
      <c r="P7" s="651"/>
      <c r="U7" s="585">
        <v>0</v>
      </c>
      <c r="V7" s="589">
        <v>0.10920000000000001</v>
      </c>
      <c r="W7" s="583">
        <v>0.4</v>
      </c>
      <c r="X7" s="589">
        <v>8.6399999999999991E-2</v>
      </c>
      <c r="Y7" s="583">
        <v>21</v>
      </c>
      <c r="Z7" s="593">
        <v>13.349744570099201</v>
      </c>
      <c r="AA7" s="583">
        <v>0</v>
      </c>
      <c r="AB7" s="583">
        <v>13.349744570099201</v>
      </c>
      <c r="AC7" s="583">
        <v>0</v>
      </c>
      <c r="AD7" s="623">
        <v>0</v>
      </c>
      <c r="AE7" s="632">
        <v>0.5</v>
      </c>
      <c r="AF7" s="635">
        <v>1268</v>
      </c>
      <c r="AG7" s="636">
        <v>293</v>
      </c>
      <c r="AH7" s="59"/>
    </row>
    <row r="8" spans="1:34" x14ac:dyDescent="0.35">
      <c r="A8" s="446" t="s">
        <v>1189</v>
      </c>
      <c r="B8" s="447"/>
      <c r="C8" s="480"/>
      <c r="D8" s="448"/>
      <c r="E8" s="448"/>
      <c r="F8" s="448"/>
      <c r="G8" s="448"/>
      <c r="H8" s="448"/>
      <c r="I8" s="448"/>
      <c r="J8" s="448"/>
      <c r="K8" s="448"/>
      <c r="L8" s="449"/>
      <c r="M8" s="46"/>
      <c r="N8" s="109" t="s">
        <v>1235</v>
      </c>
      <c r="O8" s="120"/>
      <c r="P8" s="107" t="s">
        <v>787</v>
      </c>
      <c r="U8" s="586">
        <v>2.0833333333333332E-2</v>
      </c>
      <c r="V8" s="590">
        <v>0.10920000000000001</v>
      </c>
      <c r="W8" s="87">
        <v>0.38116405521594965</v>
      </c>
      <c r="X8" s="590">
        <v>8.6399999999999991E-2</v>
      </c>
      <c r="Y8" s="87">
        <v>20.979363314620254</v>
      </c>
      <c r="Z8" s="594">
        <v>13.349744570099201</v>
      </c>
      <c r="AA8" s="87">
        <v>0</v>
      </c>
      <c r="AB8" s="87">
        <v>13.349744570099201</v>
      </c>
      <c r="AC8" s="87">
        <v>0</v>
      </c>
      <c r="AD8" s="624">
        <v>0</v>
      </c>
      <c r="AE8" s="630">
        <v>0.25005171496640927</v>
      </c>
      <c r="AF8" s="628">
        <v>1268</v>
      </c>
      <c r="AG8" s="620">
        <v>292.99674218662807</v>
      </c>
      <c r="AH8" s="59"/>
    </row>
    <row r="9" spans="1:34" x14ac:dyDescent="0.35">
      <c r="A9" s="109" t="s">
        <v>1200</v>
      </c>
      <c r="B9" s="450"/>
      <c r="C9" s="525"/>
      <c r="D9" s="120"/>
      <c r="E9" s="120"/>
      <c r="F9" s="120"/>
      <c r="G9" s="120"/>
      <c r="H9" s="120"/>
      <c r="I9" s="120"/>
      <c r="J9" s="120"/>
      <c r="K9" s="120"/>
      <c r="L9" s="526"/>
      <c r="M9" s="46"/>
      <c r="N9" s="110" t="s">
        <v>1222</v>
      </c>
      <c r="O9" s="121"/>
      <c r="P9" s="106" t="s">
        <v>787</v>
      </c>
      <c r="U9" s="587">
        <v>4.1666666666666699E-2</v>
      </c>
      <c r="V9" s="591">
        <v>0.10920000000000001</v>
      </c>
      <c r="W9" s="86">
        <v>0.3623285292044981</v>
      </c>
      <c r="X9" s="591">
        <v>8.6399999999999991E-2</v>
      </c>
      <c r="Y9" s="86">
        <v>20.958727082964227</v>
      </c>
      <c r="Z9" s="595">
        <v>13.349744570099201</v>
      </c>
      <c r="AA9" s="86">
        <v>0</v>
      </c>
      <c r="AB9" s="86">
        <v>13.349744570099201</v>
      </c>
      <c r="AC9" s="86">
        <v>0</v>
      </c>
      <c r="AD9" s="625">
        <v>0</v>
      </c>
      <c r="AE9" s="629">
        <v>0.25005171644349328</v>
      </c>
      <c r="AF9" s="627">
        <v>1268</v>
      </c>
      <c r="AG9" s="621">
        <v>292.99348437325619</v>
      </c>
      <c r="AH9" s="59"/>
    </row>
    <row r="10" spans="1:34" ht="15" thickBot="1" x14ac:dyDescent="0.4">
      <c r="A10" s="109" t="s">
        <v>1647</v>
      </c>
      <c r="B10" s="451"/>
      <c r="C10" s="527"/>
      <c r="D10" s="528"/>
      <c r="E10" s="528"/>
      <c r="F10" s="528"/>
      <c r="G10" s="528"/>
      <c r="H10" s="528"/>
      <c r="I10" s="528"/>
      <c r="J10" s="528"/>
      <c r="K10" s="528"/>
      <c r="L10" s="529"/>
      <c r="M10" s="46"/>
      <c r="N10" s="109" t="s">
        <v>1223</v>
      </c>
      <c r="O10" s="122"/>
      <c r="P10" s="107" t="s">
        <v>787</v>
      </c>
      <c r="U10" s="586">
        <v>6.25E-2</v>
      </c>
      <c r="V10" s="590">
        <v>0.10920000000000001</v>
      </c>
      <c r="W10" s="87">
        <v>0.34349342196564525</v>
      </c>
      <c r="X10" s="590">
        <v>8.6399999999999991E-2</v>
      </c>
      <c r="Y10" s="87">
        <v>20.938091305031918</v>
      </c>
      <c r="Z10" s="594">
        <v>13.349744570099201</v>
      </c>
      <c r="AA10" s="87">
        <v>0</v>
      </c>
      <c r="AB10" s="87">
        <v>13.349744570099201</v>
      </c>
      <c r="AC10" s="87">
        <v>0</v>
      </c>
      <c r="AD10" s="624">
        <v>0</v>
      </c>
      <c r="AE10" s="630">
        <v>0.25005171792064246</v>
      </c>
      <c r="AF10" s="628">
        <v>1268</v>
      </c>
      <c r="AG10" s="620">
        <v>292.99022655988426</v>
      </c>
      <c r="AH10" s="59"/>
    </row>
    <row r="11" spans="1:34" x14ac:dyDescent="0.35">
      <c r="A11" s="490" t="s">
        <v>1190</v>
      </c>
      <c r="B11" s="491"/>
      <c r="C11" s="492"/>
      <c r="D11" s="493"/>
      <c r="E11" s="493"/>
      <c r="F11" s="493"/>
      <c r="G11" s="493"/>
      <c r="H11" s="493"/>
      <c r="I11" s="493"/>
      <c r="J11" s="493"/>
      <c r="K11" s="493"/>
      <c r="L11" s="494"/>
      <c r="M11" s="46"/>
      <c r="N11" s="110" t="s">
        <v>1224</v>
      </c>
      <c r="O11" s="121"/>
      <c r="P11" s="106" t="s">
        <v>787</v>
      </c>
      <c r="U11" s="587">
        <v>8.3333333333333301E-2</v>
      </c>
      <c r="V11" s="591">
        <v>0.10920000000000001</v>
      </c>
      <c r="W11" s="86">
        <v>0.32465873349939117</v>
      </c>
      <c r="X11" s="591">
        <v>8.6399999999999991E-2</v>
      </c>
      <c r="Y11" s="86">
        <v>20.91745598082333</v>
      </c>
      <c r="Z11" s="595">
        <v>13.349744570099201</v>
      </c>
      <c r="AA11" s="86">
        <v>0</v>
      </c>
      <c r="AB11" s="86">
        <v>13.349744570099201</v>
      </c>
      <c r="AC11" s="86">
        <v>0</v>
      </c>
      <c r="AD11" s="625">
        <v>0</v>
      </c>
      <c r="AE11" s="629">
        <v>0.25005171939785398</v>
      </c>
      <c r="AF11" s="627">
        <v>1268</v>
      </c>
      <c r="AG11" s="621">
        <v>292.98696874651233</v>
      </c>
      <c r="AH11" s="59"/>
    </row>
    <row r="12" spans="1:34" x14ac:dyDescent="0.35">
      <c r="A12" s="110" t="s">
        <v>1200</v>
      </c>
      <c r="B12" s="433"/>
      <c r="C12" s="530"/>
      <c r="D12" s="531"/>
      <c r="E12" s="531"/>
      <c r="F12" s="531"/>
      <c r="G12" s="531"/>
      <c r="H12" s="531"/>
      <c r="I12" s="531"/>
      <c r="J12" s="531"/>
      <c r="K12" s="531"/>
      <c r="L12" s="532"/>
      <c r="M12" s="46"/>
      <c r="N12" s="109" t="s">
        <v>1225</v>
      </c>
      <c r="O12" s="122"/>
      <c r="P12" s="107" t="s">
        <v>787</v>
      </c>
      <c r="U12" s="586">
        <v>0.104166666666667</v>
      </c>
      <c r="V12" s="590">
        <v>0.10920000000000001</v>
      </c>
      <c r="W12" s="87">
        <v>0.30582446380573591</v>
      </c>
      <c r="X12" s="590">
        <v>8.6399999999999991E-2</v>
      </c>
      <c r="Y12" s="87">
        <v>20.896821110338461</v>
      </c>
      <c r="Z12" s="594">
        <v>13.349744570099201</v>
      </c>
      <c r="AA12" s="87">
        <v>0</v>
      </c>
      <c r="AB12" s="87">
        <v>13.349744570099201</v>
      </c>
      <c r="AC12" s="87">
        <v>0</v>
      </c>
      <c r="AD12" s="624">
        <v>0</v>
      </c>
      <c r="AE12" s="630">
        <v>0.25005172087512889</v>
      </c>
      <c r="AF12" s="628">
        <v>1268</v>
      </c>
      <c r="AG12" s="620">
        <v>292.9837109331404</v>
      </c>
      <c r="AH12" s="59"/>
    </row>
    <row r="13" spans="1:34" x14ac:dyDescent="0.35">
      <c r="A13" s="110" t="s">
        <v>1649</v>
      </c>
      <c r="B13" s="433"/>
      <c r="C13" s="533"/>
      <c r="D13" s="534"/>
      <c r="E13" s="534"/>
      <c r="F13" s="534"/>
      <c r="G13" s="534"/>
      <c r="H13" s="534"/>
      <c r="I13" s="534"/>
      <c r="J13" s="534"/>
      <c r="K13" s="534"/>
      <c r="L13" s="535"/>
      <c r="M13" s="46"/>
      <c r="N13" s="110" t="s">
        <v>1226</v>
      </c>
      <c r="O13" s="121"/>
      <c r="P13" s="106" t="s">
        <v>787</v>
      </c>
      <c r="U13" s="587">
        <v>0.125</v>
      </c>
      <c r="V13" s="591">
        <v>0.10920000000000001</v>
      </c>
      <c r="W13" s="86">
        <v>0.28699061288467936</v>
      </c>
      <c r="X13" s="591">
        <v>8.6399999999999991E-2</v>
      </c>
      <c r="Y13" s="86">
        <v>20.876186693577313</v>
      </c>
      <c r="Z13" s="595">
        <v>13.349744570099201</v>
      </c>
      <c r="AA13" s="86">
        <v>0</v>
      </c>
      <c r="AB13" s="86">
        <v>13.349744570099201</v>
      </c>
      <c r="AC13" s="86">
        <v>0</v>
      </c>
      <c r="AD13" s="625">
        <v>0</v>
      </c>
      <c r="AE13" s="629">
        <v>0.25005172235246687</v>
      </c>
      <c r="AF13" s="627">
        <v>1268</v>
      </c>
      <c r="AG13" s="621">
        <v>292.98045311976847</v>
      </c>
      <c r="AH13" s="59"/>
    </row>
    <row r="14" spans="1:34" ht="15" thickBot="1" x14ac:dyDescent="0.4">
      <c r="A14" s="311" t="s">
        <v>1651</v>
      </c>
      <c r="B14" s="495"/>
      <c r="C14" s="536"/>
      <c r="D14" s="537"/>
      <c r="E14" s="537"/>
      <c r="F14" s="537"/>
      <c r="G14" s="537"/>
      <c r="H14" s="537"/>
      <c r="I14" s="537"/>
      <c r="J14" s="537"/>
      <c r="K14" s="537"/>
      <c r="L14" s="538"/>
      <c r="M14" s="46"/>
      <c r="N14" s="109" t="s">
        <v>1227</v>
      </c>
      <c r="O14" s="122"/>
      <c r="P14" s="107" t="s">
        <v>787</v>
      </c>
      <c r="U14" s="586">
        <v>0.14583333333333301</v>
      </c>
      <c r="V14" s="590">
        <v>0.10920000000000001</v>
      </c>
      <c r="W14" s="87">
        <v>0.26815718073622158</v>
      </c>
      <c r="X14" s="590">
        <v>8.6399999999999991E-2</v>
      </c>
      <c r="Y14" s="87">
        <v>20.855552730539888</v>
      </c>
      <c r="Z14" s="594">
        <v>13.349744570099201</v>
      </c>
      <c r="AA14" s="87">
        <v>0</v>
      </c>
      <c r="AB14" s="87">
        <v>13.349744570099201</v>
      </c>
      <c r="AC14" s="87">
        <v>0</v>
      </c>
      <c r="AD14" s="624">
        <v>0</v>
      </c>
      <c r="AE14" s="630">
        <v>0.25005172382986851</v>
      </c>
      <c r="AF14" s="628">
        <v>1268</v>
      </c>
      <c r="AG14" s="620">
        <v>292.97719530639654</v>
      </c>
      <c r="AH14" s="59"/>
    </row>
    <row r="15" spans="1:34" x14ac:dyDescent="0.35">
      <c r="A15" s="452" t="s">
        <v>1618</v>
      </c>
      <c r="B15" s="453"/>
      <c r="C15" s="481"/>
      <c r="D15" s="454"/>
      <c r="E15" s="454"/>
      <c r="F15" s="454"/>
      <c r="G15" s="454"/>
      <c r="H15" s="454"/>
      <c r="I15" s="454"/>
      <c r="J15" s="454"/>
      <c r="K15" s="454"/>
      <c r="L15" s="455"/>
      <c r="M15" s="46"/>
      <c r="N15" s="110" t="s">
        <v>1228</v>
      </c>
      <c r="O15" s="121"/>
      <c r="P15" s="106" t="s">
        <v>787</v>
      </c>
      <c r="U15" s="587">
        <v>0.16666666666666699</v>
      </c>
      <c r="V15" s="591">
        <v>0.10920000000000001</v>
      </c>
      <c r="W15" s="86">
        <v>0.24932416736036261</v>
      </c>
      <c r="X15" s="591">
        <v>8.6399999999999991E-2</v>
      </c>
      <c r="Y15" s="86">
        <v>20.83491922122618</v>
      </c>
      <c r="Z15" s="595">
        <v>13.349744570099201</v>
      </c>
      <c r="AA15" s="86">
        <v>0</v>
      </c>
      <c r="AB15" s="86">
        <v>13.349744570099201</v>
      </c>
      <c r="AC15" s="86">
        <v>0</v>
      </c>
      <c r="AD15" s="625">
        <v>0</v>
      </c>
      <c r="AE15" s="629">
        <v>0.25005172530733316</v>
      </c>
      <c r="AF15" s="627">
        <v>1268</v>
      </c>
      <c r="AG15" s="621">
        <v>292.97393749302461</v>
      </c>
      <c r="AH15" s="59"/>
    </row>
    <row r="16" spans="1:34" x14ac:dyDescent="0.35">
      <c r="A16" s="456" t="s">
        <v>1200</v>
      </c>
      <c r="B16" s="457"/>
      <c r="C16" s="539"/>
      <c r="D16" s="540"/>
      <c r="E16" s="540"/>
      <c r="F16" s="540"/>
      <c r="G16" s="540"/>
      <c r="H16" s="540"/>
      <c r="I16" s="540"/>
      <c r="J16" s="540"/>
      <c r="K16" s="540"/>
      <c r="L16" s="541"/>
      <c r="M16" s="46"/>
      <c r="N16" s="109" t="s">
        <v>1229</v>
      </c>
      <c r="O16" s="122"/>
      <c r="P16" s="107" t="s">
        <v>787</v>
      </c>
      <c r="U16" s="586">
        <v>0.1875</v>
      </c>
      <c r="V16" s="590">
        <v>0.10920000000000001</v>
      </c>
      <c r="W16" s="87">
        <v>0.23049157275710239</v>
      </c>
      <c r="X16" s="590">
        <v>8.6399999999999991E-2</v>
      </c>
      <c r="Y16" s="87">
        <v>20.81428616563619</v>
      </c>
      <c r="Z16" s="594">
        <v>13.349744570099201</v>
      </c>
      <c r="AA16" s="87">
        <v>0</v>
      </c>
      <c r="AB16" s="87">
        <v>13.349744570099201</v>
      </c>
      <c r="AC16" s="87">
        <v>0</v>
      </c>
      <c r="AD16" s="624">
        <v>0</v>
      </c>
      <c r="AE16" s="630">
        <v>0.25005172678486126</v>
      </c>
      <c r="AF16" s="628">
        <v>1268</v>
      </c>
      <c r="AG16" s="620">
        <v>292.97067967965268</v>
      </c>
      <c r="AH16" s="59"/>
    </row>
    <row r="17" spans="1:34" ht="15" thickBot="1" x14ac:dyDescent="0.4">
      <c r="A17" s="458" t="s">
        <v>1648</v>
      </c>
      <c r="B17" s="476"/>
      <c r="C17" s="542"/>
      <c r="D17" s="543"/>
      <c r="E17" s="543"/>
      <c r="F17" s="543"/>
      <c r="G17" s="543"/>
      <c r="H17" s="543"/>
      <c r="I17" s="543"/>
      <c r="J17" s="543"/>
      <c r="K17" s="543"/>
      <c r="L17" s="544"/>
      <c r="M17" s="46"/>
      <c r="N17" s="420" t="s">
        <v>1230</v>
      </c>
      <c r="O17" s="421"/>
      <c r="P17" s="422" t="s">
        <v>787</v>
      </c>
      <c r="U17" s="587">
        <v>0.20833333333333301</v>
      </c>
      <c r="V17" s="591">
        <v>0.17279999999999998</v>
      </c>
      <c r="W17" s="86">
        <v>0.21165939692644092</v>
      </c>
      <c r="X17" s="591">
        <v>0.13631999999999997</v>
      </c>
      <c r="Y17" s="86">
        <v>20.793653563769922</v>
      </c>
      <c r="Z17" s="595">
        <v>13.481024570099201</v>
      </c>
      <c r="AA17" s="86">
        <v>4.2666666666666666</v>
      </c>
      <c r="AB17" s="86">
        <v>13.481024570099201</v>
      </c>
      <c r="AC17" s="86">
        <v>0</v>
      </c>
      <c r="AD17" s="625">
        <v>0</v>
      </c>
      <c r="AE17" s="629">
        <v>0.25005172826245259</v>
      </c>
      <c r="AF17" s="627">
        <v>2000</v>
      </c>
      <c r="AG17" s="621">
        <v>292.96742186628074</v>
      </c>
      <c r="AH17" s="59"/>
    </row>
    <row r="18" spans="1:34" ht="15" thickBot="1" x14ac:dyDescent="0.4">
      <c r="A18" s="459" t="s">
        <v>1191</v>
      </c>
      <c r="B18" s="460"/>
      <c r="C18" s="482"/>
      <c r="D18" s="461"/>
      <c r="E18" s="461"/>
      <c r="F18" s="461"/>
      <c r="G18" s="461"/>
      <c r="H18" s="461"/>
      <c r="I18" s="461"/>
      <c r="J18" s="461"/>
      <c r="K18" s="461"/>
      <c r="L18" s="462"/>
      <c r="M18" s="46"/>
      <c r="U18" s="586">
        <v>0.22916666666666699</v>
      </c>
      <c r="V18" s="590">
        <v>0.17279999999999998</v>
      </c>
      <c r="W18" s="87">
        <v>0.20690991293915842</v>
      </c>
      <c r="X18" s="590">
        <v>0.13631999999999997</v>
      </c>
      <c r="Y18" s="87">
        <v>20.788395595370666</v>
      </c>
      <c r="Z18" s="594">
        <v>13.481024570099201</v>
      </c>
      <c r="AA18" s="87">
        <v>0</v>
      </c>
      <c r="AB18" s="87">
        <v>13.481024570099201</v>
      </c>
      <c r="AC18" s="87">
        <v>0</v>
      </c>
      <c r="AD18" s="624">
        <v>5.5661866666666659</v>
      </c>
      <c r="AE18" s="630">
        <v>0.25001279834246531</v>
      </c>
      <c r="AF18" s="628">
        <v>2000</v>
      </c>
      <c r="AG18" s="620">
        <v>292.96661578634433</v>
      </c>
      <c r="AH18" s="59"/>
    </row>
    <row r="19" spans="1:34" ht="15" thickBot="1" x14ac:dyDescent="0.4">
      <c r="A19" s="463" t="s">
        <v>1200</v>
      </c>
      <c r="B19" s="464"/>
      <c r="C19" s="545"/>
      <c r="D19" s="546"/>
      <c r="E19" s="546"/>
      <c r="F19" s="546"/>
      <c r="G19" s="546"/>
      <c r="H19" s="546"/>
      <c r="I19" s="546"/>
      <c r="J19" s="546"/>
      <c r="K19" s="546"/>
      <c r="L19" s="547"/>
      <c r="M19" s="46"/>
      <c r="N19" s="572" t="s">
        <v>1630</v>
      </c>
      <c r="O19" s="573"/>
      <c r="P19" s="574"/>
      <c r="U19" s="587">
        <v>0.25</v>
      </c>
      <c r="V19" s="591">
        <v>0.17279999999999998</v>
      </c>
      <c r="W19" s="86">
        <v>0.20216045508450745</v>
      </c>
      <c r="X19" s="591">
        <v>0.13631999999999997</v>
      </c>
      <c r="Y19" s="86">
        <v>20.783137655590536</v>
      </c>
      <c r="Z19" s="595">
        <v>13.481024570099201</v>
      </c>
      <c r="AA19" s="86">
        <v>4.2666666666666666</v>
      </c>
      <c r="AB19" s="86">
        <v>16.681024570099204</v>
      </c>
      <c r="AC19" s="86">
        <v>3.2000000000000006</v>
      </c>
      <c r="AD19" s="625">
        <v>0</v>
      </c>
      <c r="AE19" s="629">
        <v>0.25001279843291735</v>
      </c>
      <c r="AF19" s="627">
        <v>2000</v>
      </c>
      <c r="AG19" s="621">
        <v>292.96580970640787</v>
      </c>
      <c r="AH19" s="59"/>
    </row>
    <row r="20" spans="1:34" ht="15" thickBot="1" x14ac:dyDescent="0.4">
      <c r="A20" s="465" t="s">
        <v>1649</v>
      </c>
      <c r="B20" s="477"/>
      <c r="C20" s="548"/>
      <c r="D20" s="549"/>
      <c r="E20" s="549"/>
      <c r="F20" s="549"/>
      <c r="G20" s="549"/>
      <c r="H20" s="549"/>
      <c r="I20" s="549"/>
      <c r="J20" s="549"/>
      <c r="K20" s="549"/>
      <c r="L20" s="550"/>
      <c r="M20" s="46"/>
      <c r="N20" s="312" t="s">
        <v>1463</v>
      </c>
      <c r="O20" s="313" t="s">
        <v>1464</v>
      </c>
      <c r="P20" s="314" t="s">
        <v>2</v>
      </c>
      <c r="U20" s="586">
        <v>0.27083333333333298</v>
      </c>
      <c r="V20" s="590">
        <v>0.17279999999999998</v>
      </c>
      <c r="W20" s="87">
        <v>0.19741102336248803</v>
      </c>
      <c r="X20" s="590">
        <v>0.13631999999999997</v>
      </c>
      <c r="Y20" s="87">
        <v>20.777879744429537</v>
      </c>
      <c r="Z20" s="594">
        <v>13.481024570099201</v>
      </c>
      <c r="AA20" s="87">
        <v>0</v>
      </c>
      <c r="AB20" s="87">
        <v>13.481024570099201</v>
      </c>
      <c r="AC20" s="87">
        <v>0</v>
      </c>
      <c r="AD20" s="624">
        <v>0</v>
      </c>
      <c r="AE20" s="630">
        <v>0.25001279852336933</v>
      </c>
      <c r="AF20" s="628">
        <v>2000</v>
      </c>
      <c r="AG20" s="620">
        <v>292.9650036264714</v>
      </c>
      <c r="AH20" s="59"/>
    </row>
    <row r="21" spans="1:34" x14ac:dyDescent="0.35">
      <c r="A21" s="466" t="s">
        <v>1192</v>
      </c>
      <c r="B21" s="467"/>
      <c r="C21" s="483"/>
      <c r="D21" s="468"/>
      <c r="E21" s="468"/>
      <c r="F21" s="468"/>
      <c r="G21" s="468"/>
      <c r="H21" s="468"/>
      <c r="I21" s="468"/>
      <c r="J21" s="468"/>
      <c r="K21" s="468"/>
      <c r="L21" s="469"/>
      <c r="M21" s="46"/>
      <c r="N21" s="109" t="s">
        <v>1254</v>
      </c>
      <c r="O21" s="309"/>
      <c r="P21" s="315">
        <v>130</v>
      </c>
      <c r="U21" s="587">
        <v>0.29166666666666702</v>
      </c>
      <c r="V21" s="591">
        <v>0.17279999999999998</v>
      </c>
      <c r="W21" s="86">
        <v>0.1926616177731002</v>
      </c>
      <c r="X21" s="591">
        <v>0.13631999999999997</v>
      </c>
      <c r="Y21" s="86">
        <v>20.772621861887671</v>
      </c>
      <c r="Z21" s="595">
        <v>13.481024570099201</v>
      </c>
      <c r="AA21" s="86">
        <v>0</v>
      </c>
      <c r="AB21" s="86">
        <v>13.481024570099201</v>
      </c>
      <c r="AC21" s="86">
        <v>0</v>
      </c>
      <c r="AD21" s="625">
        <v>0</v>
      </c>
      <c r="AE21" s="629">
        <v>0.25001279861382236</v>
      </c>
      <c r="AF21" s="627">
        <v>2000</v>
      </c>
      <c r="AG21" s="621">
        <v>292.96419754653493</v>
      </c>
      <c r="AH21" s="59"/>
    </row>
    <row r="22" spans="1:34" x14ac:dyDescent="0.35">
      <c r="A22" s="470" t="s">
        <v>1200</v>
      </c>
      <c r="B22" s="471"/>
      <c r="C22" s="551"/>
      <c r="D22" s="552"/>
      <c r="E22" s="552"/>
      <c r="F22" s="552"/>
      <c r="G22" s="552"/>
      <c r="H22" s="552"/>
      <c r="I22" s="552"/>
      <c r="J22" s="552"/>
      <c r="K22" s="552"/>
      <c r="L22" s="553"/>
      <c r="M22" s="46"/>
      <c r="N22" s="108" t="s">
        <v>1255</v>
      </c>
      <c r="O22" s="310"/>
      <c r="P22" s="316">
        <v>150</v>
      </c>
      <c r="U22" s="586">
        <v>0.3125</v>
      </c>
      <c r="V22" s="590">
        <v>0.17279999999999998</v>
      </c>
      <c r="W22" s="87">
        <v>0.18791223831634399</v>
      </c>
      <c r="X22" s="590">
        <v>0.13631999999999997</v>
      </c>
      <c r="Y22" s="87">
        <v>20.76736400796494</v>
      </c>
      <c r="Z22" s="594">
        <v>13.481024570099201</v>
      </c>
      <c r="AA22" s="87">
        <v>0</v>
      </c>
      <c r="AB22" s="87">
        <v>13.481024570099201</v>
      </c>
      <c r="AC22" s="87">
        <v>0</v>
      </c>
      <c r="AD22" s="624">
        <v>0</v>
      </c>
      <c r="AE22" s="630">
        <v>0.2500127987042754</v>
      </c>
      <c r="AF22" s="628">
        <v>2000</v>
      </c>
      <c r="AG22" s="620">
        <v>292.96339146659852</v>
      </c>
      <c r="AH22" s="59"/>
    </row>
    <row r="23" spans="1:34" ht="15" thickBot="1" x14ac:dyDescent="0.4">
      <c r="A23" s="472" t="s">
        <v>1649</v>
      </c>
      <c r="B23" s="478"/>
      <c r="C23" s="554"/>
      <c r="D23" s="555"/>
      <c r="E23" s="555"/>
      <c r="F23" s="555"/>
      <c r="G23" s="555"/>
      <c r="H23" s="555"/>
      <c r="I23" s="555"/>
      <c r="J23" s="555"/>
      <c r="K23" s="555"/>
      <c r="L23" s="556"/>
      <c r="M23" s="46"/>
      <c r="N23" s="109" t="s">
        <v>1256</v>
      </c>
      <c r="O23" s="309"/>
      <c r="P23" s="315">
        <v>200</v>
      </c>
      <c r="U23" s="587">
        <v>0.33333333333333298</v>
      </c>
      <c r="V23" s="591">
        <v>0.17279999999999998</v>
      </c>
      <c r="W23" s="86">
        <v>0.1831628849922193</v>
      </c>
      <c r="X23" s="591">
        <v>0.13631999999999997</v>
      </c>
      <c r="Y23" s="86">
        <v>20.762106182661338</v>
      </c>
      <c r="Z23" s="595">
        <v>13.481024570099201</v>
      </c>
      <c r="AA23" s="86">
        <v>0</v>
      </c>
      <c r="AB23" s="86">
        <v>13.481024570099201</v>
      </c>
      <c r="AC23" s="86">
        <v>0</v>
      </c>
      <c r="AD23" s="625">
        <v>0</v>
      </c>
      <c r="AE23" s="629">
        <v>0.25001279879473132</v>
      </c>
      <c r="AF23" s="627">
        <v>2000</v>
      </c>
      <c r="AG23" s="621">
        <v>292.96258538666206</v>
      </c>
      <c r="AH23" s="59"/>
    </row>
    <row r="24" spans="1:34" x14ac:dyDescent="0.35">
      <c r="A24" s="484" t="s">
        <v>1617</v>
      </c>
      <c r="B24" s="485"/>
      <c r="C24" s="486"/>
      <c r="D24" s="487"/>
      <c r="E24" s="487"/>
      <c r="F24" s="487"/>
      <c r="G24" s="487"/>
      <c r="H24" s="487"/>
      <c r="I24" s="487"/>
      <c r="J24" s="487"/>
      <c r="K24" s="487"/>
      <c r="L24" s="488"/>
      <c r="M24" s="46"/>
      <c r="N24" s="108" t="s">
        <v>1257</v>
      </c>
      <c r="O24" s="310"/>
      <c r="P24" s="316">
        <v>170</v>
      </c>
      <c r="U24" s="586">
        <v>0.35416666666666702</v>
      </c>
      <c r="V24" s="590">
        <v>0.17279999999999998</v>
      </c>
      <c r="W24" s="87">
        <v>0.17841355780072621</v>
      </c>
      <c r="X24" s="590">
        <v>0.13631999999999997</v>
      </c>
      <c r="Y24" s="87">
        <v>20.756848385976866</v>
      </c>
      <c r="Z24" s="594">
        <v>13.481024570099201</v>
      </c>
      <c r="AA24" s="87">
        <v>0</v>
      </c>
      <c r="AB24" s="87">
        <v>13.481024570099201</v>
      </c>
      <c r="AC24" s="87">
        <v>0</v>
      </c>
      <c r="AD24" s="624">
        <v>0</v>
      </c>
      <c r="AE24" s="630">
        <v>0.25001279888518713</v>
      </c>
      <c r="AF24" s="628">
        <v>2000</v>
      </c>
      <c r="AG24" s="620">
        <v>292.96177930672559</v>
      </c>
      <c r="AH24" s="59"/>
    </row>
    <row r="25" spans="1:34" x14ac:dyDescent="0.35">
      <c r="A25" s="473" t="s">
        <v>1200</v>
      </c>
      <c r="B25" s="474"/>
      <c r="C25" s="613"/>
      <c r="D25" s="614"/>
      <c r="E25" s="614"/>
      <c r="F25" s="614"/>
      <c r="G25" s="614"/>
      <c r="H25" s="614"/>
      <c r="I25" s="614"/>
      <c r="J25" s="614"/>
      <c r="K25" s="614"/>
      <c r="L25" s="615"/>
      <c r="M25" s="46"/>
      <c r="N25" s="109" t="s">
        <v>1258</v>
      </c>
      <c r="O25" s="309"/>
      <c r="P25" s="315">
        <v>660</v>
      </c>
      <c r="U25" s="587">
        <v>0.375</v>
      </c>
      <c r="V25" s="591">
        <v>0.17279999999999998</v>
      </c>
      <c r="W25" s="86">
        <v>0.17366425674186473</v>
      </c>
      <c r="X25" s="591">
        <v>0.13631999999999997</v>
      </c>
      <c r="Y25" s="86">
        <v>20.751590617911532</v>
      </c>
      <c r="Z25" s="595">
        <v>13.481024570099201</v>
      </c>
      <c r="AA25" s="86">
        <v>0</v>
      </c>
      <c r="AB25" s="86">
        <v>13.481024570099201</v>
      </c>
      <c r="AC25" s="86">
        <v>0</v>
      </c>
      <c r="AD25" s="625">
        <v>0</v>
      </c>
      <c r="AE25" s="629">
        <v>0.2500127989756431</v>
      </c>
      <c r="AF25" s="627">
        <v>2000</v>
      </c>
      <c r="AG25" s="621">
        <v>292.96097322678918</v>
      </c>
      <c r="AH25" s="59"/>
    </row>
    <row r="26" spans="1:34" ht="15" thickBot="1" x14ac:dyDescent="0.4">
      <c r="A26" s="475" t="s">
        <v>1649</v>
      </c>
      <c r="B26" s="479"/>
      <c r="C26" s="616"/>
      <c r="D26" s="617"/>
      <c r="E26" s="617"/>
      <c r="F26" s="617"/>
      <c r="G26" s="617"/>
      <c r="H26" s="617"/>
      <c r="I26" s="617"/>
      <c r="J26" s="617"/>
      <c r="K26" s="617"/>
      <c r="L26" s="618"/>
      <c r="M26" s="46"/>
      <c r="N26" s="108" t="s">
        <v>846</v>
      </c>
      <c r="O26" s="310"/>
      <c r="P26" s="316"/>
      <c r="U26" s="586">
        <v>0.39583333333333298</v>
      </c>
      <c r="V26" s="590">
        <v>1.1963999999999999</v>
      </c>
      <c r="W26" s="87">
        <v>0.16891498181563475</v>
      </c>
      <c r="X26" s="590">
        <v>0.94560000000000011</v>
      </c>
      <c r="Y26" s="87">
        <v>20.746332878465328</v>
      </c>
      <c r="Z26" s="594">
        <v>15.354464570099202</v>
      </c>
      <c r="AA26" s="87">
        <v>0</v>
      </c>
      <c r="AB26" s="87">
        <v>15.354464570099202</v>
      </c>
      <c r="AC26" s="87">
        <v>0</v>
      </c>
      <c r="AD26" s="624">
        <v>0</v>
      </c>
      <c r="AE26" s="630">
        <v>0.25001279906610163</v>
      </c>
      <c r="AF26" s="628">
        <v>8234</v>
      </c>
      <c r="AG26" s="620">
        <v>292.96016714685271</v>
      </c>
      <c r="AH26" s="59"/>
    </row>
    <row r="27" spans="1:34" ht="15" thickBot="1" x14ac:dyDescent="0.4">
      <c r="A27" s="500" t="s">
        <v>1193</v>
      </c>
      <c r="B27" s="501"/>
      <c r="C27" s="502"/>
      <c r="D27" s="503"/>
      <c r="E27" s="503"/>
      <c r="F27" s="503"/>
      <c r="G27" s="503"/>
      <c r="H27" s="503"/>
      <c r="I27" s="503"/>
      <c r="J27" s="503"/>
      <c r="K27" s="503"/>
      <c r="L27" s="504"/>
      <c r="M27" s="46"/>
      <c r="N27" s="226" t="s">
        <v>1</v>
      </c>
      <c r="O27" s="317"/>
      <c r="P27" s="318"/>
      <c r="Q27" s="39"/>
      <c r="R27" s="340"/>
      <c r="U27" s="587">
        <v>0.41666666666666702</v>
      </c>
      <c r="V27" s="591">
        <v>0.17279999999999998</v>
      </c>
      <c r="W27" s="86">
        <v>0.39080688675149217</v>
      </c>
      <c r="X27" s="591">
        <v>0.13631999999999997</v>
      </c>
      <c r="Y27" s="86">
        <v>20.988985730891287</v>
      </c>
      <c r="Z27" s="595">
        <v>14.323424570099203</v>
      </c>
      <c r="AA27" s="86">
        <v>0</v>
      </c>
      <c r="AB27" s="86">
        <v>14.723424570099201</v>
      </c>
      <c r="AC27" s="86">
        <v>0.40000000000000008</v>
      </c>
      <c r="AD27" s="625">
        <v>1.55169</v>
      </c>
      <c r="AE27" s="629">
        <v>0.74904450715857407</v>
      </c>
      <c r="AF27" s="627">
        <v>4699</v>
      </c>
      <c r="AG27" s="621">
        <v>292.98024099346918</v>
      </c>
      <c r="AH27" s="59"/>
    </row>
    <row r="28" spans="1:34" ht="15" thickBot="1" x14ac:dyDescent="0.4">
      <c r="A28" s="505" t="s">
        <v>1200</v>
      </c>
      <c r="B28" s="506"/>
      <c r="C28" s="557"/>
      <c r="D28" s="558"/>
      <c r="E28" s="558"/>
      <c r="F28" s="558"/>
      <c r="G28" s="558"/>
      <c r="H28" s="558"/>
      <c r="I28" s="558"/>
      <c r="J28" s="558"/>
      <c r="K28" s="558"/>
      <c r="L28" s="559"/>
      <c r="M28" s="46"/>
      <c r="O28" s="571"/>
      <c r="P28" s="276"/>
      <c r="U28" s="586">
        <v>0.4375</v>
      </c>
      <c r="V28" s="590">
        <v>0.17279999999999998</v>
      </c>
      <c r="W28" s="87">
        <v>0.38606861394931252</v>
      </c>
      <c r="X28" s="590">
        <v>0.13631999999999997</v>
      </c>
      <c r="Y28" s="87">
        <v>20.984374456433077</v>
      </c>
      <c r="Z28" s="594">
        <v>14.323424570099203</v>
      </c>
      <c r="AA28" s="87">
        <v>0</v>
      </c>
      <c r="AB28" s="87">
        <v>14.723424570099201</v>
      </c>
      <c r="AC28" s="87">
        <v>0.40000000000000008</v>
      </c>
      <c r="AD28" s="624">
        <v>1.55169</v>
      </c>
      <c r="AE28" s="630">
        <v>0.74960797916592925</v>
      </c>
      <c r="AF28" s="628">
        <v>4699</v>
      </c>
      <c r="AG28" s="620">
        <v>292.98847484323539</v>
      </c>
      <c r="AH28" s="59"/>
    </row>
    <row r="29" spans="1:34" ht="15" thickBot="1" x14ac:dyDescent="0.4">
      <c r="A29" s="507" t="s">
        <v>1650</v>
      </c>
      <c r="B29" s="508"/>
      <c r="C29" s="560"/>
      <c r="D29" s="561"/>
      <c r="E29" s="561"/>
      <c r="F29" s="561"/>
      <c r="G29" s="561"/>
      <c r="H29" s="561"/>
      <c r="I29" s="561"/>
      <c r="J29" s="561"/>
      <c r="K29" s="561"/>
      <c r="L29" s="562"/>
      <c r="M29" s="46"/>
      <c r="N29" s="568" t="s">
        <v>1249</v>
      </c>
      <c r="O29" s="599"/>
      <c r="P29" s="600"/>
      <c r="U29" s="587">
        <v>0.45833333333333298</v>
      </c>
      <c r="V29" s="591">
        <v>0.17279999999999998</v>
      </c>
      <c r="W29" s="86">
        <v>0.3813300742106262</v>
      </c>
      <c r="X29" s="591">
        <v>0.13631999999999997</v>
      </c>
      <c r="Y29" s="86">
        <v>20.979762889639552</v>
      </c>
      <c r="Z29" s="595">
        <v>13.481024570099201</v>
      </c>
      <c r="AA29" s="86">
        <v>0</v>
      </c>
      <c r="AB29" s="86">
        <v>13.881024570099202</v>
      </c>
      <c r="AC29" s="86">
        <v>0.40000000000000008</v>
      </c>
      <c r="AD29" s="625">
        <v>2.783093333333333</v>
      </c>
      <c r="AE29" s="629">
        <v>0.74960800745446943</v>
      </c>
      <c r="AF29" s="627">
        <v>2000</v>
      </c>
      <c r="AG29" s="621">
        <v>292.99670869300161</v>
      </c>
      <c r="AH29" s="59"/>
    </row>
    <row r="30" spans="1:34" ht="15" thickBot="1" x14ac:dyDescent="0.4">
      <c r="A30" s="509" t="s">
        <v>1619</v>
      </c>
      <c r="B30" s="510"/>
      <c r="C30" s="516"/>
      <c r="D30" s="496"/>
      <c r="E30" s="496"/>
      <c r="F30" s="496"/>
      <c r="G30" s="496"/>
      <c r="H30" s="496"/>
      <c r="I30" s="496"/>
      <c r="J30" s="496"/>
      <c r="K30" s="496"/>
      <c r="L30" s="497"/>
      <c r="M30" s="46"/>
      <c r="N30" s="597"/>
      <c r="O30" s="598"/>
      <c r="P30" s="601"/>
      <c r="Q30" s="276"/>
      <c r="U30" s="586">
        <v>0.47916666666666702</v>
      </c>
      <c r="V30" s="590">
        <v>0.17279999999999998</v>
      </c>
      <c r="W30" s="87">
        <v>0.37657964876014688</v>
      </c>
      <c r="X30" s="590">
        <v>0.13631999999999997</v>
      </c>
      <c r="Y30" s="87">
        <v>20.974503895042027</v>
      </c>
      <c r="Z30" s="594">
        <v>13.481024570099201</v>
      </c>
      <c r="AA30" s="87">
        <v>0</v>
      </c>
      <c r="AB30" s="87">
        <v>13.881024570099202</v>
      </c>
      <c r="AC30" s="87">
        <v>0.40000000000000008</v>
      </c>
      <c r="AD30" s="624">
        <v>2.783093333333333</v>
      </c>
      <c r="AE30" s="630">
        <v>0.25001279505681073</v>
      </c>
      <c r="AF30" s="628">
        <v>2000</v>
      </c>
      <c r="AG30" s="620">
        <v>292.99590261306514</v>
      </c>
      <c r="AH30" s="59"/>
    </row>
    <row r="31" spans="1:34" x14ac:dyDescent="0.35">
      <c r="A31" s="511" t="s">
        <v>1200</v>
      </c>
      <c r="B31" s="512"/>
      <c r="C31" s="608"/>
      <c r="D31" s="607"/>
      <c r="E31" s="607"/>
      <c r="F31" s="607"/>
      <c r="G31" s="607"/>
      <c r="H31" s="607"/>
      <c r="I31" s="607"/>
      <c r="J31" s="607"/>
      <c r="K31" s="607"/>
      <c r="L31" s="609"/>
      <c r="M31" s="46"/>
      <c r="N31" s="645" t="s">
        <v>1642</v>
      </c>
      <c r="O31" s="425" t="s">
        <v>787</v>
      </c>
      <c r="P31" s="426">
        <v>0</v>
      </c>
      <c r="Q31" s="276"/>
      <c r="U31" s="587">
        <v>0.5</v>
      </c>
      <c r="V31" s="591">
        <v>0.17279999999999998</v>
      </c>
      <c r="W31" s="86">
        <v>0.37182924944229917</v>
      </c>
      <c r="X31" s="591">
        <v>0.13631999999999997</v>
      </c>
      <c r="Y31" s="86">
        <v>20.969244929063635</v>
      </c>
      <c r="Z31" s="595">
        <v>13.481024570099201</v>
      </c>
      <c r="AA31" s="86">
        <v>0</v>
      </c>
      <c r="AB31" s="86">
        <v>13.481024570099201</v>
      </c>
      <c r="AC31" s="86">
        <v>0</v>
      </c>
      <c r="AD31" s="625">
        <v>0</v>
      </c>
      <c r="AE31" s="629">
        <v>0.25001279514722691</v>
      </c>
      <c r="AF31" s="627">
        <v>2000</v>
      </c>
      <c r="AG31" s="621">
        <v>292.99509653312867</v>
      </c>
      <c r="AH31" s="59"/>
    </row>
    <row r="32" spans="1:34" ht="15" thickBot="1" x14ac:dyDescent="0.4">
      <c r="A32" s="513" t="s">
        <v>1652</v>
      </c>
      <c r="B32" s="514"/>
      <c r="C32" s="610"/>
      <c r="D32" s="611"/>
      <c r="E32" s="611"/>
      <c r="F32" s="611"/>
      <c r="G32" s="611"/>
      <c r="H32" s="611"/>
      <c r="I32" s="611"/>
      <c r="J32" s="611"/>
      <c r="K32" s="611"/>
      <c r="L32" s="612"/>
      <c r="M32" s="46"/>
      <c r="N32" s="653" t="s">
        <v>1643</v>
      </c>
      <c r="O32" s="225" t="s">
        <v>787</v>
      </c>
      <c r="P32" s="107">
        <v>0</v>
      </c>
      <c r="Q32" s="276"/>
      <c r="U32" s="586">
        <v>0.52083333333333304</v>
      </c>
      <c r="V32" s="590">
        <v>0.17279999999999998</v>
      </c>
      <c r="W32" s="87">
        <v>0.36707887625708302</v>
      </c>
      <c r="X32" s="590">
        <v>0.13631999999999997</v>
      </c>
      <c r="Y32" s="87">
        <v>20.963985991704373</v>
      </c>
      <c r="Z32" s="594">
        <v>13.481024570099201</v>
      </c>
      <c r="AA32" s="87">
        <v>0</v>
      </c>
      <c r="AB32" s="87">
        <v>13.481024570099201</v>
      </c>
      <c r="AC32" s="87">
        <v>0</v>
      </c>
      <c r="AD32" s="624">
        <v>0</v>
      </c>
      <c r="AE32" s="630">
        <v>0.25001279523764419</v>
      </c>
      <c r="AF32" s="628">
        <v>2000</v>
      </c>
      <c r="AG32" s="620">
        <v>292.99429045319221</v>
      </c>
      <c r="AH32" s="59"/>
    </row>
    <row r="33" spans="1:34" x14ac:dyDescent="0.35">
      <c r="A33" s="719" t="s">
        <v>1707</v>
      </c>
      <c r="B33" s="720"/>
      <c r="C33" s="721"/>
      <c r="D33" s="722"/>
      <c r="E33" s="722"/>
      <c r="F33" s="722"/>
      <c r="G33" s="722"/>
      <c r="H33" s="722"/>
      <c r="I33" s="722"/>
      <c r="J33" s="722"/>
      <c r="K33" s="722"/>
      <c r="L33" s="723"/>
      <c r="M33" s="46"/>
      <c r="N33" s="654" t="s">
        <v>1644</v>
      </c>
      <c r="O33" s="224" t="s">
        <v>787</v>
      </c>
      <c r="P33" s="106">
        <v>0</v>
      </c>
      <c r="Q33" s="276"/>
      <c r="U33" s="587">
        <v>0.54166666666666696</v>
      </c>
      <c r="V33" s="591">
        <v>0.17279999999999998</v>
      </c>
      <c r="W33" s="86">
        <v>0.36232852920449848</v>
      </c>
      <c r="X33" s="591">
        <v>0.13631999999999997</v>
      </c>
      <c r="Y33" s="86">
        <v>20.958727082964248</v>
      </c>
      <c r="Z33" s="595">
        <v>13.481024570099201</v>
      </c>
      <c r="AA33" s="86">
        <v>0</v>
      </c>
      <c r="AB33" s="86">
        <v>13.481024570099201</v>
      </c>
      <c r="AC33" s="86">
        <v>0</v>
      </c>
      <c r="AD33" s="625">
        <v>0</v>
      </c>
      <c r="AE33" s="629">
        <v>0.25001279532806142</v>
      </c>
      <c r="AF33" s="627">
        <v>2000</v>
      </c>
      <c r="AG33" s="621">
        <v>292.9934843732558</v>
      </c>
      <c r="AH33" s="59"/>
    </row>
    <row r="34" spans="1:34" x14ac:dyDescent="0.35">
      <c r="A34" s="724" t="s">
        <v>1200</v>
      </c>
      <c r="B34" s="725"/>
      <c r="C34" s="726"/>
      <c r="D34" s="727"/>
      <c r="E34" s="727"/>
      <c r="F34" s="727"/>
      <c r="G34" s="727"/>
      <c r="H34" s="727"/>
      <c r="I34" s="727"/>
      <c r="J34" s="727"/>
      <c r="K34" s="727"/>
      <c r="L34" s="728"/>
      <c r="M34" s="46"/>
      <c r="N34" s="653" t="s">
        <v>1645</v>
      </c>
      <c r="O34" s="225" t="s">
        <v>787</v>
      </c>
      <c r="P34" s="107">
        <v>0</v>
      </c>
      <c r="Q34" s="276"/>
      <c r="U34" s="586">
        <v>0.5625</v>
      </c>
      <c r="V34" s="590">
        <v>0.17279999999999998</v>
      </c>
      <c r="W34" s="87">
        <v>0.35757820828454551</v>
      </c>
      <c r="X34" s="590">
        <v>0.13631999999999997</v>
      </c>
      <c r="Y34" s="87">
        <v>20.953468202843251</v>
      </c>
      <c r="Z34" s="594">
        <v>13.481024570099201</v>
      </c>
      <c r="AA34" s="87">
        <v>0</v>
      </c>
      <c r="AB34" s="87">
        <v>13.481024570099201</v>
      </c>
      <c r="AC34" s="87">
        <v>0</v>
      </c>
      <c r="AD34" s="624">
        <v>0</v>
      </c>
      <c r="AE34" s="630">
        <v>0.25001279541848148</v>
      </c>
      <c r="AF34" s="628">
        <v>2000</v>
      </c>
      <c r="AG34" s="620">
        <v>292.99267829331933</v>
      </c>
      <c r="AH34" s="59"/>
    </row>
    <row r="35" spans="1:34" x14ac:dyDescent="0.35">
      <c r="A35" s="724" t="s">
        <v>1650</v>
      </c>
      <c r="B35" s="725"/>
      <c r="C35" s="734"/>
      <c r="D35" s="735"/>
      <c r="E35" s="735"/>
      <c r="F35" s="735"/>
      <c r="G35" s="735"/>
      <c r="H35" s="735"/>
      <c r="I35" s="735"/>
      <c r="J35" s="735"/>
      <c r="K35" s="735"/>
      <c r="L35" s="736"/>
      <c r="M35" s="46"/>
      <c r="N35" s="654" t="s">
        <v>1646</v>
      </c>
      <c r="O35" s="224" t="s">
        <v>787</v>
      </c>
      <c r="P35" s="106">
        <v>0</v>
      </c>
      <c r="Q35" s="276"/>
      <c r="U35" s="587">
        <v>0.58333333333333304</v>
      </c>
      <c r="V35" s="591">
        <v>0.17279999999999998</v>
      </c>
      <c r="W35" s="86">
        <v>0.35282791349722403</v>
      </c>
      <c r="X35" s="591">
        <v>0.13631999999999997</v>
      </c>
      <c r="Y35" s="86">
        <v>20.948209351341383</v>
      </c>
      <c r="Z35" s="595">
        <v>13.481024570099201</v>
      </c>
      <c r="AA35" s="86">
        <v>0</v>
      </c>
      <c r="AB35" s="86">
        <v>13.481024570099201</v>
      </c>
      <c r="AC35" s="86">
        <v>0</v>
      </c>
      <c r="AD35" s="625">
        <v>0</v>
      </c>
      <c r="AE35" s="629">
        <v>0.25001279550890154</v>
      </c>
      <c r="AF35" s="627">
        <v>2000</v>
      </c>
      <c r="AG35" s="621">
        <v>292.99187221338286</v>
      </c>
      <c r="AH35" s="59"/>
    </row>
    <row r="36" spans="1:34" ht="15" thickBot="1" x14ac:dyDescent="0.4">
      <c r="A36" s="729" t="s">
        <v>1652</v>
      </c>
      <c r="B36" s="730"/>
      <c r="C36" s="731"/>
      <c r="D36" s="732"/>
      <c r="E36" s="732"/>
      <c r="F36" s="732"/>
      <c r="G36" s="732"/>
      <c r="H36" s="732"/>
      <c r="I36" s="732"/>
      <c r="J36" s="732"/>
      <c r="K36" s="732"/>
      <c r="L36" s="733"/>
      <c r="M36" s="46"/>
      <c r="N36" s="653" t="s">
        <v>33</v>
      </c>
      <c r="O36" s="225" t="s">
        <v>787</v>
      </c>
      <c r="P36" s="107">
        <v>0</v>
      </c>
      <c r="Q36" s="276"/>
      <c r="U36" s="586">
        <v>0.60416666666666696</v>
      </c>
      <c r="V36" s="590">
        <v>1.1963999999999999</v>
      </c>
      <c r="W36" s="87">
        <v>0.34807764484253417</v>
      </c>
      <c r="X36" s="590">
        <v>0.94560000000000011</v>
      </c>
      <c r="Y36" s="87">
        <v>20.942950528458653</v>
      </c>
      <c r="Z36" s="594">
        <v>15.354464570099202</v>
      </c>
      <c r="AA36" s="87">
        <v>0</v>
      </c>
      <c r="AB36" s="87">
        <v>15.354464570099202</v>
      </c>
      <c r="AC36" s="87">
        <v>0</v>
      </c>
      <c r="AD36" s="624">
        <v>0</v>
      </c>
      <c r="AE36" s="630">
        <v>0.25001279559932266</v>
      </c>
      <c r="AF36" s="628">
        <v>8234</v>
      </c>
      <c r="AG36" s="620">
        <v>292.9910661334464</v>
      </c>
      <c r="AH36" s="59"/>
    </row>
    <row r="37" spans="1:34" x14ac:dyDescent="0.35">
      <c r="A37" s="746" t="s">
        <v>1728</v>
      </c>
      <c r="B37" s="747"/>
      <c r="C37" s="748"/>
      <c r="D37" s="749"/>
      <c r="E37" s="749"/>
      <c r="F37" s="749"/>
      <c r="G37" s="749"/>
      <c r="H37" s="749"/>
      <c r="I37" s="749"/>
      <c r="J37" s="749"/>
      <c r="K37" s="749"/>
      <c r="L37" s="750"/>
      <c r="M37" s="46"/>
      <c r="N37" s="654" t="s">
        <v>1627</v>
      </c>
      <c r="O37" s="224" t="s">
        <v>787</v>
      </c>
      <c r="P37" s="106">
        <v>0</v>
      </c>
      <c r="Q37" s="276"/>
      <c r="U37" s="586"/>
      <c r="V37" s="590">
        <v>0.17279999999999998</v>
      </c>
      <c r="W37" s="87">
        <v>0.57000522409776055</v>
      </c>
      <c r="X37" s="590">
        <v>0.13631999999999997</v>
      </c>
      <c r="Y37" s="87">
        <v>21.185642143247506</v>
      </c>
      <c r="Z37" s="594">
        <v>14.323424570099203</v>
      </c>
      <c r="AA37" s="87">
        <v>0</v>
      </c>
      <c r="AB37" s="87">
        <v>14.723424570099201</v>
      </c>
      <c r="AC37" s="87">
        <v>0.40000000000000008</v>
      </c>
      <c r="AD37" s="624">
        <v>1.55169</v>
      </c>
      <c r="AE37" s="630">
        <v>0.74904476578274171</v>
      </c>
      <c r="AF37" s="628">
        <v>4699</v>
      </c>
      <c r="AG37" s="620">
        <v>293.01113998006286</v>
      </c>
      <c r="AH37" s="59"/>
    </row>
    <row r="38" spans="1:34" x14ac:dyDescent="0.35">
      <c r="A38" s="746" t="s">
        <v>1200</v>
      </c>
      <c r="B38" s="747"/>
      <c r="C38" s="751"/>
      <c r="D38" s="540"/>
      <c r="E38" s="540"/>
      <c r="F38" s="540"/>
      <c r="G38" s="540"/>
      <c r="H38" s="540"/>
      <c r="I38" s="751"/>
      <c r="J38" s="540"/>
      <c r="K38" s="540"/>
      <c r="L38" s="541"/>
      <c r="M38" s="46"/>
      <c r="N38" s="653" t="s">
        <v>1233</v>
      </c>
      <c r="O38" s="225" t="s">
        <v>787</v>
      </c>
      <c r="P38" s="107">
        <v>0</v>
      </c>
      <c r="Q38" s="276"/>
      <c r="U38" s="586"/>
      <c r="V38" s="590">
        <v>0.17279999999999998</v>
      </c>
      <c r="W38" s="87">
        <v>0.5652714848920577</v>
      </c>
      <c r="X38" s="590">
        <v>0.13631999999999997</v>
      </c>
      <c r="Y38" s="87">
        <v>21.181035784269525</v>
      </c>
      <c r="Z38" s="594">
        <v>14.323424570099203</v>
      </c>
      <c r="AA38" s="87">
        <v>0</v>
      </c>
      <c r="AB38" s="87">
        <v>14.723424570099201</v>
      </c>
      <c r="AC38" s="87">
        <v>0.40000000000000008</v>
      </c>
      <c r="AD38" s="624">
        <v>1.55169</v>
      </c>
      <c r="AE38" s="630">
        <v>0.74960808530789946</v>
      </c>
      <c r="AF38" s="628">
        <v>4699</v>
      </c>
      <c r="AG38" s="620">
        <v>293.01937382982908</v>
      </c>
      <c r="AH38" s="59"/>
    </row>
    <row r="39" spans="1:34" ht="15" thickBot="1" x14ac:dyDescent="0.4">
      <c r="A39" s="746" t="s">
        <v>1729</v>
      </c>
      <c r="B39" s="747"/>
      <c r="C39" s="748"/>
      <c r="D39" s="749"/>
      <c r="E39" s="749"/>
      <c r="F39" s="749"/>
      <c r="G39" s="749"/>
      <c r="H39" s="749"/>
      <c r="I39" s="749"/>
      <c r="J39" s="749"/>
      <c r="K39" s="749"/>
      <c r="L39" s="750"/>
      <c r="M39" s="46"/>
      <c r="N39" s="654" t="s">
        <v>1234</v>
      </c>
      <c r="O39" s="224" t="s">
        <v>787</v>
      </c>
      <c r="P39" s="106">
        <v>0</v>
      </c>
      <c r="Q39" s="276"/>
      <c r="U39" s="586"/>
      <c r="V39" s="590">
        <v>0.17279999999999998</v>
      </c>
      <c r="W39" s="87">
        <v>0.56053747874984816</v>
      </c>
      <c r="X39" s="590">
        <v>0.13631999999999997</v>
      </c>
      <c r="Y39" s="87">
        <v>21.17642913295623</v>
      </c>
      <c r="Z39" s="594">
        <v>13.481024570099201</v>
      </c>
      <c r="AA39" s="87">
        <v>0</v>
      </c>
      <c r="AB39" s="87">
        <v>13.481024570099201</v>
      </c>
      <c r="AC39" s="87">
        <v>0</v>
      </c>
      <c r="AD39" s="624">
        <v>0</v>
      </c>
      <c r="AE39" s="630">
        <v>0.74960811358495327</v>
      </c>
      <c r="AF39" s="628">
        <v>2000</v>
      </c>
      <c r="AG39" s="620">
        <v>293.02760767959529</v>
      </c>
      <c r="AH39" s="59"/>
    </row>
    <row r="40" spans="1:34" x14ac:dyDescent="0.35">
      <c r="A40" s="498" t="s">
        <v>1621</v>
      </c>
      <c r="B40" s="499"/>
      <c r="C40" s="520"/>
      <c r="D40" s="521"/>
      <c r="E40" s="521"/>
      <c r="F40" s="521"/>
      <c r="G40" s="521"/>
      <c r="H40" s="521"/>
      <c r="I40" s="521"/>
      <c r="J40" s="521"/>
      <c r="K40" s="521"/>
      <c r="L40" s="522"/>
      <c r="M40" s="46"/>
      <c r="N40" s="655" t="s">
        <v>1631</v>
      </c>
      <c r="O40" s="647" t="s">
        <v>787</v>
      </c>
      <c r="P40" s="648">
        <v>0</v>
      </c>
      <c r="Q40" s="90"/>
      <c r="R40" s="90"/>
      <c r="S40" s="90"/>
      <c r="U40" s="586">
        <v>0.625</v>
      </c>
      <c r="V40" s="590">
        <v>0.17279999999999998</v>
      </c>
      <c r="W40" s="87">
        <v>0.55578605957090899</v>
      </c>
      <c r="X40" s="590">
        <v>0.13631999999999997</v>
      </c>
      <c r="Y40" s="87">
        <v>21.171169054922178</v>
      </c>
      <c r="Z40" s="594">
        <v>13.481024570099201</v>
      </c>
      <c r="AA40" s="87">
        <v>0</v>
      </c>
      <c r="AB40" s="87">
        <v>13.481024570099201</v>
      </c>
      <c r="AC40" s="87">
        <v>0</v>
      </c>
      <c r="AD40" s="624">
        <v>0</v>
      </c>
      <c r="AE40" s="630">
        <v>0.25001279159166023</v>
      </c>
      <c r="AF40" s="628">
        <v>2000</v>
      </c>
      <c r="AG40" s="620">
        <v>293.02680159965882</v>
      </c>
      <c r="AH40" s="59"/>
    </row>
    <row r="41" spans="1:34" x14ac:dyDescent="0.35">
      <c r="A41" s="817" t="s">
        <v>1620</v>
      </c>
      <c r="B41" s="818"/>
      <c r="C41" s="438"/>
      <c r="D41" s="277"/>
      <c r="E41" s="277"/>
      <c r="F41" s="277"/>
      <c r="G41" s="277"/>
      <c r="H41" s="277"/>
      <c r="I41" s="277"/>
      <c r="J41" s="277"/>
      <c r="K41" s="277"/>
      <c r="L41" s="437"/>
      <c r="M41" s="46"/>
      <c r="N41" s="654" t="s">
        <v>1217</v>
      </c>
      <c r="O41" s="224" t="s">
        <v>787</v>
      </c>
      <c r="P41" s="106">
        <v>0</v>
      </c>
      <c r="Q41" s="90"/>
      <c r="R41" s="90"/>
      <c r="S41" s="90"/>
      <c r="U41" s="586">
        <v>0.64583333333333304</v>
      </c>
      <c r="V41" s="590">
        <v>0.17279999999999998</v>
      </c>
      <c r="W41" s="87">
        <v>0.55103466652460142</v>
      </c>
      <c r="X41" s="590">
        <v>0.13631999999999997</v>
      </c>
      <c r="Y41" s="87">
        <v>21.165909005507263</v>
      </c>
      <c r="Z41" s="594">
        <v>13.481024570099201</v>
      </c>
      <c r="AA41" s="87">
        <v>0</v>
      </c>
      <c r="AB41" s="87">
        <v>13.881024570099202</v>
      </c>
      <c r="AC41" s="87">
        <v>0.40000000000000008</v>
      </c>
      <c r="AD41" s="624">
        <v>2.783093333333333</v>
      </c>
      <c r="AE41" s="630">
        <v>0.25001279168203888</v>
      </c>
      <c r="AF41" s="628">
        <v>2000</v>
      </c>
      <c r="AG41" s="620">
        <v>293.02599551972241</v>
      </c>
      <c r="AH41" s="59"/>
    </row>
    <row r="42" spans="1:34" ht="15" thickBot="1" x14ac:dyDescent="0.4">
      <c r="A42" s="819" t="s">
        <v>1625</v>
      </c>
      <c r="B42" s="820"/>
      <c r="C42" s="517"/>
      <c r="D42" s="518"/>
      <c r="E42" s="518"/>
      <c r="F42" s="518"/>
      <c r="G42" s="518"/>
      <c r="H42" s="518"/>
      <c r="I42" s="518"/>
      <c r="J42" s="518"/>
      <c r="K42" s="518"/>
      <c r="L42" s="519"/>
      <c r="M42" s="46"/>
      <c r="N42" s="656" t="s">
        <v>1708</v>
      </c>
      <c r="O42" s="652" t="s">
        <v>787</v>
      </c>
      <c r="P42" s="662">
        <v>0</v>
      </c>
      <c r="Q42" s="90"/>
      <c r="R42" s="90"/>
      <c r="S42" s="90"/>
      <c r="U42" s="587">
        <v>0.66666666666666696</v>
      </c>
      <c r="V42" s="591">
        <v>0.17279999999999998</v>
      </c>
      <c r="W42" s="86">
        <v>0.54628329961092537</v>
      </c>
      <c r="X42" s="591">
        <v>0.13631999999999997</v>
      </c>
      <c r="Y42" s="86">
        <v>21.160648984711475</v>
      </c>
      <c r="Z42" s="595">
        <v>13.481024570099201</v>
      </c>
      <c r="AA42" s="86">
        <v>0</v>
      </c>
      <c r="AB42" s="86">
        <v>13.881024570099202</v>
      </c>
      <c r="AC42" s="86">
        <v>0.40000000000000008</v>
      </c>
      <c r="AD42" s="625">
        <v>2.783093333333333</v>
      </c>
      <c r="AE42" s="629">
        <v>0.25001279177242036</v>
      </c>
      <c r="AF42" s="627">
        <v>2000</v>
      </c>
      <c r="AG42" s="621">
        <v>293.02518943978595</v>
      </c>
      <c r="AH42" s="59"/>
    </row>
    <row r="43" spans="1:34" x14ac:dyDescent="0.35">
      <c r="A43" s="498" t="s">
        <v>1614</v>
      </c>
      <c r="B43" s="499"/>
      <c r="C43" s="520"/>
      <c r="D43" s="521"/>
      <c r="E43" s="521"/>
      <c r="F43" s="521"/>
      <c r="G43" s="521"/>
      <c r="H43" s="521"/>
      <c r="I43" s="521"/>
      <c r="J43" s="521"/>
      <c r="K43" s="521"/>
      <c r="L43" s="522"/>
      <c r="M43" s="46"/>
      <c r="N43" s="654" t="s">
        <v>1716</v>
      </c>
      <c r="O43" s="224" t="s">
        <v>787</v>
      </c>
      <c r="P43" s="106">
        <v>0</v>
      </c>
      <c r="Q43" s="90"/>
      <c r="R43" s="90"/>
      <c r="S43" s="90"/>
      <c r="U43" s="586">
        <v>0.6875</v>
      </c>
      <c r="V43" s="590">
        <v>0.17279999999999998</v>
      </c>
      <c r="W43" s="87">
        <v>0.54153195882988081</v>
      </c>
      <c r="X43" s="590">
        <v>0.13631999999999997</v>
      </c>
      <c r="Y43" s="87">
        <v>21.155388992534817</v>
      </c>
      <c r="Z43" s="594">
        <v>13.481024570099201</v>
      </c>
      <c r="AA43" s="87">
        <v>0</v>
      </c>
      <c r="AB43" s="87">
        <v>13.481024570099201</v>
      </c>
      <c r="AC43" s="87">
        <v>0</v>
      </c>
      <c r="AD43" s="624">
        <v>0</v>
      </c>
      <c r="AE43" s="630">
        <v>0.25001279186280173</v>
      </c>
      <c r="AF43" s="628">
        <v>2000</v>
      </c>
      <c r="AG43" s="620">
        <v>293.02438335984948</v>
      </c>
      <c r="AH43" s="59"/>
    </row>
    <row r="44" spans="1:34" ht="15" thickBot="1" x14ac:dyDescent="0.4">
      <c r="A44" s="130" t="s">
        <v>1615</v>
      </c>
      <c r="B44" s="434"/>
      <c r="C44" s="523"/>
      <c r="D44" s="524"/>
      <c r="E44" s="524"/>
      <c r="F44" s="524"/>
      <c r="G44" s="524"/>
      <c r="H44" s="524"/>
      <c r="I44" s="524"/>
      <c r="J44" s="524"/>
      <c r="K44" s="524"/>
      <c r="L44" s="489"/>
      <c r="M44" s="46"/>
      <c r="N44" s="656" t="s">
        <v>1717</v>
      </c>
      <c r="O44" s="652" t="s">
        <v>787</v>
      </c>
      <c r="P44" s="662">
        <v>0</v>
      </c>
      <c r="Q44" s="90"/>
      <c r="R44" s="90"/>
      <c r="S44" s="90"/>
      <c r="U44" s="587">
        <v>0.70833333333333304</v>
      </c>
      <c r="V44" s="591">
        <v>0.17279999999999998</v>
      </c>
      <c r="W44" s="86">
        <v>0.53678064418146787</v>
      </c>
      <c r="X44" s="591">
        <v>0.13631999999999997</v>
      </c>
      <c r="Y44" s="86">
        <v>21.150129028977293</v>
      </c>
      <c r="Z44" s="595">
        <v>13.481024570099201</v>
      </c>
      <c r="AA44" s="86">
        <v>0</v>
      </c>
      <c r="AB44" s="86">
        <v>13.481024570099201</v>
      </c>
      <c r="AC44" s="86">
        <v>0</v>
      </c>
      <c r="AD44" s="625">
        <v>0</v>
      </c>
      <c r="AE44" s="629">
        <v>0.25001279195318415</v>
      </c>
      <c r="AF44" s="627">
        <v>2000</v>
      </c>
      <c r="AG44" s="621">
        <v>293.02357727991301</v>
      </c>
      <c r="AH44" s="59"/>
    </row>
    <row r="45" spans="1:34" x14ac:dyDescent="0.35">
      <c r="A45" s="446" t="s">
        <v>1263</v>
      </c>
      <c r="B45" s="667" t="s">
        <v>787</v>
      </c>
      <c r="C45" s="704"/>
      <c r="D45" s="705"/>
      <c r="E45" s="705"/>
      <c r="F45" s="705"/>
      <c r="G45" s="705"/>
      <c r="H45" s="705"/>
      <c r="I45" s="705"/>
      <c r="J45" s="705"/>
      <c r="K45" s="705"/>
      <c r="L45" s="706"/>
      <c r="M45" s="46"/>
      <c r="N45" s="654" t="s">
        <v>1731</v>
      </c>
      <c r="O45" s="224" t="s">
        <v>787</v>
      </c>
      <c r="P45" s="106">
        <v>500</v>
      </c>
      <c r="Q45" s="90"/>
      <c r="R45" s="90"/>
      <c r="S45" s="90"/>
      <c r="U45" s="586">
        <v>0.72916666666666696</v>
      </c>
      <c r="V45" s="590">
        <v>0.17279999999999998</v>
      </c>
      <c r="W45" s="87">
        <v>0.53202935566568665</v>
      </c>
      <c r="X45" s="590">
        <v>0.13631999999999997</v>
      </c>
      <c r="Y45" s="87">
        <v>21.144869094038906</v>
      </c>
      <c r="Z45" s="594">
        <v>13.481024570099201</v>
      </c>
      <c r="AA45" s="87">
        <v>0</v>
      </c>
      <c r="AB45" s="87">
        <v>13.481024570099201</v>
      </c>
      <c r="AC45" s="87">
        <v>0</v>
      </c>
      <c r="AD45" s="624">
        <v>0</v>
      </c>
      <c r="AE45" s="630">
        <v>0.25001279204356663</v>
      </c>
      <c r="AF45" s="628">
        <v>2000</v>
      </c>
      <c r="AG45" s="620">
        <v>293.0227711999766</v>
      </c>
      <c r="AH45" s="59"/>
    </row>
    <row r="46" spans="1:34" ht="15" thickBot="1" x14ac:dyDescent="0.4">
      <c r="A46" s="438" t="s">
        <v>1668</v>
      </c>
      <c r="B46" s="576" t="s">
        <v>1236</v>
      </c>
      <c r="C46" s="698"/>
      <c r="D46" s="699"/>
      <c r="E46" s="699"/>
      <c r="F46" s="699"/>
      <c r="G46" s="699"/>
      <c r="H46" s="699"/>
      <c r="I46" s="699"/>
      <c r="J46" s="699"/>
      <c r="K46" s="699"/>
      <c r="L46" s="700"/>
      <c r="M46" s="46"/>
      <c r="N46" s="743" t="s">
        <v>1632</v>
      </c>
      <c r="O46" s="744" t="s">
        <v>787</v>
      </c>
      <c r="P46" s="745">
        <v>0</v>
      </c>
      <c r="Q46" s="90"/>
      <c r="R46" s="90"/>
      <c r="S46" s="90"/>
      <c r="U46" s="587">
        <v>0.75</v>
      </c>
      <c r="V46" s="591">
        <v>0.17279999999999998</v>
      </c>
      <c r="W46" s="86">
        <v>0.52727809328253683</v>
      </c>
      <c r="X46" s="591">
        <v>0.13631999999999997</v>
      </c>
      <c r="Y46" s="86">
        <v>21.139609187719646</v>
      </c>
      <c r="Z46" s="595">
        <v>13.481024570099201</v>
      </c>
      <c r="AA46" s="86">
        <v>0</v>
      </c>
      <c r="AB46" s="86">
        <v>13.481024570099201</v>
      </c>
      <c r="AC46" s="86">
        <v>0</v>
      </c>
      <c r="AD46" s="625">
        <v>0</v>
      </c>
      <c r="AE46" s="629">
        <v>0.25001279213395178</v>
      </c>
      <c r="AF46" s="627">
        <v>2000</v>
      </c>
      <c r="AG46" s="621">
        <v>293.02196512004014</v>
      </c>
      <c r="AH46" s="59"/>
    </row>
    <row r="47" spans="1:34" x14ac:dyDescent="0.35">
      <c r="A47" s="653" t="s">
        <v>68</v>
      </c>
      <c r="B47" s="666" t="s">
        <v>787</v>
      </c>
      <c r="C47" s="701"/>
      <c r="D47" s="702"/>
      <c r="E47" s="702"/>
      <c r="F47" s="702"/>
      <c r="G47" s="702"/>
      <c r="H47" s="702"/>
      <c r="I47" s="702"/>
      <c r="J47" s="702"/>
      <c r="K47" s="702"/>
      <c r="L47" s="703"/>
      <c r="M47" s="46"/>
      <c r="Q47" s="90"/>
      <c r="R47" s="90"/>
      <c r="S47" s="90"/>
      <c r="U47" s="586">
        <v>0.77083333333333304</v>
      </c>
      <c r="V47" s="590">
        <v>0.17279999999999998</v>
      </c>
      <c r="W47" s="87">
        <v>0.52252685703201862</v>
      </c>
      <c r="X47" s="590">
        <v>0.13631999999999997</v>
      </c>
      <c r="Y47" s="87">
        <v>21.134349310019516</v>
      </c>
      <c r="Z47" s="594">
        <v>13.481024570099201</v>
      </c>
      <c r="AA47" s="87">
        <v>2.1333333333333333</v>
      </c>
      <c r="AB47" s="87">
        <v>13.481024570099201</v>
      </c>
      <c r="AC47" s="87">
        <v>0</v>
      </c>
      <c r="AD47" s="624">
        <v>0</v>
      </c>
      <c r="AE47" s="630">
        <v>0.25001279222433698</v>
      </c>
      <c r="AF47" s="628">
        <v>2000</v>
      </c>
      <c r="AG47" s="620">
        <v>293.02115904010367</v>
      </c>
      <c r="AH47" s="59"/>
    </row>
    <row r="48" spans="1:34" x14ac:dyDescent="0.35">
      <c r="A48" s="438" t="s">
        <v>941</v>
      </c>
      <c r="B48" s="576" t="s">
        <v>787</v>
      </c>
      <c r="C48" s="698"/>
      <c r="D48" s="699"/>
      <c r="E48" s="699"/>
      <c r="F48" s="699"/>
      <c r="G48" s="699"/>
      <c r="H48" s="699"/>
      <c r="I48" s="699"/>
      <c r="J48" s="699"/>
      <c r="K48" s="699"/>
      <c r="L48" s="700"/>
      <c r="M48" s="46"/>
      <c r="Q48" s="90"/>
      <c r="R48" s="90"/>
      <c r="S48" s="90"/>
      <c r="U48" s="587">
        <v>0.79166666666666696</v>
      </c>
      <c r="V48" s="591">
        <v>0.17279999999999998</v>
      </c>
      <c r="W48" s="86">
        <v>0.51777564691413192</v>
      </c>
      <c r="X48" s="591">
        <v>0.13631999999999997</v>
      </c>
      <c r="Y48" s="86">
        <v>21.12908946093852</v>
      </c>
      <c r="Z48" s="595">
        <v>13.481024570099201</v>
      </c>
      <c r="AA48" s="86">
        <v>2.1333333333333333</v>
      </c>
      <c r="AB48" s="86">
        <v>13.481024570099201</v>
      </c>
      <c r="AC48" s="86">
        <v>0</v>
      </c>
      <c r="AD48" s="625">
        <v>0</v>
      </c>
      <c r="AE48" s="629">
        <v>0.2500127923147234</v>
      </c>
      <c r="AF48" s="627">
        <v>2000</v>
      </c>
      <c r="AG48" s="621">
        <v>293.0203529601672</v>
      </c>
      <c r="AH48" s="59"/>
    </row>
    <row r="49" spans="1:34" x14ac:dyDescent="0.35">
      <c r="A49" s="653" t="s">
        <v>942</v>
      </c>
      <c r="B49" s="666" t="s">
        <v>787</v>
      </c>
      <c r="C49" s="701"/>
      <c r="D49" s="702"/>
      <c r="E49" s="702"/>
      <c r="F49" s="702"/>
      <c r="G49" s="702"/>
      <c r="H49" s="702"/>
      <c r="I49" s="702"/>
      <c r="J49" s="702"/>
      <c r="K49" s="702"/>
      <c r="L49" s="703"/>
      <c r="M49" s="46"/>
      <c r="Q49" s="90"/>
      <c r="R49" s="90"/>
      <c r="S49" s="90"/>
      <c r="U49" s="586">
        <v>0.8125</v>
      </c>
      <c r="V49" s="590">
        <v>0.10920000000000001</v>
      </c>
      <c r="W49" s="87">
        <v>0.51302446292887705</v>
      </c>
      <c r="X49" s="590">
        <v>8.6399999999999991E-2</v>
      </c>
      <c r="Y49" s="87">
        <v>21.123829640476661</v>
      </c>
      <c r="Z49" s="594">
        <v>13.349744570099201</v>
      </c>
      <c r="AA49" s="87">
        <v>0</v>
      </c>
      <c r="AB49" s="87">
        <v>13.349744570099201</v>
      </c>
      <c r="AC49" s="87">
        <v>0</v>
      </c>
      <c r="AD49" s="624">
        <v>0</v>
      </c>
      <c r="AE49" s="630">
        <v>0.2500127924051096</v>
      </c>
      <c r="AF49" s="628">
        <v>1268</v>
      </c>
      <c r="AG49" s="620">
        <v>293.01954688023079</v>
      </c>
      <c r="AH49" s="59"/>
    </row>
    <row r="50" spans="1:34" x14ac:dyDescent="0.35">
      <c r="A50" s="438" t="s">
        <v>128</v>
      </c>
      <c r="B50" s="576" t="s">
        <v>787</v>
      </c>
      <c r="C50" s="698"/>
      <c r="D50" s="699"/>
      <c r="E50" s="699"/>
      <c r="F50" s="699"/>
      <c r="G50" s="699"/>
      <c r="H50" s="699"/>
      <c r="I50" s="699"/>
      <c r="J50" s="699"/>
      <c r="K50" s="699"/>
      <c r="L50" s="700"/>
      <c r="M50" s="46"/>
      <c r="Q50" s="90"/>
      <c r="R50" s="90"/>
      <c r="S50" s="90"/>
      <c r="U50" s="587">
        <v>0.83333333333333304</v>
      </c>
      <c r="V50" s="591">
        <v>0.10920000000000001</v>
      </c>
      <c r="W50" s="86">
        <v>0.49418600550923403</v>
      </c>
      <c r="X50" s="591">
        <v>8.6399999999999991E-2</v>
      </c>
      <c r="Y50" s="86">
        <v>21.103190232754589</v>
      </c>
      <c r="Z50" s="595">
        <v>13.349744570099201</v>
      </c>
      <c r="AA50" s="86">
        <v>0</v>
      </c>
      <c r="AB50" s="86">
        <v>13.349744570099201</v>
      </c>
      <c r="AC50" s="86">
        <v>0</v>
      </c>
      <c r="AD50" s="625">
        <v>0</v>
      </c>
      <c r="AE50" s="629">
        <v>0.25005170610522803</v>
      </c>
      <c r="AF50" s="627">
        <v>1268</v>
      </c>
      <c r="AG50" s="621">
        <v>293.01628906685886</v>
      </c>
      <c r="AH50" s="59"/>
    </row>
    <row r="51" spans="1:34" x14ac:dyDescent="0.35">
      <c r="A51" s="653" t="s">
        <v>1562</v>
      </c>
      <c r="B51" s="666" t="s">
        <v>787</v>
      </c>
      <c r="C51" s="701"/>
      <c r="D51" s="702"/>
      <c r="E51" s="702"/>
      <c r="F51" s="702"/>
      <c r="G51" s="702"/>
      <c r="H51" s="702"/>
      <c r="I51" s="702"/>
      <c r="J51" s="702"/>
      <c r="K51" s="702"/>
      <c r="L51" s="703"/>
      <c r="M51" s="46"/>
      <c r="N51" s="90"/>
      <c r="O51" s="90"/>
      <c r="P51" s="90"/>
      <c r="Q51" s="90"/>
      <c r="R51" s="90"/>
      <c r="S51" s="90"/>
      <c r="U51" s="586">
        <v>0.85416666666666696</v>
      </c>
      <c r="V51" s="590">
        <v>0.10920000000000001</v>
      </c>
      <c r="W51" s="87">
        <v>0.47534796686218989</v>
      </c>
      <c r="X51" s="590">
        <v>8.6399999999999991E-2</v>
      </c>
      <c r="Y51" s="87">
        <v>21.082551278756238</v>
      </c>
      <c r="Z51" s="594">
        <v>13.349744570099201</v>
      </c>
      <c r="AA51" s="87">
        <v>0</v>
      </c>
      <c r="AB51" s="87">
        <v>13.349744570099201</v>
      </c>
      <c r="AC51" s="87">
        <v>0</v>
      </c>
      <c r="AD51" s="624">
        <v>0</v>
      </c>
      <c r="AE51" s="630">
        <v>0.25005170758193346</v>
      </c>
      <c r="AF51" s="628">
        <v>1268</v>
      </c>
      <c r="AG51" s="620">
        <v>293.01303125348693</v>
      </c>
      <c r="AH51" s="59"/>
    </row>
    <row r="52" spans="1:34" x14ac:dyDescent="0.35">
      <c r="A52" s="653" t="s">
        <v>1707</v>
      </c>
      <c r="B52" s="666" t="s">
        <v>787</v>
      </c>
      <c r="C52" s="701"/>
      <c r="D52" s="702"/>
      <c r="E52" s="702"/>
      <c r="F52" s="702"/>
      <c r="G52" s="702"/>
      <c r="H52" s="702"/>
      <c r="I52" s="702"/>
      <c r="J52" s="702"/>
      <c r="K52" s="702"/>
      <c r="L52" s="703"/>
      <c r="M52" s="46"/>
      <c r="N52" s="90"/>
      <c r="O52" s="90"/>
      <c r="P52" s="90"/>
      <c r="Q52" s="90"/>
      <c r="R52" s="90"/>
      <c r="S52" s="90"/>
      <c r="U52" s="587">
        <v>0.875</v>
      </c>
      <c r="V52" s="591">
        <v>0.10920000000000001</v>
      </c>
      <c r="W52" s="86">
        <v>0.45651034698774451</v>
      </c>
      <c r="X52" s="591">
        <v>8.6399999999999991E-2</v>
      </c>
      <c r="Y52" s="86">
        <v>21.061912778481609</v>
      </c>
      <c r="Z52" s="595">
        <v>13.349744570099201</v>
      </c>
      <c r="AA52" s="86">
        <v>0</v>
      </c>
      <c r="AB52" s="86">
        <v>13.349744570099201</v>
      </c>
      <c r="AC52" s="86">
        <v>0</v>
      </c>
      <c r="AD52" s="625">
        <v>0</v>
      </c>
      <c r="AE52" s="629">
        <v>0.25005170905870211</v>
      </c>
      <c r="AF52" s="627">
        <v>1268</v>
      </c>
      <c r="AG52" s="621">
        <v>293.009773440115</v>
      </c>
      <c r="AH52" s="59"/>
    </row>
    <row r="53" spans="1:34" x14ac:dyDescent="0.35">
      <c r="A53" s="653" t="s">
        <v>1730</v>
      </c>
      <c r="B53" s="666" t="s">
        <v>787</v>
      </c>
      <c r="C53" s="701"/>
      <c r="D53" s="702"/>
      <c r="E53" s="702"/>
      <c r="F53" s="702"/>
      <c r="G53" s="702"/>
      <c r="H53" s="702"/>
      <c r="I53" s="702"/>
      <c r="J53" s="702"/>
      <c r="K53" s="702"/>
      <c r="L53" s="703"/>
      <c r="M53" s="46"/>
      <c r="N53" s="90"/>
      <c r="O53" s="90"/>
      <c r="P53" s="90"/>
      <c r="Q53" s="90"/>
      <c r="R53" s="90"/>
      <c r="S53" s="90"/>
      <c r="U53" s="587">
        <v>0.875</v>
      </c>
      <c r="V53" s="591">
        <v>0.10920000000000001</v>
      </c>
      <c r="W53" s="86">
        <v>0.43767314588589784</v>
      </c>
      <c r="X53" s="591">
        <v>8.6399999999999991E-2</v>
      </c>
      <c r="Y53" s="86">
        <v>21.041274731930699</v>
      </c>
      <c r="Z53" s="595">
        <v>13.349744570099201</v>
      </c>
      <c r="AA53" s="86">
        <v>0</v>
      </c>
      <c r="AB53" s="86">
        <v>13.349744570099201</v>
      </c>
      <c r="AC53" s="86">
        <v>0</v>
      </c>
      <c r="AD53" s="625">
        <v>0</v>
      </c>
      <c r="AE53" s="629">
        <v>0.25005171053553393</v>
      </c>
      <c r="AF53" s="627">
        <v>1268</v>
      </c>
      <c r="AG53" s="621">
        <v>293.00651562674307</v>
      </c>
      <c r="AH53" s="59"/>
    </row>
    <row r="54" spans="1:34" x14ac:dyDescent="0.35">
      <c r="A54" s="438" t="s">
        <v>1199</v>
      </c>
      <c r="B54" s="576" t="s">
        <v>787</v>
      </c>
      <c r="C54" s="698"/>
      <c r="D54" s="699"/>
      <c r="E54" s="699"/>
      <c r="F54" s="699"/>
      <c r="G54" s="699"/>
      <c r="H54" s="699"/>
      <c r="I54" s="699"/>
      <c r="J54" s="699"/>
      <c r="K54" s="699"/>
      <c r="L54" s="700"/>
      <c r="M54" s="46"/>
      <c r="N54" s="90"/>
      <c r="O54" s="90"/>
      <c r="P54" s="90"/>
      <c r="Q54" s="90"/>
      <c r="R54" s="419"/>
      <c r="S54" s="90"/>
      <c r="U54" s="586">
        <v>0.89583333333333304</v>
      </c>
      <c r="V54" s="590">
        <v>0.10920000000000001</v>
      </c>
      <c r="W54" s="87">
        <v>0.41883636355664999</v>
      </c>
      <c r="X54" s="590">
        <v>8.6399999999999991E-2</v>
      </c>
      <c r="Y54" s="87">
        <v>21.02063713910351</v>
      </c>
      <c r="Z54" s="594">
        <v>13.349744570099201</v>
      </c>
      <c r="AA54" s="87">
        <v>0</v>
      </c>
      <c r="AB54" s="87">
        <v>13.349744570099201</v>
      </c>
      <c r="AC54" s="87">
        <v>0</v>
      </c>
      <c r="AD54" s="624">
        <v>0</v>
      </c>
      <c r="AE54" s="630">
        <v>0.25005171201242915</v>
      </c>
      <c r="AF54" s="628">
        <v>1268</v>
      </c>
      <c r="AG54" s="620">
        <v>293.00325781337114</v>
      </c>
      <c r="AH54" s="59"/>
    </row>
    <row r="55" spans="1:34" x14ac:dyDescent="0.35">
      <c r="A55" s="653" t="s">
        <v>1626</v>
      </c>
      <c r="B55" s="666" t="s">
        <v>787</v>
      </c>
      <c r="C55" s="701"/>
      <c r="D55" s="702"/>
      <c r="E55" s="702"/>
      <c r="F55" s="702"/>
      <c r="G55" s="702"/>
      <c r="H55" s="702"/>
      <c r="I55" s="702"/>
      <c r="J55" s="702"/>
      <c r="K55" s="702"/>
      <c r="L55" s="703"/>
      <c r="M55" s="46"/>
      <c r="N55" s="90"/>
      <c r="O55" s="90"/>
      <c r="P55" s="90"/>
      <c r="Q55" s="90"/>
      <c r="R55" s="419"/>
      <c r="S55" s="90"/>
      <c r="U55" s="587">
        <v>0.91666666666666696</v>
      </c>
      <c r="V55" s="591">
        <v>0.21840000000000001</v>
      </c>
      <c r="W55" s="86">
        <v>0.55070081282766148</v>
      </c>
      <c r="X55" s="591">
        <v>0.17280000000000001</v>
      </c>
      <c r="Y55" s="86">
        <v>21.165039820818979</v>
      </c>
      <c r="Z55" s="595">
        <v>0.31040000000000001</v>
      </c>
      <c r="AA55" s="86">
        <v>0</v>
      </c>
      <c r="AB55" s="86">
        <v>0.31040000000000001</v>
      </c>
      <c r="AC55" s="86">
        <v>0</v>
      </c>
      <c r="AD55" s="625">
        <v>0</v>
      </c>
      <c r="AE55" s="629">
        <v>0.25002173927983778</v>
      </c>
      <c r="AF55" s="627">
        <v>2536</v>
      </c>
      <c r="AG55" s="621">
        <v>293.02509342472484</v>
      </c>
      <c r="AH55" s="59"/>
    </row>
    <row r="56" spans="1:34" ht="15" thickBot="1" x14ac:dyDescent="0.4">
      <c r="A56" s="640" t="s">
        <v>1215</v>
      </c>
      <c r="B56" s="657" t="s">
        <v>787</v>
      </c>
      <c r="C56" s="658"/>
      <c r="D56" s="439"/>
      <c r="E56" s="439"/>
      <c r="F56" s="439"/>
      <c r="G56" s="439"/>
      <c r="H56" s="439"/>
      <c r="I56" s="439"/>
      <c r="J56" s="439"/>
      <c r="K56" s="439"/>
      <c r="L56" s="440"/>
      <c r="M56" s="46"/>
      <c r="N56" s="90"/>
      <c r="O56" s="90"/>
      <c r="P56" s="90"/>
      <c r="Q56" s="90"/>
      <c r="R56" s="419"/>
      <c r="S56" s="90"/>
      <c r="U56" s="586">
        <v>0.9375</v>
      </c>
      <c r="V56" s="590">
        <v>0.21840000000000001</v>
      </c>
      <c r="W56" s="87">
        <v>0.51302319041248823</v>
      </c>
      <c r="X56" s="590">
        <v>0.17280000000000001</v>
      </c>
      <c r="Y56" s="87">
        <v>21.123777244496775</v>
      </c>
      <c r="Z56" s="594">
        <v>0.31040000000000001</v>
      </c>
      <c r="AA56" s="87">
        <v>0</v>
      </c>
      <c r="AB56" s="87">
        <v>0.31040000000000001</v>
      </c>
      <c r="AC56" s="87">
        <v>0</v>
      </c>
      <c r="AD56" s="624">
        <v>0</v>
      </c>
      <c r="AE56" s="630">
        <v>0.25009957303896496</v>
      </c>
      <c r="AF56" s="628">
        <v>2536</v>
      </c>
      <c r="AG56" s="620">
        <v>293.01882006854362</v>
      </c>
      <c r="AH56" s="59"/>
    </row>
    <row r="57" spans="1:34" x14ac:dyDescent="0.35">
      <c r="A57" s="441" t="s">
        <v>778</v>
      </c>
      <c r="B57" s="442"/>
      <c r="C57" s="443"/>
      <c r="D57" s="444"/>
      <c r="E57" s="444"/>
      <c r="F57" s="444"/>
      <c r="G57" s="444"/>
      <c r="H57" s="444"/>
      <c r="I57" s="444"/>
      <c r="J57" s="444"/>
      <c r="K57" s="444"/>
      <c r="L57" s="445"/>
      <c r="M57" s="46"/>
      <c r="O57" s="90"/>
      <c r="P57" s="90"/>
      <c r="Q57" s="90"/>
      <c r="R57" s="419"/>
      <c r="S57" s="90"/>
      <c r="U57" s="587">
        <v>0.95833333333333304</v>
      </c>
      <c r="V57" s="591">
        <v>0.21840000000000001</v>
      </c>
      <c r="W57" s="86">
        <v>0.47534718080282057</v>
      </c>
      <c r="X57" s="591">
        <v>0.17280000000000001</v>
      </c>
      <c r="Y57" s="86">
        <v>21.082516415586213</v>
      </c>
      <c r="Z57" s="595">
        <v>0.31040000000000001</v>
      </c>
      <c r="AA57" s="86">
        <v>0</v>
      </c>
      <c r="AB57" s="86">
        <v>0.31040000000000001</v>
      </c>
      <c r="AC57" s="86">
        <v>0</v>
      </c>
      <c r="AD57" s="625">
        <v>0</v>
      </c>
      <c r="AE57" s="629">
        <v>0.25009957851555131</v>
      </c>
      <c r="AF57" s="627">
        <v>2536</v>
      </c>
      <c r="AG57" s="621">
        <v>293.01254671236245</v>
      </c>
      <c r="AH57" s="59"/>
    </row>
    <row r="58" spans="1:34" ht="15" thickBot="1" x14ac:dyDescent="0.4">
      <c r="A58" s="564" t="s">
        <v>776</v>
      </c>
      <c r="B58" s="563"/>
      <c r="C58" s="565"/>
      <c r="D58" s="619"/>
      <c r="E58" s="619"/>
      <c r="F58" s="619"/>
      <c r="G58" s="619"/>
      <c r="H58" s="619"/>
      <c r="I58" s="619"/>
      <c r="J58" s="619"/>
      <c r="K58" s="619"/>
      <c r="L58" s="697"/>
      <c r="M58" s="46"/>
      <c r="N58" s="90"/>
      <c r="O58" s="90"/>
      <c r="P58" s="90"/>
      <c r="Q58" s="90"/>
      <c r="R58" s="419"/>
      <c r="S58" s="90"/>
      <c r="U58" s="588">
        <v>0.97916666666666696</v>
      </c>
      <c r="V58" s="592">
        <v>0.21840000000000001</v>
      </c>
      <c r="W58" s="584">
        <v>0.43767278399865817</v>
      </c>
      <c r="X58" s="592">
        <v>0.17280000000000001</v>
      </c>
      <c r="Y58" s="584">
        <v>21.041257334087287</v>
      </c>
      <c r="Z58" s="596">
        <v>0.31040000000000001</v>
      </c>
      <c r="AA58" s="584">
        <v>0</v>
      </c>
      <c r="AB58" s="584">
        <v>0.31040000000000001</v>
      </c>
      <c r="AC58" s="584">
        <v>0</v>
      </c>
      <c r="AD58" s="626">
        <v>0</v>
      </c>
      <c r="AE58" s="631">
        <v>0.25009958399259152</v>
      </c>
      <c r="AF58" s="637">
        <v>2536</v>
      </c>
      <c r="AG58" s="622">
        <v>293.00627335618123</v>
      </c>
      <c r="AH58" s="59"/>
    </row>
    <row r="59" spans="1:34" x14ac:dyDescent="0.35">
      <c r="A59" s="312" t="s">
        <v>1632</v>
      </c>
      <c r="B59" s="575" t="s">
        <v>1236</v>
      </c>
      <c r="C59" s="603"/>
      <c r="D59" s="604"/>
      <c r="E59" s="604"/>
      <c r="F59" s="604"/>
      <c r="G59" s="604"/>
      <c r="H59" s="604"/>
      <c r="I59" s="604"/>
      <c r="J59" s="604"/>
      <c r="K59" s="604"/>
      <c r="L59" s="605"/>
      <c r="M59" s="46"/>
      <c r="N59" s="90"/>
      <c r="O59" s="90"/>
      <c r="P59" s="90"/>
      <c r="Q59" s="90"/>
      <c r="R59" s="419"/>
      <c r="S59" s="90"/>
      <c r="AH59" s="59"/>
    </row>
    <row r="60" spans="1:34" x14ac:dyDescent="0.35">
      <c r="A60" s="109" t="s">
        <v>1642</v>
      </c>
      <c r="B60" s="666" t="s">
        <v>1236</v>
      </c>
      <c r="C60" s="525"/>
      <c r="D60" s="120"/>
      <c r="E60" s="120"/>
      <c r="F60" s="120"/>
      <c r="G60" s="120"/>
      <c r="H60" s="120"/>
      <c r="I60" s="120"/>
      <c r="J60" s="120"/>
      <c r="K60" s="120"/>
      <c r="L60" s="526"/>
      <c r="M60" s="46"/>
      <c r="N60" s="90"/>
      <c r="O60" s="90"/>
      <c r="P60" s="90"/>
      <c r="Q60" s="90"/>
      <c r="R60" s="419"/>
      <c r="S60" s="90"/>
      <c r="AH60" s="59"/>
    </row>
    <row r="61" spans="1:34" x14ac:dyDescent="0.35">
      <c r="A61" s="108" t="s">
        <v>1643</v>
      </c>
      <c r="B61" s="576" t="s">
        <v>1236</v>
      </c>
      <c r="C61" s="602"/>
      <c r="D61" s="123"/>
      <c r="E61" s="123"/>
      <c r="F61" s="123"/>
      <c r="G61" s="123"/>
      <c r="H61" s="123"/>
      <c r="I61" s="123"/>
      <c r="J61" s="123"/>
      <c r="K61" s="123"/>
      <c r="L61" s="606"/>
      <c r="M61" s="46"/>
      <c r="N61" s="90"/>
      <c r="O61" s="90"/>
      <c r="P61" s="90"/>
      <c r="Q61" s="90"/>
      <c r="R61" s="419"/>
      <c r="S61" s="90"/>
      <c r="AH61" s="59"/>
    </row>
    <row r="62" spans="1:34" x14ac:dyDescent="0.35">
      <c r="A62" s="109" t="s">
        <v>1644</v>
      </c>
      <c r="B62" s="666" t="s">
        <v>1236</v>
      </c>
      <c r="C62" s="525"/>
      <c r="D62" s="120"/>
      <c r="E62" s="120"/>
      <c r="F62" s="120"/>
      <c r="G62" s="120"/>
      <c r="H62" s="120"/>
      <c r="I62" s="120"/>
      <c r="J62" s="120"/>
      <c r="K62" s="120"/>
      <c r="L62" s="526"/>
      <c r="M62" s="46"/>
      <c r="N62" s="90"/>
      <c r="O62" s="90"/>
      <c r="P62" s="90"/>
      <c r="Q62" s="90"/>
      <c r="R62" s="419"/>
      <c r="S62" s="90"/>
      <c r="AH62" s="59"/>
    </row>
    <row r="63" spans="1:34" x14ac:dyDescent="0.35">
      <c r="A63" s="108" t="s">
        <v>1645</v>
      </c>
      <c r="B63" s="576" t="s">
        <v>1236</v>
      </c>
      <c r="C63" s="602"/>
      <c r="D63" s="123"/>
      <c r="E63" s="123"/>
      <c r="F63" s="123"/>
      <c r="G63" s="123"/>
      <c r="H63" s="123"/>
      <c r="I63" s="123"/>
      <c r="J63" s="123"/>
      <c r="K63" s="123"/>
      <c r="L63" s="606"/>
      <c r="M63" s="46"/>
      <c r="N63" s="90"/>
      <c r="O63" s="90"/>
      <c r="P63" s="90"/>
      <c r="Q63" s="90"/>
      <c r="R63" s="419"/>
      <c r="S63" s="90"/>
      <c r="AH63" s="59"/>
    </row>
    <row r="64" spans="1:34" x14ac:dyDescent="0.35">
      <c r="A64" s="109" t="s">
        <v>1646</v>
      </c>
      <c r="B64" s="666" t="s">
        <v>1236</v>
      </c>
      <c r="C64" s="525"/>
      <c r="D64" s="120"/>
      <c r="E64" s="120"/>
      <c r="F64" s="120"/>
      <c r="G64" s="120"/>
      <c r="H64" s="120"/>
      <c r="I64" s="120"/>
      <c r="J64" s="120"/>
      <c r="K64" s="120"/>
      <c r="L64" s="526"/>
      <c r="R64" s="646"/>
      <c r="U64" s="46"/>
      <c r="V64" s="90"/>
      <c r="W64" s="90"/>
      <c r="X64" s="90"/>
      <c r="Y64" s="90"/>
    </row>
    <row r="65" spans="1:25" x14ac:dyDescent="0.35">
      <c r="A65" s="108" t="s">
        <v>33</v>
      </c>
      <c r="B65" s="576" t="s">
        <v>1236</v>
      </c>
      <c r="C65" s="602"/>
      <c r="D65" s="123"/>
      <c r="E65" s="123"/>
      <c r="F65" s="123"/>
      <c r="G65" s="123"/>
      <c r="H65" s="123"/>
      <c r="I65" s="123"/>
      <c r="J65" s="123"/>
      <c r="K65" s="123"/>
      <c r="L65" s="606"/>
      <c r="R65" s="646"/>
      <c r="U65" s="46"/>
      <c r="V65" s="90"/>
      <c r="W65" s="90"/>
      <c r="X65" s="90"/>
      <c r="Y65" s="90"/>
    </row>
    <row r="66" spans="1:25" x14ac:dyDescent="0.35">
      <c r="A66" s="109" t="s">
        <v>1627</v>
      </c>
      <c r="B66" s="666" t="s">
        <v>1236</v>
      </c>
      <c r="C66" s="525"/>
      <c r="D66" s="120"/>
      <c r="E66" s="120"/>
      <c r="F66" s="120"/>
      <c r="G66" s="120"/>
      <c r="H66" s="120"/>
      <c r="I66" s="120"/>
      <c r="J66" s="120"/>
      <c r="K66" s="120"/>
      <c r="L66" s="526"/>
      <c r="R66" s="222"/>
      <c r="U66" s="46"/>
      <c r="V66" s="90"/>
      <c r="W66" s="90"/>
      <c r="X66" s="90"/>
      <c r="Y66" s="90"/>
    </row>
    <row r="67" spans="1:25" x14ac:dyDescent="0.35">
      <c r="A67" s="108" t="s">
        <v>1233</v>
      </c>
      <c r="B67" s="576" t="s">
        <v>1236</v>
      </c>
      <c r="C67" s="602"/>
      <c r="D67" s="123"/>
      <c r="E67" s="123"/>
      <c r="F67" s="123"/>
      <c r="G67" s="123"/>
      <c r="H67" s="123"/>
      <c r="I67" s="123"/>
      <c r="J67" s="123"/>
      <c r="K67" s="123"/>
      <c r="L67" s="606"/>
      <c r="U67" s="46"/>
      <c r="V67" s="90"/>
      <c r="W67" s="90"/>
      <c r="X67" s="90"/>
      <c r="Y67" s="90"/>
    </row>
    <row r="68" spans="1:25" x14ac:dyDescent="0.35">
      <c r="A68" s="109" t="s">
        <v>1234</v>
      </c>
      <c r="B68" s="666" t="s">
        <v>1236</v>
      </c>
      <c r="C68" s="525"/>
      <c r="D68" s="120"/>
      <c r="E68" s="120"/>
      <c r="F68" s="120"/>
      <c r="G68" s="120"/>
      <c r="H68" s="120"/>
      <c r="I68" s="120"/>
      <c r="J68" s="120"/>
      <c r="K68" s="120"/>
      <c r="L68" s="526"/>
      <c r="U68" s="46"/>
      <c r="V68" s="90"/>
      <c r="W68" s="90"/>
      <c r="X68" s="90"/>
      <c r="Y68" s="90"/>
    </row>
    <row r="69" spans="1:25" x14ac:dyDescent="0.35">
      <c r="A69" s="566" t="s">
        <v>1631</v>
      </c>
      <c r="B69" s="576" t="s">
        <v>1236</v>
      </c>
      <c r="C69" s="602"/>
      <c r="D69" s="123"/>
      <c r="E69" s="123"/>
      <c r="F69" s="123"/>
      <c r="G69" s="123"/>
      <c r="H69" s="123"/>
      <c r="I69" s="123"/>
      <c r="J69" s="123"/>
      <c r="K69" s="123"/>
      <c r="L69" s="606"/>
      <c r="U69" s="46"/>
      <c r="V69" s="90"/>
      <c r="W69" s="90"/>
      <c r="X69" s="90"/>
      <c r="Y69" s="90"/>
    </row>
    <row r="70" spans="1:25" x14ac:dyDescent="0.35">
      <c r="A70" s="109" t="s">
        <v>1217</v>
      </c>
      <c r="B70" s="666" t="s">
        <v>1236</v>
      </c>
      <c r="C70" s="525"/>
      <c r="D70" s="120"/>
      <c r="E70" s="120"/>
      <c r="F70" s="120"/>
      <c r="G70" s="120"/>
      <c r="H70" s="120"/>
      <c r="I70" s="120"/>
      <c r="J70" s="120"/>
      <c r="K70" s="120"/>
      <c r="L70" s="526"/>
      <c r="U70" s="46"/>
      <c r="V70" s="90"/>
      <c r="W70" s="90"/>
      <c r="X70" s="90"/>
      <c r="Y70" s="90"/>
    </row>
    <row r="71" spans="1:25" x14ac:dyDescent="0.35">
      <c r="A71" s="566" t="s">
        <v>1716</v>
      </c>
      <c r="B71" s="576" t="s">
        <v>1236</v>
      </c>
      <c r="C71" s="602"/>
      <c r="D71" s="123"/>
      <c r="E71" s="123"/>
      <c r="F71" s="123"/>
      <c r="G71" s="123"/>
      <c r="H71" s="123"/>
      <c r="I71" s="123"/>
      <c r="J71" s="123"/>
      <c r="K71" s="123"/>
      <c r="L71" s="606"/>
      <c r="U71" s="46"/>
      <c r="V71" s="90"/>
      <c r="W71" s="90"/>
      <c r="X71" s="90"/>
      <c r="Y71" s="90"/>
    </row>
    <row r="72" spans="1:25" x14ac:dyDescent="0.35">
      <c r="A72" s="109" t="s">
        <v>1717</v>
      </c>
      <c r="B72" s="666" t="s">
        <v>1236</v>
      </c>
      <c r="C72" s="738"/>
      <c r="D72" s="739"/>
      <c r="E72" s="739"/>
      <c r="F72" s="739"/>
      <c r="G72" s="739"/>
      <c r="H72" s="739"/>
      <c r="I72" s="739"/>
      <c r="J72" s="739"/>
      <c r="K72" s="739"/>
      <c r="L72" s="740"/>
      <c r="U72" s="46"/>
      <c r="V72" s="90"/>
      <c r="W72" s="90"/>
      <c r="X72" s="90"/>
      <c r="Y72" s="90"/>
    </row>
    <row r="73" spans="1:25" x14ac:dyDescent="0.35">
      <c r="A73" s="654" t="s">
        <v>1731</v>
      </c>
      <c r="B73" s="666" t="s">
        <v>1236</v>
      </c>
      <c r="C73" s="738"/>
      <c r="D73" s="739"/>
      <c r="E73" s="739"/>
      <c r="F73" s="739"/>
      <c r="G73" s="739"/>
      <c r="H73" s="739"/>
      <c r="I73" s="739"/>
      <c r="J73" s="739"/>
      <c r="K73" s="739"/>
      <c r="L73" s="740"/>
      <c r="U73" s="46"/>
      <c r="V73" s="90"/>
      <c r="W73" s="90"/>
      <c r="X73" s="90"/>
      <c r="Y73" s="90"/>
    </row>
    <row r="74" spans="1:25" x14ac:dyDescent="0.35">
      <c r="A74" s="108" t="s">
        <v>1708</v>
      </c>
      <c r="B74" s="576" t="s">
        <v>1236</v>
      </c>
      <c r="C74" s="641"/>
      <c r="D74" s="642"/>
      <c r="E74" s="642"/>
      <c r="F74" s="642"/>
      <c r="G74" s="642"/>
      <c r="H74" s="642"/>
      <c r="I74" s="642"/>
      <c r="J74" s="642"/>
      <c r="K74" s="642"/>
      <c r="L74" s="643"/>
      <c r="U74" s="46"/>
      <c r="V74" s="90"/>
      <c r="W74" s="90"/>
      <c r="X74" s="90"/>
      <c r="Y74" s="90"/>
    </row>
    <row r="75" spans="1:25" ht="15" thickBot="1" x14ac:dyDescent="0.4">
      <c r="A75" s="664" t="s">
        <v>1628</v>
      </c>
      <c r="B75" s="665" t="s">
        <v>1236</v>
      </c>
      <c r="C75" s="527">
        <f>SUM(C59:C74)</f>
        <v>0</v>
      </c>
      <c r="D75" s="528">
        <f t="shared" ref="D75:L75" si="0">SUM(D59:D74)</f>
        <v>0</v>
      </c>
      <c r="E75" s="528">
        <f t="shared" ref="E75" si="1">SUM(E59:E74)</f>
        <v>0</v>
      </c>
      <c r="F75" s="528">
        <f t="shared" ref="F75:G75" si="2">SUM(F59:F74)</f>
        <v>0</v>
      </c>
      <c r="G75" s="528">
        <f t="shared" si="2"/>
        <v>0</v>
      </c>
      <c r="H75" s="528">
        <f t="shared" si="0"/>
        <v>0</v>
      </c>
      <c r="I75" s="528">
        <f t="shared" si="0"/>
        <v>0</v>
      </c>
      <c r="J75" s="528">
        <f t="shared" si="0"/>
        <v>0</v>
      </c>
      <c r="K75" s="528">
        <f t="shared" si="0"/>
        <v>0</v>
      </c>
      <c r="L75" s="529">
        <f t="shared" si="0"/>
        <v>0</v>
      </c>
      <c r="U75" s="46"/>
      <c r="V75" s="90"/>
      <c r="W75" s="90"/>
      <c r="X75" s="90"/>
      <c r="Y75" s="90"/>
    </row>
    <row r="76" spans="1:25" ht="15" thickBot="1" x14ac:dyDescent="0.4">
      <c r="A76" s="638" t="s">
        <v>1628</v>
      </c>
      <c r="B76" s="639" t="s">
        <v>787</v>
      </c>
      <c r="C76" s="659">
        <f t="shared" ref="C76:L76" si="3">Mission_Duration*C75</f>
        <v>0</v>
      </c>
      <c r="D76" s="660">
        <f t="shared" si="3"/>
        <v>0</v>
      </c>
      <c r="E76" s="660">
        <f t="shared" si="3"/>
        <v>0</v>
      </c>
      <c r="F76" s="660">
        <f t="shared" si="3"/>
        <v>0</v>
      </c>
      <c r="G76" s="660">
        <f t="shared" si="3"/>
        <v>0</v>
      </c>
      <c r="H76" s="660">
        <f t="shared" si="3"/>
        <v>0</v>
      </c>
      <c r="I76" s="660">
        <f t="shared" si="3"/>
        <v>0</v>
      </c>
      <c r="J76" s="660">
        <f t="shared" si="3"/>
        <v>0</v>
      </c>
      <c r="K76" s="660">
        <f t="shared" si="3"/>
        <v>0</v>
      </c>
      <c r="L76" s="661">
        <f t="shared" si="3"/>
        <v>0</v>
      </c>
      <c r="U76" s="46"/>
      <c r="V76" s="90"/>
      <c r="W76" s="90"/>
      <c r="X76" s="90"/>
      <c r="Y76" s="90"/>
    </row>
    <row r="77" spans="1:25" x14ac:dyDescent="0.35">
      <c r="A77" s="821" t="s">
        <v>1666</v>
      </c>
      <c r="B77" s="522" t="s">
        <v>1552</v>
      </c>
      <c r="C77" s="707"/>
      <c r="D77" s="708"/>
      <c r="E77" s="708"/>
      <c r="F77" s="708"/>
      <c r="G77" s="708"/>
      <c r="H77" s="708"/>
      <c r="I77" s="708"/>
      <c r="J77" s="708"/>
      <c r="K77" s="708"/>
      <c r="L77" s="709"/>
      <c r="N77" s="824" t="s">
        <v>1659</v>
      </c>
      <c r="O77" s="824"/>
      <c r="P77" s="824"/>
      <c r="Q77" s="824"/>
      <c r="U77" s="46"/>
      <c r="V77" s="90"/>
      <c r="W77" s="90"/>
      <c r="X77" s="90"/>
      <c r="Y77" s="90"/>
    </row>
    <row r="78" spans="1:25" ht="15" customHeight="1" x14ac:dyDescent="0.35">
      <c r="A78" s="822"/>
      <c r="B78" s="107" t="s">
        <v>1553</v>
      </c>
      <c r="C78" s="710"/>
      <c r="D78" s="711"/>
      <c r="E78" s="711"/>
      <c r="F78" s="711"/>
      <c r="G78" s="711"/>
      <c r="H78" s="711"/>
      <c r="I78" s="711"/>
      <c r="J78" s="711"/>
      <c r="K78" s="711"/>
      <c r="L78" s="712"/>
      <c r="N78" s="824"/>
      <c r="O78" s="824"/>
      <c r="P78" s="824"/>
      <c r="Q78" s="824"/>
      <c r="U78" s="46"/>
      <c r="V78" s="90"/>
      <c r="W78" s="90"/>
      <c r="X78" s="90"/>
      <c r="Y78" s="90"/>
    </row>
    <row r="79" spans="1:25" x14ac:dyDescent="0.35">
      <c r="A79" s="822"/>
      <c r="B79" s="437" t="s">
        <v>1554</v>
      </c>
      <c r="C79" s="713"/>
      <c r="D79" s="714"/>
      <c r="E79" s="714"/>
      <c r="F79" s="714"/>
      <c r="G79" s="714"/>
      <c r="H79" s="714"/>
      <c r="I79" s="714"/>
      <c r="J79" s="714"/>
      <c r="K79" s="714"/>
      <c r="L79" s="715"/>
      <c r="N79" s="824" t="s">
        <v>1660</v>
      </c>
      <c r="O79" s="824"/>
      <c r="P79" s="824"/>
      <c r="Q79" s="824"/>
      <c r="U79" s="46"/>
      <c r="V79" s="90"/>
      <c r="W79" s="90"/>
      <c r="X79" s="90"/>
      <c r="Y79" s="90"/>
    </row>
    <row r="80" spans="1:25" x14ac:dyDescent="0.35">
      <c r="A80" s="822"/>
      <c r="B80" s="107" t="s">
        <v>1555</v>
      </c>
      <c r="C80" s="710"/>
      <c r="D80" s="711"/>
      <c r="E80" s="711"/>
      <c r="F80" s="711"/>
      <c r="G80" s="711"/>
      <c r="H80" s="711"/>
      <c r="I80" s="711"/>
      <c r="J80" s="711"/>
      <c r="K80" s="711"/>
      <c r="L80" s="712"/>
      <c r="N80" s="824"/>
      <c r="O80" s="824"/>
      <c r="P80" s="824"/>
      <c r="Q80" s="824"/>
      <c r="U80" s="46"/>
      <c r="V80" s="90"/>
      <c r="W80" s="90"/>
      <c r="X80" s="90"/>
      <c r="Y80" s="90"/>
    </row>
    <row r="81" spans="1:25" ht="15" customHeight="1" x14ac:dyDescent="0.35">
      <c r="A81" s="822"/>
      <c r="B81" s="437" t="s">
        <v>1556</v>
      </c>
      <c r="C81" s="713"/>
      <c r="D81" s="714"/>
      <c r="E81" s="714"/>
      <c r="F81" s="714"/>
      <c r="G81" s="714"/>
      <c r="H81" s="714"/>
      <c r="I81" s="714"/>
      <c r="J81" s="714"/>
      <c r="K81" s="714"/>
      <c r="L81" s="715"/>
      <c r="U81" s="46"/>
      <c r="V81" s="90"/>
      <c r="W81" s="90"/>
      <c r="X81" s="90"/>
      <c r="Y81" s="90"/>
    </row>
    <row r="82" spans="1:25" x14ac:dyDescent="0.35">
      <c r="A82" s="822"/>
      <c r="B82" s="107" t="s">
        <v>1557</v>
      </c>
      <c r="C82" s="710"/>
      <c r="D82" s="711"/>
      <c r="E82" s="711"/>
      <c r="F82" s="711"/>
      <c r="G82" s="711"/>
      <c r="H82" s="711"/>
      <c r="I82" s="711"/>
      <c r="J82" s="711"/>
      <c r="K82" s="711"/>
      <c r="L82" s="712"/>
      <c r="N82" s="824" t="s">
        <v>1667</v>
      </c>
      <c r="O82" s="824"/>
      <c r="P82" s="824"/>
      <c r="Q82" s="824"/>
      <c r="S82" s="419"/>
      <c r="U82" s="46"/>
      <c r="V82" s="90"/>
      <c r="W82" s="90"/>
      <c r="X82" s="90"/>
      <c r="Y82" s="90"/>
    </row>
    <row r="83" spans="1:25" x14ac:dyDescent="0.35">
      <c r="A83" s="822"/>
      <c r="B83" s="437" t="s">
        <v>1558</v>
      </c>
      <c r="C83" s="713"/>
      <c r="D83" s="714"/>
      <c r="E83" s="714"/>
      <c r="F83" s="714"/>
      <c r="G83" s="714"/>
      <c r="H83" s="714"/>
      <c r="I83" s="714"/>
      <c r="J83" s="714"/>
      <c r="K83" s="714"/>
      <c r="L83" s="715"/>
      <c r="N83" s="824"/>
      <c r="O83" s="824"/>
      <c r="P83" s="824"/>
      <c r="Q83" s="824"/>
      <c r="S83" s="419"/>
      <c r="U83" s="46"/>
      <c r="V83" s="90"/>
      <c r="W83" s="90"/>
      <c r="X83" s="90"/>
      <c r="Y83" s="90"/>
    </row>
    <row r="84" spans="1:25" ht="15" customHeight="1" x14ac:dyDescent="0.35">
      <c r="A84" s="822"/>
      <c r="B84" s="107" t="s">
        <v>1559</v>
      </c>
      <c r="C84" s="710"/>
      <c r="D84" s="711"/>
      <c r="E84" s="711"/>
      <c r="F84" s="711"/>
      <c r="G84" s="711"/>
      <c r="H84" s="711"/>
      <c r="I84" s="711"/>
      <c r="J84" s="711"/>
      <c r="K84" s="711"/>
      <c r="L84" s="712"/>
      <c r="N84" s="824"/>
      <c r="O84" s="824"/>
      <c r="P84" s="824"/>
      <c r="Q84" s="824"/>
      <c r="S84" s="419"/>
      <c r="U84" s="46"/>
      <c r="V84" s="90"/>
      <c r="W84" s="90"/>
      <c r="X84" s="90"/>
      <c r="Y84" s="90"/>
    </row>
    <row r="85" spans="1:25" x14ac:dyDescent="0.35">
      <c r="A85" s="822"/>
      <c r="B85" s="437" t="s">
        <v>1560</v>
      </c>
      <c r="C85" s="713"/>
      <c r="D85" s="714"/>
      <c r="E85" s="714"/>
      <c r="F85" s="714"/>
      <c r="G85" s="714"/>
      <c r="H85" s="714"/>
      <c r="I85" s="714"/>
      <c r="J85" s="714"/>
      <c r="K85" s="714"/>
      <c r="L85" s="715"/>
      <c r="S85" s="419"/>
      <c r="U85" s="46"/>
      <c r="V85" s="90"/>
      <c r="W85" s="90"/>
      <c r="X85" s="90"/>
      <c r="Y85" s="90"/>
    </row>
    <row r="86" spans="1:25" ht="15" thickBot="1" x14ac:dyDescent="0.4">
      <c r="A86" s="823"/>
      <c r="B86" s="648" t="s">
        <v>1561</v>
      </c>
      <c r="C86" s="716"/>
      <c r="D86" s="717"/>
      <c r="E86" s="717"/>
      <c r="F86" s="717"/>
      <c r="G86" s="717"/>
      <c r="H86" s="717"/>
      <c r="I86" s="717"/>
      <c r="J86" s="717"/>
      <c r="K86" s="717"/>
      <c r="L86" s="718"/>
      <c r="S86" s="419"/>
      <c r="U86" s="46"/>
      <c r="V86" s="90"/>
      <c r="W86" s="90"/>
      <c r="X86" s="90"/>
      <c r="Y86" s="90"/>
    </row>
    <row r="87" spans="1:25" x14ac:dyDescent="0.35">
      <c r="A87" s="312" t="s">
        <v>1674</v>
      </c>
      <c r="B87" s="522" t="s">
        <v>787</v>
      </c>
      <c r="C87" s="668"/>
      <c r="D87" s="604"/>
      <c r="E87" s="604"/>
      <c r="F87" s="604"/>
      <c r="G87" s="604"/>
      <c r="H87" s="604"/>
      <c r="I87" s="604"/>
      <c r="J87" s="604"/>
      <c r="K87" s="604"/>
      <c r="L87" s="605"/>
      <c r="N87" s="831" t="s">
        <v>1675</v>
      </c>
      <c r="O87" s="831"/>
      <c r="P87" s="831"/>
      <c r="Q87" s="831"/>
      <c r="S87" s="419"/>
      <c r="U87" s="46"/>
      <c r="V87" s="90"/>
      <c r="W87" s="90"/>
      <c r="X87" s="90"/>
      <c r="Y87" s="90"/>
    </row>
    <row r="88" spans="1:25" ht="16.5" x14ac:dyDescent="0.35">
      <c r="A88" s="109" t="s">
        <v>1676</v>
      </c>
      <c r="B88" s="107" t="s">
        <v>788</v>
      </c>
      <c r="C88" s="122"/>
      <c r="D88" s="120"/>
      <c r="E88" s="120"/>
      <c r="F88" s="120"/>
      <c r="G88" s="120"/>
      <c r="H88" s="120"/>
      <c r="I88" s="120"/>
      <c r="J88" s="120"/>
      <c r="K88" s="120"/>
      <c r="L88" s="526"/>
      <c r="N88" s="831"/>
      <c r="O88" s="831"/>
      <c r="P88" s="831"/>
      <c r="Q88" s="831"/>
      <c r="S88" s="419"/>
      <c r="U88" s="46"/>
      <c r="V88" s="90"/>
      <c r="W88" s="90"/>
      <c r="X88" s="90"/>
      <c r="Y88" s="90"/>
    </row>
    <row r="89" spans="1:25" x14ac:dyDescent="0.35">
      <c r="A89" s="108" t="s">
        <v>1679</v>
      </c>
      <c r="B89" s="437" t="s">
        <v>787</v>
      </c>
      <c r="C89" s="669"/>
      <c r="D89" s="123"/>
      <c r="E89" s="123"/>
      <c r="F89" s="123"/>
      <c r="G89" s="123"/>
      <c r="H89" s="123"/>
      <c r="I89" s="123"/>
      <c r="J89" s="123"/>
      <c r="K89" s="123"/>
      <c r="L89" s="606"/>
      <c r="U89" s="46"/>
      <c r="V89" s="90"/>
      <c r="W89" s="90"/>
      <c r="X89" s="90"/>
      <c r="Y89" s="90"/>
    </row>
    <row r="90" spans="1:25" ht="17" thickBot="1" x14ac:dyDescent="0.4">
      <c r="A90" s="226" t="s">
        <v>1677</v>
      </c>
      <c r="B90" s="107" t="s">
        <v>788</v>
      </c>
      <c r="C90" s="670"/>
      <c r="D90" s="528"/>
      <c r="E90" s="528"/>
      <c r="F90" s="528"/>
      <c r="G90" s="528"/>
      <c r="H90" s="528"/>
      <c r="I90" s="528"/>
      <c r="J90" s="528"/>
      <c r="K90" s="528"/>
      <c r="L90" s="529"/>
      <c r="U90" s="46"/>
      <c r="V90" s="90"/>
      <c r="W90" s="90"/>
      <c r="X90" s="90"/>
      <c r="Y90" s="90"/>
    </row>
    <row r="91" spans="1:25" ht="15" thickBot="1" x14ac:dyDescent="0.4">
      <c r="U91" s="46"/>
      <c r="V91" s="90"/>
      <c r="W91" s="90"/>
      <c r="X91" s="90"/>
      <c r="Y91" s="90"/>
    </row>
    <row r="92" spans="1:25" x14ac:dyDescent="0.35">
      <c r="B92" s="811" t="s">
        <v>1262</v>
      </c>
      <c r="C92" s="435" t="s">
        <v>1552</v>
      </c>
      <c r="D92" s="423" t="s">
        <v>1553</v>
      </c>
      <c r="E92" s="423" t="s">
        <v>1554</v>
      </c>
      <c r="F92" s="423" t="s">
        <v>1555</v>
      </c>
      <c r="G92" s="423" t="s">
        <v>1556</v>
      </c>
      <c r="H92" s="423" t="s">
        <v>1557</v>
      </c>
      <c r="I92" s="423" t="s">
        <v>1558</v>
      </c>
      <c r="J92" s="423" t="s">
        <v>1559</v>
      </c>
      <c r="K92" s="423" t="s">
        <v>1560</v>
      </c>
      <c r="L92" s="424" t="s">
        <v>1561</v>
      </c>
      <c r="U92" s="46"/>
      <c r="V92" s="90"/>
      <c r="W92" s="90"/>
      <c r="X92" s="90"/>
      <c r="Y92" s="90"/>
    </row>
    <row r="93" spans="1:25" x14ac:dyDescent="0.35">
      <c r="B93" s="812"/>
      <c r="C93" s="431"/>
      <c r="D93" s="431"/>
      <c r="E93" s="431"/>
      <c r="F93" s="431"/>
      <c r="G93" s="431"/>
      <c r="H93" s="431"/>
      <c r="I93" s="431"/>
      <c r="J93" s="431"/>
      <c r="K93" s="431"/>
      <c r="L93" s="432"/>
      <c r="U93" s="46"/>
      <c r="V93" s="90"/>
      <c r="W93" s="90"/>
      <c r="X93" s="90"/>
      <c r="Y93" s="90"/>
    </row>
    <row r="94" spans="1:25" x14ac:dyDescent="0.35">
      <c r="B94" s="89">
        <v>1</v>
      </c>
      <c r="C94" s="89"/>
      <c r="D94" s="89"/>
      <c r="E94" s="89"/>
      <c r="F94" s="89"/>
      <c r="G94" s="89"/>
      <c r="H94" s="89"/>
      <c r="I94" s="89"/>
      <c r="J94" s="89"/>
      <c r="K94" s="89"/>
      <c r="L94" s="89"/>
      <c r="U94" s="46"/>
      <c r="V94" s="90"/>
      <c r="W94" s="90"/>
      <c r="X94" s="90"/>
      <c r="Y94" s="90"/>
    </row>
    <row r="95" spans="1:25" x14ac:dyDescent="0.35">
      <c r="B95" s="88">
        <v>2</v>
      </c>
      <c r="C95" s="88"/>
      <c r="D95" s="88"/>
      <c r="E95" s="88"/>
      <c r="F95" s="88"/>
      <c r="G95" s="88"/>
      <c r="H95" s="88"/>
      <c r="I95" s="88"/>
      <c r="J95" s="88"/>
      <c r="K95" s="88"/>
      <c r="L95" s="88"/>
      <c r="U95" s="46"/>
      <c r="V95" s="90"/>
      <c r="W95" s="90"/>
      <c r="X95" s="90"/>
      <c r="Y95" s="90"/>
    </row>
    <row r="96" spans="1:25" x14ac:dyDescent="0.35">
      <c r="B96" s="89">
        <v>3</v>
      </c>
      <c r="C96" s="89"/>
      <c r="D96" s="89"/>
      <c r="E96" s="89"/>
      <c r="F96" s="89"/>
      <c r="G96" s="89"/>
      <c r="H96" s="89"/>
      <c r="I96" s="89"/>
      <c r="J96" s="89"/>
      <c r="K96" s="89"/>
      <c r="L96" s="89"/>
      <c r="U96" s="46"/>
      <c r="V96" s="90"/>
      <c r="W96" s="90"/>
      <c r="X96" s="90"/>
      <c r="Y96" s="90"/>
    </row>
    <row r="97" spans="2:25" x14ac:dyDescent="0.35">
      <c r="B97" s="88">
        <v>4</v>
      </c>
      <c r="C97" s="88"/>
      <c r="D97" s="88"/>
      <c r="E97" s="88"/>
      <c r="F97" s="88"/>
      <c r="G97" s="88"/>
      <c r="H97" s="88"/>
      <c r="I97" s="88"/>
      <c r="J97" s="88"/>
      <c r="K97" s="88"/>
      <c r="L97" s="88"/>
      <c r="U97" s="46"/>
      <c r="V97" s="90"/>
      <c r="W97" s="90"/>
      <c r="X97" s="90"/>
      <c r="Y97" s="90"/>
    </row>
    <row r="98" spans="2:25" x14ac:dyDescent="0.35">
      <c r="B98" s="89">
        <v>5</v>
      </c>
      <c r="C98" s="89"/>
      <c r="D98" s="89"/>
      <c r="E98" s="89"/>
      <c r="F98" s="89"/>
      <c r="G98" s="89"/>
      <c r="H98" s="89"/>
      <c r="I98" s="89"/>
      <c r="J98" s="89"/>
      <c r="K98" s="89"/>
      <c r="L98" s="89"/>
      <c r="U98" s="46"/>
      <c r="V98" s="90"/>
      <c r="W98" s="90"/>
      <c r="X98" s="90"/>
      <c r="Y98" s="90"/>
    </row>
    <row r="99" spans="2:25" x14ac:dyDescent="0.35">
      <c r="B99" s="88">
        <v>6</v>
      </c>
      <c r="C99" s="88"/>
      <c r="D99" s="88"/>
      <c r="E99" s="88"/>
      <c r="F99" s="88"/>
      <c r="G99" s="88"/>
      <c r="H99" s="88"/>
      <c r="I99" s="88"/>
      <c r="J99" s="88"/>
      <c r="K99" s="88"/>
      <c r="L99" s="88"/>
      <c r="P99">
        <v>62168.9406819016</v>
      </c>
      <c r="U99" s="46"/>
      <c r="V99" s="90"/>
      <c r="W99" s="90"/>
      <c r="X99" s="90"/>
      <c r="Y99" s="90"/>
    </row>
    <row r="100" spans="2:25" x14ac:dyDescent="0.35">
      <c r="B100" s="89">
        <v>7</v>
      </c>
      <c r="C100" s="89"/>
      <c r="D100" s="89"/>
      <c r="E100" s="89"/>
      <c r="F100" s="89"/>
      <c r="G100" s="89"/>
      <c r="H100" s="89"/>
      <c r="I100" s="89"/>
      <c r="J100" s="89"/>
      <c r="K100" s="89"/>
      <c r="L100" s="89"/>
      <c r="U100" s="46"/>
      <c r="V100" s="90"/>
      <c r="W100" s="90"/>
      <c r="X100" s="90"/>
      <c r="Y100" s="90"/>
    </row>
    <row r="101" spans="2:25" x14ac:dyDescent="0.35">
      <c r="B101" s="88">
        <v>8</v>
      </c>
      <c r="C101" s="88"/>
      <c r="D101" s="88"/>
      <c r="E101" s="88"/>
      <c r="F101" s="88"/>
      <c r="G101" s="88"/>
      <c r="H101" s="88"/>
      <c r="I101" s="88"/>
      <c r="J101" s="88"/>
      <c r="K101" s="88"/>
      <c r="L101" s="88"/>
      <c r="P101">
        <v>8426.3876751408807</v>
      </c>
      <c r="U101" s="46"/>
      <c r="V101" s="90"/>
      <c r="W101" s="90"/>
      <c r="X101" s="90"/>
      <c r="Y101" s="90"/>
    </row>
    <row r="102" spans="2:25" x14ac:dyDescent="0.35">
      <c r="B102" s="89">
        <v>9</v>
      </c>
      <c r="C102" s="89"/>
      <c r="D102" s="89"/>
      <c r="E102" s="89"/>
      <c r="F102" s="89"/>
      <c r="G102" s="89"/>
      <c r="H102" s="89"/>
      <c r="I102" s="89"/>
      <c r="J102" s="89"/>
      <c r="K102" s="89"/>
      <c r="L102" s="89"/>
      <c r="U102" s="46"/>
      <c r="V102" s="90"/>
      <c r="W102" s="90"/>
      <c r="X102" s="90"/>
      <c r="Y102" s="90"/>
    </row>
    <row r="103" spans="2:25" x14ac:dyDescent="0.35">
      <c r="B103" s="88">
        <v>10</v>
      </c>
      <c r="C103" s="88"/>
      <c r="D103" s="88"/>
      <c r="E103" s="88"/>
      <c r="F103" s="88"/>
      <c r="G103" s="88"/>
      <c r="H103" s="88"/>
      <c r="I103" s="88"/>
      <c r="J103" s="88"/>
      <c r="K103" s="88"/>
      <c r="L103" s="88"/>
      <c r="P103">
        <f>(P99-P101)/11.0637335027534</f>
        <v>4857.5422567242749</v>
      </c>
      <c r="Q103">
        <f>P103/365.25</f>
        <v>13.299225891099999</v>
      </c>
      <c r="U103" s="46"/>
      <c r="V103" s="90"/>
      <c r="W103" s="90"/>
      <c r="X103" s="90"/>
      <c r="Y103" s="90"/>
    </row>
    <row r="104" spans="2:25" x14ac:dyDescent="0.35">
      <c r="B104" s="89">
        <v>11</v>
      </c>
      <c r="C104" s="89"/>
      <c r="D104" s="89"/>
      <c r="E104" s="89"/>
      <c r="F104" s="89"/>
      <c r="G104" s="89"/>
      <c r="H104" s="89"/>
      <c r="I104" s="89"/>
      <c r="J104" s="89"/>
      <c r="K104" s="89"/>
      <c r="L104" s="89"/>
      <c r="U104" s="46"/>
      <c r="V104" s="90"/>
      <c r="W104" s="90"/>
      <c r="X104" s="90"/>
      <c r="Y104" s="90"/>
    </row>
    <row r="105" spans="2:25" x14ac:dyDescent="0.35">
      <c r="B105" s="88">
        <v>12</v>
      </c>
      <c r="C105" s="88"/>
      <c r="D105" s="88"/>
      <c r="E105" s="88"/>
      <c r="F105" s="88"/>
      <c r="G105" s="88"/>
      <c r="H105" s="88"/>
      <c r="I105" s="88"/>
      <c r="J105" s="88"/>
      <c r="K105" s="88"/>
      <c r="L105" s="88"/>
      <c r="U105" s="46"/>
      <c r="V105" s="90"/>
      <c r="W105" s="90"/>
      <c r="X105" s="90"/>
      <c r="Y105" s="90"/>
    </row>
    <row r="106" spans="2:25" x14ac:dyDescent="0.35">
      <c r="B106" s="89">
        <v>13</v>
      </c>
      <c r="C106" s="89"/>
      <c r="D106" s="89"/>
      <c r="E106" s="89"/>
      <c r="F106" s="89"/>
      <c r="G106" s="89"/>
      <c r="H106" s="89"/>
      <c r="I106" s="89"/>
      <c r="J106" s="89"/>
      <c r="K106" s="89"/>
      <c r="L106" s="89"/>
      <c r="U106" s="46"/>
      <c r="V106" s="90"/>
      <c r="W106" s="90"/>
      <c r="X106" s="90"/>
      <c r="Y106" s="90"/>
    </row>
    <row r="107" spans="2:25" x14ac:dyDescent="0.35">
      <c r="B107" s="88">
        <v>14</v>
      </c>
      <c r="C107" s="88"/>
      <c r="D107" s="88"/>
      <c r="E107" s="88"/>
      <c r="F107" s="88"/>
      <c r="G107" s="88"/>
      <c r="H107" s="88"/>
      <c r="I107" s="88"/>
      <c r="J107" s="88"/>
      <c r="K107" s="88"/>
      <c r="L107" s="88"/>
      <c r="U107" s="46"/>
      <c r="V107" s="90"/>
      <c r="W107" s="90"/>
      <c r="X107" s="90"/>
      <c r="Y107" s="90"/>
    </row>
    <row r="108" spans="2:25" x14ac:dyDescent="0.35">
      <c r="B108" s="89">
        <v>15</v>
      </c>
      <c r="C108" s="89"/>
      <c r="D108" s="89"/>
      <c r="E108" s="89"/>
      <c r="F108" s="89"/>
      <c r="G108" s="89"/>
      <c r="H108" s="89"/>
      <c r="I108" s="89"/>
      <c r="J108" s="89"/>
      <c r="K108" s="89"/>
      <c r="L108" s="89"/>
      <c r="U108" s="46"/>
      <c r="V108" s="90"/>
      <c r="W108" s="90"/>
      <c r="X108" s="90"/>
      <c r="Y108" s="90"/>
    </row>
    <row r="109" spans="2:25" x14ac:dyDescent="0.35">
      <c r="B109" s="88">
        <v>16</v>
      </c>
      <c r="C109" s="88"/>
      <c r="D109" s="88"/>
      <c r="E109" s="88"/>
      <c r="F109" s="88"/>
      <c r="G109" s="88"/>
      <c r="H109" s="88"/>
      <c r="I109" s="88"/>
      <c r="J109" s="88"/>
      <c r="K109" s="88"/>
      <c r="L109" s="88"/>
      <c r="U109" s="46"/>
      <c r="V109" s="90"/>
      <c r="W109" s="90"/>
      <c r="X109" s="90"/>
      <c r="Y109" s="90"/>
    </row>
    <row r="110" spans="2:25" x14ac:dyDescent="0.35">
      <c r="B110" s="89">
        <v>17</v>
      </c>
      <c r="C110" s="89"/>
      <c r="D110" s="89"/>
      <c r="E110" s="89"/>
      <c r="F110" s="89"/>
      <c r="G110" s="89"/>
      <c r="H110" s="89"/>
      <c r="I110" s="89"/>
      <c r="J110" s="89"/>
      <c r="K110" s="89"/>
      <c r="L110" s="89"/>
      <c r="U110" s="46"/>
      <c r="V110" s="90"/>
      <c r="W110" s="90"/>
      <c r="X110" s="90"/>
      <c r="Y110" s="90"/>
    </row>
    <row r="111" spans="2:25" x14ac:dyDescent="0.35">
      <c r="B111" s="88">
        <v>18</v>
      </c>
      <c r="C111" s="88"/>
      <c r="D111" s="88"/>
      <c r="E111" s="88"/>
      <c r="F111" s="88"/>
      <c r="G111" s="88"/>
      <c r="H111" s="88"/>
      <c r="I111" s="88"/>
      <c r="J111" s="88"/>
      <c r="K111" s="88"/>
      <c r="L111" s="88"/>
      <c r="U111" s="46"/>
      <c r="V111" s="90"/>
      <c r="W111" s="90"/>
      <c r="X111" s="90"/>
      <c r="Y111" s="90"/>
    </row>
    <row r="112" spans="2:25" x14ac:dyDescent="0.35">
      <c r="B112" s="89">
        <v>19</v>
      </c>
      <c r="C112" s="89"/>
      <c r="D112" s="89"/>
      <c r="E112" s="89"/>
      <c r="F112" s="89"/>
      <c r="G112" s="89"/>
      <c r="H112" s="89"/>
      <c r="I112" s="89"/>
      <c r="J112" s="89"/>
      <c r="K112" s="89"/>
      <c r="L112" s="89"/>
      <c r="U112" s="46"/>
      <c r="V112" s="90"/>
      <c r="W112" s="90"/>
      <c r="X112" s="90"/>
      <c r="Y112" s="90"/>
    </row>
    <row r="113" spans="2:25" x14ac:dyDescent="0.35">
      <c r="B113" s="88">
        <v>20</v>
      </c>
      <c r="C113" s="88"/>
      <c r="D113" s="88"/>
      <c r="E113" s="88"/>
      <c r="F113" s="88"/>
      <c r="G113" s="88"/>
      <c r="H113" s="88"/>
      <c r="I113" s="88"/>
      <c r="J113" s="88"/>
      <c r="K113" s="88"/>
      <c r="L113" s="88"/>
      <c r="U113" s="46"/>
      <c r="V113" s="90"/>
      <c r="W113" s="90"/>
      <c r="X113" s="90"/>
      <c r="Y113" s="90"/>
    </row>
    <row r="114" spans="2:25" x14ac:dyDescent="0.35">
      <c r="B114" s="89">
        <v>21</v>
      </c>
      <c r="C114" s="89"/>
      <c r="D114" s="89"/>
      <c r="E114" s="89"/>
      <c r="F114" s="89"/>
      <c r="G114" s="89"/>
      <c r="H114" s="89"/>
      <c r="I114" s="89"/>
      <c r="J114" s="89"/>
      <c r="K114" s="89"/>
      <c r="L114" s="89"/>
      <c r="U114" s="46"/>
      <c r="V114" s="90"/>
      <c r="W114" s="90"/>
      <c r="X114" s="90"/>
      <c r="Y114" s="90"/>
    </row>
    <row r="115" spans="2:25" x14ac:dyDescent="0.35">
      <c r="B115" s="88">
        <v>22</v>
      </c>
      <c r="C115" s="88"/>
      <c r="D115" s="88"/>
      <c r="E115" s="88"/>
      <c r="F115" s="88"/>
      <c r="G115" s="88"/>
      <c r="H115" s="88"/>
      <c r="I115" s="88"/>
      <c r="J115" s="88"/>
      <c r="K115" s="88"/>
      <c r="L115" s="88"/>
      <c r="U115" s="46"/>
      <c r="V115" s="90"/>
      <c r="W115" s="90"/>
      <c r="X115" s="90"/>
      <c r="Y115" s="90"/>
    </row>
    <row r="116" spans="2:25" x14ac:dyDescent="0.35">
      <c r="B116" s="89">
        <v>23</v>
      </c>
      <c r="C116" s="89"/>
      <c r="D116" s="89"/>
      <c r="E116" s="89"/>
      <c r="F116" s="89"/>
      <c r="G116" s="89"/>
      <c r="H116" s="89"/>
      <c r="I116" s="89"/>
      <c r="J116" s="89"/>
      <c r="K116" s="89"/>
      <c r="L116" s="89"/>
      <c r="U116" s="46"/>
      <c r="V116" s="90"/>
      <c r="W116" s="90"/>
      <c r="X116" s="90"/>
      <c r="Y116" s="90"/>
    </row>
    <row r="117" spans="2:25" x14ac:dyDescent="0.35">
      <c r="B117" s="88">
        <v>24</v>
      </c>
      <c r="C117" s="88"/>
      <c r="D117" s="88"/>
      <c r="E117" s="88"/>
      <c r="F117" s="88"/>
      <c r="G117" s="88"/>
      <c r="H117" s="88"/>
      <c r="I117" s="88"/>
      <c r="J117" s="88"/>
      <c r="K117" s="88"/>
      <c r="L117" s="88"/>
      <c r="U117" s="46"/>
      <c r="V117" s="90"/>
      <c r="W117" s="90"/>
      <c r="X117" s="90"/>
      <c r="Y117" s="90"/>
    </row>
    <row r="118" spans="2:25" x14ac:dyDescent="0.35">
      <c r="B118" s="89">
        <v>25</v>
      </c>
      <c r="C118" s="89"/>
      <c r="D118" s="89"/>
      <c r="E118" s="89"/>
      <c r="F118" s="89"/>
      <c r="G118" s="89"/>
      <c r="H118" s="89"/>
      <c r="I118" s="89"/>
      <c r="J118" s="89"/>
      <c r="K118" s="89"/>
      <c r="L118" s="89"/>
      <c r="U118" s="46"/>
      <c r="V118" s="90"/>
      <c r="W118" s="90"/>
      <c r="X118" s="90"/>
      <c r="Y118" s="90"/>
    </row>
    <row r="119" spans="2:25" x14ac:dyDescent="0.35">
      <c r="B119" s="88">
        <v>26</v>
      </c>
      <c r="C119" s="88"/>
      <c r="D119" s="88"/>
      <c r="E119" s="88"/>
      <c r="F119" s="88"/>
      <c r="G119" s="88"/>
      <c r="H119" s="88"/>
      <c r="I119" s="88"/>
      <c r="J119" s="88"/>
      <c r="K119" s="88"/>
      <c r="L119" s="88"/>
      <c r="U119" s="46"/>
      <c r="V119" s="90"/>
      <c r="W119" s="90"/>
      <c r="X119" s="90"/>
      <c r="Y119" s="90"/>
    </row>
    <row r="120" spans="2:25" x14ac:dyDescent="0.35">
      <c r="B120" s="89">
        <v>27</v>
      </c>
      <c r="C120" s="89"/>
      <c r="D120" s="89"/>
      <c r="E120" s="89"/>
      <c r="F120" s="89"/>
      <c r="G120" s="89"/>
      <c r="H120" s="89"/>
      <c r="I120" s="89"/>
      <c r="J120" s="89"/>
      <c r="K120" s="89"/>
      <c r="L120" s="89"/>
      <c r="U120" s="46"/>
      <c r="V120" s="90"/>
      <c r="W120" s="90"/>
      <c r="X120" s="90"/>
      <c r="Y120" s="90"/>
    </row>
    <row r="121" spans="2:25" x14ac:dyDescent="0.35">
      <c r="B121" s="88">
        <v>28</v>
      </c>
      <c r="C121" s="88"/>
      <c r="D121" s="88"/>
      <c r="E121" s="88"/>
      <c r="F121" s="88"/>
      <c r="G121" s="88"/>
      <c r="H121" s="88"/>
      <c r="I121" s="88"/>
      <c r="J121" s="88"/>
      <c r="K121" s="88"/>
      <c r="L121" s="88"/>
      <c r="U121" s="46"/>
      <c r="V121" s="90"/>
      <c r="W121" s="90"/>
      <c r="X121" s="90"/>
      <c r="Y121" s="90"/>
    </row>
    <row r="122" spans="2:25" x14ac:dyDescent="0.35">
      <c r="B122" s="89">
        <v>29</v>
      </c>
      <c r="C122" s="89"/>
      <c r="D122" s="89"/>
      <c r="E122" s="89"/>
      <c r="F122" s="89"/>
      <c r="G122" s="89"/>
      <c r="H122" s="89"/>
      <c r="I122" s="89"/>
      <c r="J122" s="89"/>
      <c r="K122" s="89"/>
      <c r="L122" s="89"/>
      <c r="U122" s="46"/>
      <c r="V122" s="90"/>
      <c r="W122" s="90"/>
      <c r="X122" s="90"/>
      <c r="Y122" s="90"/>
    </row>
    <row r="123" spans="2:25" x14ac:dyDescent="0.35">
      <c r="B123" s="88">
        <v>30</v>
      </c>
      <c r="C123" s="88"/>
      <c r="D123" s="88"/>
      <c r="E123" s="88"/>
      <c r="F123" s="88"/>
      <c r="G123" s="88"/>
      <c r="H123" s="88"/>
      <c r="I123" s="88"/>
      <c r="J123" s="88"/>
      <c r="K123" s="88"/>
      <c r="L123" s="88"/>
      <c r="U123" s="46"/>
      <c r="V123" s="90"/>
      <c r="W123" s="90"/>
      <c r="X123" s="90"/>
      <c r="Y123" s="90"/>
    </row>
    <row r="124" spans="2:25" x14ac:dyDescent="0.35">
      <c r="B124" s="89">
        <v>31</v>
      </c>
      <c r="C124" s="89"/>
      <c r="D124" s="89"/>
      <c r="E124" s="89"/>
      <c r="F124" s="89"/>
      <c r="G124" s="89"/>
      <c r="H124" s="89"/>
      <c r="I124" s="89"/>
      <c r="J124" s="89"/>
      <c r="K124" s="89"/>
      <c r="L124" s="89"/>
      <c r="U124" s="46"/>
      <c r="V124" s="90"/>
      <c r="W124" s="90"/>
      <c r="X124" s="90"/>
      <c r="Y124" s="90"/>
    </row>
    <row r="125" spans="2:25" x14ac:dyDescent="0.35">
      <c r="B125" s="88">
        <v>32</v>
      </c>
      <c r="C125" s="88"/>
      <c r="D125" s="88"/>
      <c r="E125" s="88"/>
      <c r="F125" s="88"/>
      <c r="G125" s="88"/>
      <c r="H125" s="88"/>
      <c r="I125" s="88"/>
      <c r="J125" s="88"/>
      <c r="K125" s="88"/>
      <c r="L125" s="88"/>
      <c r="U125" s="46"/>
      <c r="V125" s="90"/>
      <c r="W125" s="90"/>
      <c r="X125" s="90"/>
      <c r="Y125" s="90"/>
    </row>
    <row r="126" spans="2:25" x14ac:dyDescent="0.35">
      <c r="B126" s="89">
        <v>33</v>
      </c>
      <c r="C126" s="89"/>
      <c r="D126" s="89"/>
      <c r="E126" s="89"/>
      <c r="F126" s="89"/>
      <c r="G126" s="89"/>
      <c r="H126" s="89"/>
      <c r="I126" s="89"/>
      <c r="J126" s="89"/>
      <c r="K126" s="89"/>
      <c r="L126" s="89"/>
      <c r="U126" s="46"/>
      <c r="V126" s="90"/>
      <c r="W126" s="90"/>
      <c r="X126" s="90"/>
      <c r="Y126" s="90"/>
    </row>
    <row r="127" spans="2:25" x14ac:dyDescent="0.35">
      <c r="B127" s="88">
        <v>34</v>
      </c>
      <c r="C127" s="88"/>
      <c r="D127" s="88"/>
      <c r="E127" s="88"/>
      <c r="F127" s="88"/>
      <c r="G127" s="88"/>
      <c r="H127" s="88"/>
      <c r="I127" s="88"/>
      <c r="J127" s="88"/>
      <c r="K127" s="88"/>
      <c r="L127" s="88"/>
      <c r="U127" s="46"/>
      <c r="V127" s="90"/>
      <c r="W127" s="90"/>
      <c r="X127" s="90"/>
      <c r="Y127" s="90"/>
    </row>
    <row r="128" spans="2:25" x14ac:dyDescent="0.35">
      <c r="B128" s="89">
        <v>35</v>
      </c>
      <c r="C128" s="89"/>
      <c r="D128" s="89"/>
      <c r="E128" s="89"/>
      <c r="F128" s="89"/>
      <c r="G128" s="89"/>
      <c r="H128" s="89"/>
      <c r="I128" s="89"/>
      <c r="J128" s="89"/>
      <c r="K128" s="89"/>
      <c r="L128" s="89"/>
      <c r="U128" s="46"/>
      <c r="V128" s="90"/>
      <c r="W128" s="90"/>
      <c r="X128" s="90"/>
      <c r="Y128" s="90"/>
    </row>
    <row r="129" spans="2:25" x14ac:dyDescent="0.35">
      <c r="B129" s="88">
        <v>36</v>
      </c>
      <c r="C129" s="88"/>
      <c r="D129" s="88"/>
      <c r="E129" s="88"/>
      <c r="F129" s="88"/>
      <c r="G129" s="88"/>
      <c r="H129" s="88"/>
      <c r="I129" s="88"/>
      <c r="J129" s="88"/>
      <c r="K129" s="88"/>
      <c r="L129" s="88"/>
      <c r="U129" s="46"/>
      <c r="V129" s="90"/>
      <c r="W129" s="90"/>
      <c r="X129" s="90"/>
      <c r="Y129" s="90"/>
    </row>
    <row r="130" spans="2:25" x14ac:dyDescent="0.35">
      <c r="B130" s="89">
        <v>37</v>
      </c>
      <c r="C130" s="89"/>
      <c r="D130" s="89"/>
      <c r="E130" s="89"/>
      <c r="F130" s="89"/>
      <c r="G130" s="89"/>
      <c r="H130" s="89"/>
      <c r="I130" s="89"/>
      <c r="J130" s="89"/>
      <c r="K130" s="89"/>
      <c r="L130" s="89"/>
      <c r="U130" s="46"/>
      <c r="V130" s="90"/>
      <c r="W130" s="90"/>
      <c r="X130" s="90"/>
      <c r="Y130" s="90"/>
    </row>
    <row r="131" spans="2:25" x14ac:dyDescent="0.35">
      <c r="B131" s="88">
        <v>38</v>
      </c>
      <c r="C131" s="88"/>
      <c r="D131" s="88"/>
      <c r="E131" s="88"/>
      <c r="F131" s="88"/>
      <c r="G131" s="88"/>
      <c r="H131" s="88"/>
      <c r="I131" s="88"/>
      <c r="J131" s="88"/>
      <c r="K131" s="88"/>
      <c r="L131" s="88"/>
      <c r="U131" s="46"/>
      <c r="V131" s="90"/>
      <c r="W131" s="90"/>
      <c r="X131" s="90"/>
      <c r="Y131" s="90"/>
    </row>
    <row r="132" spans="2:25" x14ac:dyDescent="0.35">
      <c r="B132" s="89">
        <v>39</v>
      </c>
      <c r="C132" s="89"/>
      <c r="D132" s="89"/>
      <c r="E132" s="89"/>
      <c r="F132" s="89"/>
      <c r="G132" s="89"/>
      <c r="H132" s="89"/>
      <c r="I132" s="89"/>
      <c r="J132" s="89"/>
      <c r="K132" s="89"/>
      <c r="L132" s="89"/>
      <c r="U132" s="46"/>
      <c r="V132" s="90"/>
      <c r="W132" s="90"/>
      <c r="X132" s="90"/>
      <c r="Y132" s="90"/>
    </row>
    <row r="133" spans="2:25" x14ac:dyDescent="0.35">
      <c r="B133" s="88">
        <v>40</v>
      </c>
      <c r="C133" s="88"/>
      <c r="D133" s="88"/>
      <c r="E133" s="88"/>
      <c r="F133" s="88"/>
      <c r="G133" s="88"/>
      <c r="H133" s="88"/>
      <c r="I133" s="88"/>
      <c r="J133" s="88"/>
      <c r="K133" s="88"/>
      <c r="L133" s="88"/>
      <c r="U133" s="46"/>
      <c r="V133" s="90"/>
      <c r="W133" s="90"/>
      <c r="X133" s="90"/>
      <c r="Y133" s="90"/>
    </row>
    <row r="134" spans="2:25" x14ac:dyDescent="0.35">
      <c r="B134" s="89">
        <v>41</v>
      </c>
      <c r="C134" s="89"/>
      <c r="D134" s="89"/>
      <c r="E134" s="89"/>
      <c r="F134" s="89"/>
      <c r="G134" s="89"/>
      <c r="H134" s="89"/>
      <c r="I134" s="89"/>
      <c r="J134" s="89"/>
      <c r="K134" s="89"/>
      <c r="L134" s="89"/>
      <c r="U134" s="46"/>
      <c r="V134" s="90"/>
      <c r="W134" s="90"/>
      <c r="X134" s="90"/>
      <c r="Y134" s="90"/>
    </row>
    <row r="135" spans="2:25" x14ac:dyDescent="0.35">
      <c r="B135" s="88">
        <v>42</v>
      </c>
      <c r="C135" s="88"/>
      <c r="D135" s="88"/>
      <c r="E135" s="88"/>
      <c r="F135" s="88"/>
      <c r="G135" s="88"/>
      <c r="H135" s="88"/>
      <c r="I135" s="88"/>
      <c r="J135" s="88"/>
      <c r="K135" s="88"/>
      <c r="L135" s="88"/>
      <c r="U135" s="46"/>
      <c r="V135" s="90"/>
      <c r="W135" s="90"/>
      <c r="X135" s="90"/>
      <c r="Y135" s="90"/>
    </row>
    <row r="136" spans="2:25" x14ac:dyDescent="0.35">
      <c r="B136" s="89">
        <v>43</v>
      </c>
      <c r="C136" s="89"/>
      <c r="D136" s="89"/>
      <c r="E136" s="89"/>
      <c r="F136" s="89"/>
      <c r="G136" s="89"/>
      <c r="H136" s="89"/>
      <c r="I136" s="89"/>
      <c r="J136" s="89"/>
      <c r="K136" s="89"/>
      <c r="L136" s="89"/>
      <c r="U136" s="46"/>
      <c r="V136" s="90"/>
      <c r="W136" s="90"/>
      <c r="X136" s="90"/>
      <c r="Y136" s="90"/>
    </row>
    <row r="137" spans="2:25" x14ac:dyDescent="0.35">
      <c r="B137" s="88">
        <v>44</v>
      </c>
      <c r="C137" s="88"/>
      <c r="D137" s="88"/>
      <c r="E137" s="88"/>
      <c r="F137" s="88"/>
      <c r="G137" s="88"/>
      <c r="H137" s="88"/>
      <c r="I137" s="88"/>
      <c r="J137" s="88"/>
      <c r="K137" s="88"/>
      <c r="L137" s="88"/>
      <c r="U137" s="46"/>
      <c r="V137" s="90"/>
      <c r="W137" s="90"/>
      <c r="X137" s="90"/>
      <c r="Y137" s="90"/>
    </row>
    <row r="138" spans="2:25" x14ac:dyDescent="0.35">
      <c r="B138" s="89">
        <v>45</v>
      </c>
      <c r="C138" s="89"/>
      <c r="D138" s="89"/>
      <c r="E138" s="89"/>
      <c r="F138" s="89"/>
      <c r="G138" s="89"/>
      <c r="H138" s="89"/>
      <c r="I138" s="89"/>
      <c r="J138" s="89"/>
      <c r="K138" s="89"/>
      <c r="L138" s="89"/>
      <c r="U138" s="46"/>
      <c r="V138" s="90"/>
      <c r="W138" s="90"/>
      <c r="X138" s="90"/>
      <c r="Y138" s="90"/>
    </row>
    <row r="139" spans="2:25" x14ac:dyDescent="0.35">
      <c r="B139" s="88">
        <v>46</v>
      </c>
      <c r="C139" s="88"/>
      <c r="D139" s="88"/>
      <c r="E139" s="88"/>
      <c r="F139" s="88"/>
      <c r="G139" s="88"/>
      <c r="H139" s="88"/>
      <c r="I139" s="88"/>
      <c r="J139" s="88"/>
      <c r="K139" s="88"/>
      <c r="L139" s="88"/>
      <c r="U139" s="46"/>
      <c r="V139" s="90"/>
      <c r="W139" s="90"/>
      <c r="X139" s="90"/>
      <c r="Y139" s="90"/>
    </row>
    <row r="140" spans="2:25" x14ac:dyDescent="0.35">
      <c r="B140" s="89">
        <v>47</v>
      </c>
      <c r="C140" s="89"/>
      <c r="D140" s="89"/>
      <c r="E140" s="89"/>
      <c r="F140" s="89"/>
      <c r="G140" s="89"/>
      <c r="H140" s="89"/>
      <c r="I140" s="89"/>
      <c r="J140" s="89"/>
      <c r="K140" s="89"/>
      <c r="L140" s="89"/>
      <c r="U140" s="46"/>
      <c r="V140" s="90"/>
      <c r="W140" s="90"/>
      <c r="X140" s="90"/>
      <c r="Y140" s="90"/>
    </row>
    <row r="141" spans="2:25" x14ac:dyDescent="0.35">
      <c r="B141" s="88">
        <v>48</v>
      </c>
      <c r="C141" s="88"/>
      <c r="D141" s="88"/>
      <c r="E141" s="88"/>
      <c r="F141" s="88"/>
      <c r="G141" s="88"/>
      <c r="H141" s="88"/>
      <c r="I141" s="88"/>
      <c r="J141" s="88"/>
      <c r="K141" s="88"/>
      <c r="L141" s="88"/>
      <c r="U141" s="46"/>
      <c r="V141" s="90"/>
      <c r="W141" s="90"/>
      <c r="X141" s="90"/>
      <c r="Y141" s="90"/>
    </row>
    <row r="142" spans="2:25" x14ac:dyDescent="0.35">
      <c r="B142" s="89">
        <v>49</v>
      </c>
      <c r="C142" s="89"/>
      <c r="D142" s="89"/>
      <c r="E142" s="89"/>
      <c r="F142" s="89"/>
      <c r="G142" s="89"/>
      <c r="H142" s="89"/>
      <c r="I142" s="89"/>
      <c r="J142" s="89"/>
      <c r="K142" s="89"/>
      <c r="L142" s="89"/>
      <c r="U142" s="46"/>
      <c r="V142" s="90"/>
      <c r="W142" s="90"/>
      <c r="X142" s="90"/>
      <c r="Y142" s="90"/>
    </row>
    <row r="143" spans="2:25" x14ac:dyDescent="0.35">
      <c r="B143" s="88">
        <v>50</v>
      </c>
      <c r="C143" s="88"/>
      <c r="D143" s="88"/>
      <c r="E143" s="88"/>
      <c r="F143" s="88"/>
      <c r="G143" s="88"/>
      <c r="H143" s="88"/>
      <c r="I143" s="88"/>
      <c r="J143" s="88"/>
      <c r="K143" s="88"/>
      <c r="L143" s="88"/>
      <c r="U143" s="46"/>
      <c r="V143" s="90"/>
      <c r="W143" s="90"/>
      <c r="X143" s="90"/>
      <c r="Y143" s="90"/>
    </row>
    <row r="144" spans="2:25" x14ac:dyDescent="0.35">
      <c r="B144" s="89">
        <v>51</v>
      </c>
      <c r="C144" s="89"/>
      <c r="D144" s="89"/>
      <c r="E144" s="89"/>
      <c r="F144" s="89"/>
      <c r="G144" s="89"/>
      <c r="H144" s="89"/>
      <c r="I144" s="89"/>
      <c r="J144" s="89"/>
      <c r="K144" s="89"/>
      <c r="L144" s="89"/>
      <c r="U144" s="46"/>
      <c r="V144" s="90"/>
      <c r="W144" s="90"/>
      <c r="X144" s="90"/>
      <c r="Y144" s="90"/>
    </row>
    <row r="145" spans="2:25" x14ac:dyDescent="0.35">
      <c r="B145" s="88">
        <v>52</v>
      </c>
      <c r="C145" s="88"/>
      <c r="D145" s="88"/>
      <c r="E145" s="88"/>
      <c r="F145" s="88"/>
      <c r="G145" s="88"/>
      <c r="H145" s="88"/>
      <c r="I145" s="88"/>
      <c r="J145" s="88"/>
      <c r="K145" s="88"/>
      <c r="L145" s="88"/>
      <c r="U145" s="46"/>
      <c r="V145" s="90"/>
      <c r="W145" s="90"/>
      <c r="X145" s="90"/>
      <c r="Y145" s="90"/>
    </row>
    <row r="146" spans="2:25" x14ac:dyDescent="0.35">
      <c r="B146" s="89">
        <v>53</v>
      </c>
      <c r="C146" s="89"/>
      <c r="D146" s="89"/>
      <c r="E146" s="89"/>
      <c r="F146" s="89"/>
      <c r="G146" s="89"/>
      <c r="H146" s="89"/>
      <c r="I146" s="89"/>
      <c r="J146" s="89"/>
      <c r="K146" s="89"/>
      <c r="L146" s="89"/>
      <c r="U146" s="46"/>
      <c r="V146" s="90"/>
      <c r="W146" s="90"/>
      <c r="X146" s="90"/>
      <c r="Y146" s="90"/>
    </row>
    <row r="147" spans="2:25" x14ac:dyDescent="0.35">
      <c r="B147" s="88">
        <v>54</v>
      </c>
      <c r="C147" s="88"/>
      <c r="D147" s="88"/>
      <c r="E147" s="88"/>
      <c r="F147" s="88"/>
      <c r="G147" s="88"/>
      <c r="H147" s="88"/>
      <c r="I147" s="88"/>
      <c r="J147" s="88"/>
      <c r="K147" s="88"/>
      <c r="L147" s="88"/>
      <c r="U147" s="46"/>
      <c r="V147" s="90"/>
      <c r="W147" s="90"/>
      <c r="X147" s="90"/>
      <c r="Y147" s="90"/>
    </row>
    <row r="148" spans="2:25" x14ac:dyDescent="0.35">
      <c r="B148" s="89">
        <v>55</v>
      </c>
      <c r="C148" s="89"/>
      <c r="D148" s="89"/>
      <c r="E148" s="89"/>
      <c r="F148" s="89"/>
      <c r="G148" s="89"/>
      <c r="H148" s="89"/>
      <c r="I148" s="89"/>
      <c r="J148" s="89"/>
      <c r="K148" s="89"/>
      <c r="L148" s="89"/>
      <c r="U148" s="46"/>
      <c r="V148" s="90"/>
      <c r="W148" s="90"/>
      <c r="X148" s="90"/>
      <c r="Y148" s="90"/>
    </row>
    <row r="149" spans="2:25" x14ac:dyDescent="0.35">
      <c r="B149" s="88">
        <v>56</v>
      </c>
      <c r="C149" s="88"/>
      <c r="D149" s="88"/>
      <c r="E149" s="88"/>
      <c r="F149" s="88"/>
      <c r="G149" s="88"/>
      <c r="H149" s="88"/>
      <c r="I149" s="88"/>
      <c r="J149" s="88"/>
      <c r="K149" s="88"/>
      <c r="L149" s="88"/>
      <c r="U149" s="46"/>
      <c r="V149" s="90"/>
      <c r="W149" s="90"/>
      <c r="X149" s="90"/>
      <c r="Y149" s="90"/>
    </row>
    <row r="150" spans="2:25" x14ac:dyDescent="0.35">
      <c r="B150" s="89">
        <v>57</v>
      </c>
      <c r="C150" s="89"/>
      <c r="D150" s="89"/>
      <c r="E150" s="89"/>
      <c r="F150" s="89"/>
      <c r="G150" s="89"/>
      <c r="H150" s="89"/>
      <c r="I150" s="89"/>
      <c r="J150" s="89"/>
      <c r="K150" s="89"/>
      <c r="L150" s="89"/>
      <c r="U150" s="46"/>
      <c r="V150" s="90"/>
      <c r="W150" s="90"/>
      <c r="X150" s="90"/>
      <c r="Y150" s="90"/>
    </row>
    <row r="151" spans="2:25" x14ac:dyDescent="0.35">
      <c r="B151" s="88">
        <v>58</v>
      </c>
      <c r="C151" s="88"/>
      <c r="D151" s="88"/>
      <c r="E151" s="88"/>
      <c r="F151" s="88"/>
      <c r="G151" s="88"/>
      <c r="H151" s="88"/>
      <c r="I151" s="88"/>
      <c r="J151" s="88"/>
      <c r="K151" s="88"/>
      <c r="L151" s="88"/>
      <c r="U151" s="46"/>
      <c r="V151" s="90"/>
      <c r="W151" s="90"/>
      <c r="X151" s="90"/>
      <c r="Y151" s="90"/>
    </row>
    <row r="152" spans="2:25" x14ac:dyDescent="0.35">
      <c r="B152" s="89">
        <v>59</v>
      </c>
      <c r="C152" s="89"/>
      <c r="D152" s="89"/>
      <c r="E152" s="89"/>
      <c r="F152" s="89"/>
      <c r="G152" s="89"/>
      <c r="H152" s="89"/>
      <c r="I152" s="89"/>
      <c r="J152" s="89"/>
      <c r="K152" s="89"/>
      <c r="L152" s="89"/>
      <c r="U152" s="46"/>
      <c r="V152" s="90"/>
      <c r="W152" s="90"/>
      <c r="X152" s="90"/>
      <c r="Y152" s="90"/>
    </row>
    <row r="153" spans="2:25" x14ac:dyDescent="0.35">
      <c r="B153" s="88">
        <v>60</v>
      </c>
      <c r="C153" s="88"/>
      <c r="D153" s="88"/>
      <c r="E153" s="88"/>
      <c r="F153" s="88"/>
      <c r="G153" s="88"/>
      <c r="H153" s="88"/>
      <c r="I153" s="88"/>
      <c r="J153" s="88"/>
      <c r="K153" s="88"/>
      <c r="L153" s="88"/>
      <c r="U153" s="46"/>
      <c r="V153" s="90"/>
      <c r="W153" s="90"/>
      <c r="X153" s="90"/>
      <c r="Y153" s="90"/>
    </row>
    <row r="154" spans="2:25" x14ac:dyDescent="0.35">
      <c r="B154" s="89">
        <v>61</v>
      </c>
      <c r="C154" s="89"/>
      <c r="D154" s="89"/>
      <c r="E154" s="89"/>
      <c r="F154" s="89"/>
      <c r="G154" s="89"/>
      <c r="H154" s="89"/>
      <c r="I154" s="89"/>
      <c r="J154" s="89"/>
      <c r="K154" s="89"/>
      <c r="L154" s="89"/>
      <c r="U154" s="46"/>
      <c r="V154" s="90"/>
      <c r="W154" s="90"/>
      <c r="X154" s="90"/>
      <c r="Y154" s="90"/>
    </row>
    <row r="155" spans="2:25" x14ac:dyDescent="0.35">
      <c r="B155" s="88">
        <v>62</v>
      </c>
      <c r="C155" s="88"/>
      <c r="D155" s="88"/>
      <c r="E155" s="88"/>
      <c r="F155" s="88"/>
      <c r="G155" s="88"/>
      <c r="H155" s="88"/>
      <c r="I155" s="88"/>
      <c r="J155" s="88"/>
      <c r="K155" s="88"/>
      <c r="L155" s="88"/>
      <c r="U155" s="46"/>
      <c r="V155" s="90"/>
      <c r="W155" s="90"/>
      <c r="X155" s="90"/>
      <c r="Y155" s="90"/>
    </row>
    <row r="156" spans="2:25" x14ac:dyDescent="0.35">
      <c r="B156" s="89">
        <v>63</v>
      </c>
      <c r="C156" s="89"/>
      <c r="D156" s="89"/>
      <c r="E156" s="89"/>
      <c r="F156" s="89"/>
      <c r="G156" s="89"/>
      <c r="H156" s="89"/>
      <c r="I156" s="89"/>
      <c r="J156" s="89"/>
      <c r="K156" s="89"/>
      <c r="L156" s="89"/>
      <c r="U156" s="46"/>
      <c r="V156" s="90"/>
      <c r="W156" s="90"/>
      <c r="X156" s="90"/>
      <c r="Y156" s="90"/>
    </row>
    <row r="157" spans="2:25" x14ac:dyDescent="0.35">
      <c r="B157" s="88">
        <v>64</v>
      </c>
      <c r="C157" s="88"/>
      <c r="D157" s="88"/>
      <c r="E157" s="88"/>
      <c r="F157" s="88"/>
      <c r="G157" s="88"/>
      <c r="H157" s="88"/>
      <c r="I157" s="88"/>
      <c r="J157" s="88"/>
      <c r="K157" s="88"/>
      <c r="L157" s="88"/>
      <c r="U157" s="46"/>
      <c r="V157" s="90"/>
      <c r="W157" s="90"/>
      <c r="X157" s="90"/>
      <c r="Y157" s="90"/>
    </row>
    <row r="158" spans="2:25" x14ac:dyDescent="0.35">
      <c r="B158" s="89">
        <v>65</v>
      </c>
      <c r="C158" s="89"/>
      <c r="D158" s="89"/>
      <c r="E158" s="89"/>
      <c r="F158" s="89"/>
      <c r="G158" s="89"/>
      <c r="H158" s="89"/>
      <c r="I158" s="89"/>
      <c r="J158" s="89"/>
      <c r="K158" s="89"/>
      <c r="L158" s="89"/>
      <c r="U158" s="46"/>
      <c r="V158" s="90"/>
      <c r="W158" s="90"/>
      <c r="X158" s="90"/>
      <c r="Y158" s="90"/>
    </row>
    <row r="159" spans="2:25" x14ac:dyDescent="0.35">
      <c r="B159" s="88">
        <v>66</v>
      </c>
      <c r="C159" s="88"/>
      <c r="D159" s="88"/>
      <c r="E159" s="88"/>
      <c r="F159" s="88"/>
      <c r="G159" s="88"/>
      <c r="H159" s="88"/>
      <c r="I159" s="88"/>
      <c r="J159" s="88"/>
      <c r="K159" s="88"/>
      <c r="L159" s="88"/>
      <c r="U159" s="46"/>
      <c r="V159" s="90"/>
      <c r="W159" s="90"/>
      <c r="X159" s="90"/>
      <c r="Y159" s="90"/>
    </row>
    <row r="160" spans="2:25" x14ac:dyDescent="0.35">
      <c r="B160" s="89">
        <v>67</v>
      </c>
      <c r="C160" s="89"/>
      <c r="D160" s="89"/>
      <c r="E160" s="89"/>
      <c r="F160" s="89"/>
      <c r="G160" s="89"/>
      <c r="H160" s="89"/>
      <c r="I160" s="89"/>
      <c r="J160" s="89"/>
      <c r="K160" s="89"/>
      <c r="L160" s="89"/>
      <c r="U160" s="46"/>
      <c r="V160" s="90"/>
      <c r="W160" s="90"/>
      <c r="X160" s="90"/>
      <c r="Y160" s="90"/>
    </row>
    <row r="161" spans="2:25" x14ac:dyDescent="0.35">
      <c r="B161" s="88">
        <v>68</v>
      </c>
      <c r="C161" s="88"/>
      <c r="D161" s="88"/>
      <c r="E161" s="88"/>
      <c r="F161" s="88"/>
      <c r="G161" s="88"/>
      <c r="H161" s="88"/>
      <c r="I161" s="88"/>
      <c r="J161" s="88"/>
      <c r="K161" s="88"/>
      <c r="L161" s="88"/>
      <c r="U161" s="46"/>
      <c r="V161" s="90"/>
      <c r="W161" s="90"/>
      <c r="X161" s="90"/>
      <c r="Y161" s="90"/>
    </row>
    <row r="162" spans="2:25" x14ac:dyDescent="0.35">
      <c r="B162" s="89">
        <v>69</v>
      </c>
      <c r="C162" s="89"/>
      <c r="D162" s="89"/>
      <c r="E162" s="89"/>
      <c r="F162" s="89"/>
      <c r="G162" s="89"/>
      <c r="H162" s="89"/>
      <c r="I162" s="89"/>
      <c r="J162" s="89"/>
      <c r="K162" s="89"/>
      <c r="L162" s="89"/>
      <c r="U162" s="46"/>
      <c r="V162" s="90"/>
      <c r="W162" s="90"/>
      <c r="X162" s="90"/>
      <c r="Y162" s="90"/>
    </row>
    <row r="163" spans="2:25" x14ac:dyDescent="0.35">
      <c r="B163" s="88">
        <v>70</v>
      </c>
      <c r="C163" s="88"/>
      <c r="D163" s="88"/>
      <c r="E163" s="88"/>
      <c r="F163" s="88"/>
      <c r="G163" s="88"/>
      <c r="H163" s="88"/>
      <c r="I163" s="88"/>
      <c r="J163" s="88"/>
      <c r="K163" s="88"/>
      <c r="L163" s="88"/>
      <c r="W163" s="90"/>
    </row>
    <row r="164" spans="2:25" x14ac:dyDescent="0.35">
      <c r="B164" s="89">
        <v>71</v>
      </c>
      <c r="C164" s="89"/>
      <c r="D164" s="89"/>
      <c r="E164" s="89"/>
      <c r="F164" s="89"/>
      <c r="G164" s="89"/>
      <c r="H164" s="89"/>
      <c r="I164" s="89"/>
      <c r="J164" s="89"/>
      <c r="K164" s="89"/>
      <c r="L164" s="89"/>
    </row>
    <row r="165" spans="2:25" x14ac:dyDescent="0.35">
      <c r="B165" s="88">
        <v>72</v>
      </c>
      <c r="C165" s="88"/>
      <c r="D165" s="88"/>
      <c r="E165" s="88"/>
      <c r="F165" s="88"/>
      <c r="G165" s="88"/>
      <c r="H165" s="88"/>
      <c r="I165" s="88"/>
      <c r="J165" s="88"/>
      <c r="K165" s="88"/>
      <c r="L165" s="88"/>
    </row>
    <row r="166" spans="2:25" x14ac:dyDescent="0.35">
      <c r="B166" s="89">
        <v>73</v>
      </c>
      <c r="C166" s="89"/>
      <c r="D166" s="89"/>
      <c r="E166" s="89"/>
      <c r="F166" s="89"/>
      <c r="G166" s="89"/>
      <c r="H166" s="89"/>
      <c r="I166" s="89"/>
      <c r="J166" s="89"/>
      <c r="K166" s="89"/>
      <c r="L166" s="89"/>
    </row>
    <row r="167" spans="2:25" x14ac:dyDescent="0.35">
      <c r="B167" s="88">
        <v>74</v>
      </c>
      <c r="C167" s="88"/>
      <c r="D167" s="88"/>
      <c r="E167" s="88"/>
      <c r="F167" s="88"/>
      <c r="G167" s="88"/>
      <c r="H167" s="88"/>
      <c r="I167" s="88"/>
      <c r="J167" s="88"/>
      <c r="K167" s="88"/>
      <c r="L167" s="88"/>
    </row>
    <row r="168" spans="2:25" x14ac:dyDescent="0.35">
      <c r="B168" s="89">
        <v>75</v>
      </c>
      <c r="C168" s="89"/>
      <c r="D168" s="89"/>
      <c r="E168" s="89"/>
      <c r="F168" s="89"/>
      <c r="G168" s="89"/>
      <c r="H168" s="89"/>
      <c r="I168" s="89"/>
      <c r="J168" s="89"/>
      <c r="K168" s="89"/>
      <c r="L168" s="89"/>
    </row>
    <row r="169" spans="2:25" x14ac:dyDescent="0.35">
      <c r="B169" s="88">
        <v>76</v>
      </c>
      <c r="C169" s="88"/>
      <c r="D169" s="88"/>
      <c r="E169" s="88"/>
      <c r="F169" s="88"/>
      <c r="G169" s="88"/>
      <c r="H169" s="88"/>
      <c r="I169" s="88"/>
      <c r="J169" s="88"/>
      <c r="K169" s="88"/>
      <c r="L169" s="88"/>
    </row>
    <row r="170" spans="2:25" x14ac:dyDescent="0.35">
      <c r="B170" s="89">
        <v>77</v>
      </c>
      <c r="C170" s="89"/>
      <c r="D170" s="89"/>
      <c r="E170" s="89"/>
      <c r="F170" s="89"/>
      <c r="G170" s="89"/>
      <c r="H170" s="89"/>
      <c r="I170" s="89"/>
      <c r="J170" s="89"/>
      <c r="K170" s="89"/>
      <c r="L170" s="89"/>
    </row>
    <row r="171" spans="2:25" x14ac:dyDescent="0.35">
      <c r="B171" s="88">
        <v>78</v>
      </c>
      <c r="C171" s="88"/>
      <c r="D171" s="88"/>
      <c r="E171" s="88"/>
      <c r="F171" s="88"/>
      <c r="G171" s="88"/>
      <c r="H171" s="88"/>
      <c r="I171" s="88"/>
      <c r="J171" s="88"/>
      <c r="K171" s="88"/>
      <c r="L171" s="88"/>
    </row>
    <row r="172" spans="2:25" x14ac:dyDescent="0.35">
      <c r="B172" s="89">
        <v>79</v>
      </c>
      <c r="C172" s="89"/>
      <c r="D172" s="89"/>
      <c r="E172" s="89"/>
      <c r="F172" s="89"/>
      <c r="G172" s="89"/>
      <c r="H172" s="89"/>
      <c r="I172" s="89"/>
      <c r="J172" s="89"/>
      <c r="K172" s="89"/>
      <c r="L172" s="89"/>
    </row>
    <row r="173" spans="2:25" x14ac:dyDescent="0.35">
      <c r="B173" s="88">
        <v>80</v>
      </c>
      <c r="C173" s="88"/>
      <c r="D173" s="88"/>
      <c r="E173" s="88"/>
      <c r="F173" s="88"/>
      <c r="G173" s="88"/>
      <c r="H173" s="88"/>
      <c r="I173" s="88"/>
      <c r="J173" s="88"/>
      <c r="K173" s="88"/>
      <c r="L173" s="88"/>
    </row>
    <row r="174" spans="2:25" x14ac:dyDescent="0.35">
      <c r="B174" s="89">
        <v>81</v>
      </c>
      <c r="C174" s="89"/>
      <c r="D174" s="89"/>
      <c r="E174" s="89"/>
      <c r="F174" s="89"/>
      <c r="G174" s="89"/>
      <c r="H174" s="89"/>
      <c r="I174" s="89"/>
      <c r="J174" s="89"/>
      <c r="K174" s="89"/>
      <c r="L174" s="89"/>
    </row>
    <row r="175" spans="2:25" x14ac:dyDescent="0.35">
      <c r="B175" s="88">
        <v>82</v>
      </c>
      <c r="C175" s="88"/>
      <c r="D175" s="88"/>
      <c r="E175" s="88"/>
      <c r="F175" s="88"/>
      <c r="G175" s="88"/>
      <c r="H175" s="88"/>
      <c r="I175" s="88"/>
      <c r="J175" s="88"/>
      <c r="K175" s="88"/>
      <c r="L175" s="88"/>
    </row>
    <row r="176" spans="2:25" x14ac:dyDescent="0.35">
      <c r="B176" s="89">
        <v>83</v>
      </c>
      <c r="C176" s="89"/>
      <c r="D176" s="89"/>
      <c r="E176" s="89"/>
      <c r="F176" s="89"/>
      <c r="G176" s="89"/>
      <c r="H176" s="89"/>
      <c r="I176" s="89"/>
      <c r="J176" s="89"/>
      <c r="K176" s="89"/>
      <c r="L176" s="89"/>
    </row>
    <row r="177" spans="2:12" x14ac:dyDescent="0.35">
      <c r="B177" s="88">
        <v>84</v>
      </c>
      <c r="C177" s="88"/>
      <c r="D177" s="88"/>
      <c r="E177" s="88"/>
      <c r="F177" s="88"/>
      <c r="G177" s="88"/>
      <c r="H177" s="88"/>
      <c r="I177" s="88"/>
      <c r="J177" s="88"/>
      <c r="K177" s="88"/>
      <c r="L177" s="88"/>
    </row>
    <row r="178" spans="2:12" x14ac:dyDescent="0.35">
      <c r="B178" s="89">
        <v>85</v>
      </c>
      <c r="C178" s="89"/>
      <c r="D178" s="89"/>
      <c r="E178" s="89"/>
      <c r="F178" s="89"/>
      <c r="G178" s="89"/>
      <c r="H178" s="89"/>
      <c r="I178" s="89"/>
      <c r="J178" s="89"/>
      <c r="K178" s="89"/>
      <c r="L178" s="89"/>
    </row>
    <row r="179" spans="2:12" x14ac:dyDescent="0.35">
      <c r="B179" s="88">
        <v>86</v>
      </c>
      <c r="C179" s="88"/>
      <c r="D179" s="88"/>
      <c r="E179" s="88"/>
      <c r="F179" s="88"/>
      <c r="G179" s="88"/>
      <c r="H179" s="88"/>
      <c r="I179" s="88"/>
      <c r="J179" s="88"/>
      <c r="K179" s="88"/>
      <c r="L179" s="88"/>
    </row>
    <row r="180" spans="2:12" x14ac:dyDescent="0.35">
      <c r="B180" s="89">
        <v>87</v>
      </c>
      <c r="C180" s="89"/>
      <c r="D180" s="89"/>
      <c r="E180" s="89"/>
      <c r="F180" s="89"/>
      <c r="G180" s="89"/>
      <c r="H180" s="89"/>
      <c r="I180" s="89"/>
      <c r="J180" s="89"/>
      <c r="K180" s="89"/>
      <c r="L180" s="89"/>
    </row>
    <row r="181" spans="2:12" x14ac:dyDescent="0.35">
      <c r="B181" s="88">
        <v>88</v>
      </c>
      <c r="C181" s="88"/>
      <c r="D181" s="88"/>
      <c r="E181" s="88"/>
      <c r="F181" s="88"/>
      <c r="G181" s="88"/>
      <c r="H181" s="88"/>
      <c r="I181" s="88"/>
      <c r="J181" s="88"/>
      <c r="K181" s="88"/>
      <c r="L181" s="88"/>
    </row>
    <row r="182" spans="2:12" x14ac:dyDescent="0.35">
      <c r="B182" s="89">
        <v>89</v>
      </c>
      <c r="C182" s="89"/>
      <c r="D182" s="89"/>
      <c r="E182" s="89"/>
      <c r="F182" s="89"/>
      <c r="G182" s="89"/>
      <c r="H182" s="89"/>
      <c r="I182" s="89"/>
      <c r="J182" s="89"/>
      <c r="K182" s="89"/>
      <c r="L182" s="89"/>
    </row>
    <row r="183" spans="2:12" x14ac:dyDescent="0.35">
      <c r="B183" s="88">
        <v>90</v>
      </c>
      <c r="C183" s="88"/>
      <c r="D183" s="88"/>
      <c r="E183" s="88"/>
      <c r="F183" s="88"/>
      <c r="G183" s="88"/>
      <c r="H183" s="88"/>
      <c r="I183" s="88"/>
      <c r="J183" s="88"/>
      <c r="K183" s="88"/>
      <c r="L183" s="88"/>
    </row>
    <row r="184" spans="2:12" x14ac:dyDescent="0.35">
      <c r="B184" s="89">
        <v>91</v>
      </c>
      <c r="C184" s="89"/>
      <c r="D184" s="89"/>
      <c r="E184" s="89"/>
      <c r="F184" s="89"/>
      <c r="G184" s="89"/>
      <c r="H184" s="89"/>
      <c r="I184" s="89"/>
      <c r="J184" s="89"/>
      <c r="K184" s="89"/>
      <c r="L184" s="89"/>
    </row>
    <row r="185" spans="2:12" x14ac:dyDescent="0.35">
      <c r="B185" s="88">
        <v>92</v>
      </c>
      <c r="C185" s="88"/>
      <c r="D185" s="88"/>
      <c r="E185" s="88"/>
      <c r="F185" s="88"/>
      <c r="G185" s="88"/>
      <c r="H185" s="88"/>
      <c r="I185" s="88"/>
      <c r="J185" s="88"/>
      <c r="K185" s="88"/>
      <c r="L185" s="88"/>
    </row>
    <row r="186" spans="2:12" x14ac:dyDescent="0.35">
      <c r="B186" s="89">
        <v>93</v>
      </c>
      <c r="C186" s="89"/>
      <c r="D186" s="89"/>
      <c r="E186" s="89"/>
      <c r="F186" s="89"/>
      <c r="G186" s="89"/>
      <c r="H186" s="89"/>
      <c r="I186" s="89"/>
      <c r="J186" s="89"/>
      <c r="K186" s="89"/>
      <c r="L186" s="89"/>
    </row>
    <row r="187" spans="2:12" x14ac:dyDescent="0.35">
      <c r="B187" s="88">
        <v>94</v>
      </c>
      <c r="C187" s="88"/>
      <c r="D187" s="88"/>
      <c r="E187" s="88"/>
      <c r="F187" s="88"/>
      <c r="G187" s="88"/>
      <c r="H187" s="88"/>
      <c r="I187" s="88"/>
      <c r="J187" s="88"/>
      <c r="K187" s="88"/>
      <c r="L187" s="88"/>
    </row>
    <row r="188" spans="2:12" x14ac:dyDescent="0.35">
      <c r="B188" s="89">
        <v>95</v>
      </c>
      <c r="C188" s="89"/>
      <c r="D188" s="89"/>
      <c r="E188" s="89"/>
      <c r="F188" s="89"/>
      <c r="G188" s="89"/>
      <c r="H188" s="89"/>
      <c r="I188" s="89"/>
      <c r="J188" s="89"/>
      <c r="K188" s="89"/>
      <c r="L188" s="89"/>
    </row>
    <row r="189" spans="2:12" x14ac:dyDescent="0.35">
      <c r="B189" s="88">
        <v>96</v>
      </c>
      <c r="C189" s="88"/>
      <c r="D189" s="88"/>
      <c r="E189" s="88"/>
      <c r="F189" s="88"/>
      <c r="G189" s="88"/>
      <c r="H189" s="88"/>
      <c r="I189" s="88"/>
      <c r="J189" s="88"/>
      <c r="K189" s="88"/>
      <c r="L189" s="88"/>
    </row>
    <row r="190" spans="2:12" x14ac:dyDescent="0.35">
      <c r="B190" s="89">
        <v>97</v>
      </c>
      <c r="C190" s="89"/>
      <c r="D190" s="89"/>
      <c r="E190" s="89"/>
      <c r="F190" s="89"/>
      <c r="G190" s="89"/>
      <c r="H190" s="89"/>
      <c r="I190" s="89"/>
      <c r="J190" s="89"/>
      <c r="K190" s="89"/>
      <c r="L190" s="89"/>
    </row>
    <row r="191" spans="2:12" x14ac:dyDescent="0.35">
      <c r="B191" s="88">
        <v>98</v>
      </c>
      <c r="C191" s="88"/>
      <c r="D191" s="88"/>
      <c r="E191" s="88"/>
      <c r="F191" s="88"/>
      <c r="G191" s="88"/>
      <c r="H191" s="88"/>
      <c r="I191" s="88"/>
      <c r="J191" s="88"/>
      <c r="K191" s="88"/>
      <c r="L191" s="88"/>
    </row>
    <row r="192" spans="2:12" x14ac:dyDescent="0.35">
      <c r="B192" s="89">
        <v>99</v>
      </c>
      <c r="C192" s="89"/>
      <c r="D192" s="89"/>
      <c r="E192" s="89"/>
      <c r="F192" s="89"/>
      <c r="G192" s="89"/>
      <c r="H192" s="89"/>
      <c r="I192" s="89"/>
      <c r="J192" s="89"/>
      <c r="K192" s="89"/>
      <c r="L192" s="89"/>
    </row>
    <row r="193" spans="2:12" x14ac:dyDescent="0.35">
      <c r="B193" s="88">
        <v>100</v>
      </c>
      <c r="C193" s="88"/>
      <c r="D193" s="88"/>
      <c r="E193" s="88"/>
      <c r="F193" s="88"/>
      <c r="G193" s="88"/>
      <c r="H193" s="88"/>
      <c r="I193" s="88"/>
      <c r="J193" s="88"/>
      <c r="K193" s="88"/>
      <c r="L193" s="88"/>
    </row>
    <row r="194" spans="2:12" x14ac:dyDescent="0.35">
      <c r="B194" s="89">
        <v>101</v>
      </c>
      <c r="C194" s="89"/>
      <c r="D194" s="89"/>
      <c r="E194" s="89"/>
      <c r="F194" s="89"/>
      <c r="G194" s="89"/>
      <c r="H194" s="89"/>
      <c r="I194" s="89"/>
      <c r="J194" s="89"/>
      <c r="K194" s="89"/>
      <c r="L194" s="89"/>
    </row>
    <row r="195" spans="2:12" x14ac:dyDescent="0.35">
      <c r="B195" s="88">
        <v>102</v>
      </c>
      <c r="C195" s="88"/>
      <c r="D195" s="88"/>
      <c r="E195" s="88"/>
      <c r="F195" s="88"/>
      <c r="G195" s="88"/>
      <c r="H195" s="88"/>
      <c r="I195" s="88"/>
      <c r="J195" s="88"/>
      <c r="K195" s="88"/>
      <c r="L195" s="88"/>
    </row>
    <row r="196" spans="2:12" x14ac:dyDescent="0.35">
      <c r="B196" s="89">
        <v>103</v>
      </c>
      <c r="C196" s="89"/>
      <c r="D196" s="89"/>
      <c r="E196" s="89"/>
      <c r="F196" s="89"/>
      <c r="G196" s="89"/>
      <c r="H196" s="89"/>
      <c r="I196" s="89"/>
      <c r="J196" s="89"/>
      <c r="K196" s="89"/>
      <c r="L196" s="89"/>
    </row>
    <row r="197" spans="2:12" x14ac:dyDescent="0.35">
      <c r="B197" s="88">
        <v>104</v>
      </c>
      <c r="C197" s="88"/>
      <c r="D197" s="88"/>
      <c r="E197" s="88"/>
      <c r="F197" s="88"/>
      <c r="G197" s="88"/>
      <c r="H197" s="88"/>
      <c r="I197" s="88"/>
      <c r="J197" s="88"/>
      <c r="K197" s="88"/>
      <c r="L197" s="88"/>
    </row>
    <row r="198" spans="2:12" x14ac:dyDescent="0.35">
      <c r="B198" s="89">
        <v>105</v>
      </c>
      <c r="C198" s="89"/>
      <c r="D198" s="89"/>
      <c r="E198" s="89"/>
      <c r="F198" s="89"/>
      <c r="G198" s="89"/>
      <c r="H198" s="89"/>
      <c r="I198" s="89"/>
      <c r="J198" s="89"/>
      <c r="K198" s="89"/>
      <c r="L198" s="89"/>
    </row>
    <row r="199" spans="2:12" x14ac:dyDescent="0.35">
      <c r="B199" s="88">
        <v>106</v>
      </c>
      <c r="C199" s="88"/>
      <c r="D199" s="88"/>
      <c r="E199" s="88"/>
      <c r="F199" s="88"/>
      <c r="G199" s="88"/>
      <c r="H199" s="88"/>
      <c r="I199" s="88"/>
      <c r="J199" s="88"/>
      <c r="K199" s="88"/>
      <c r="L199" s="88"/>
    </row>
    <row r="200" spans="2:12" x14ac:dyDescent="0.35">
      <c r="B200" s="89">
        <v>107</v>
      </c>
      <c r="C200" s="89"/>
      <c r="D200" s="89"/>
      <c r="E200" s="89"/>
      <c r="F200" s="89"/>
      <c r="G200" s="89"/>
      <c r="H200" s="89"/>
      <c r="I200" s="89"/>
      <c r="J200" s="89"/>
      <c r="K200" s="89"/>
      <c r="L200" s="89"/>
    </row>
    <row r="201" spans="2:12" x14ac:dyDescent="0.35">
      <c r="B201" s="88">
        <v>108</v>
      </c>
      <c r="C201" s="88"/>
      <c r="D201" s="88"/>
      <c r="E201" s="88"/>
      <c r="F201" s="88"/>
      <c r="G201" s="88"/>
      <c r="H201" s="88"/>
      <c r="I201" s="88"/>
      <c r="J201" s="88"/>
      <c r="K201" s="88"/>
      <c r="L201" s="88"/>
    </row>
    <row r="202" spans="2:12" x14ac:dyDescent="0.35">
      <c r="B202" s="89">
        <v>109</v>
      </c>
      <c r="C202" s="89"/>
      <c r="D202" s="89"/>
      <c r="E202" s="89"/>
      <c r="F202" s="89"/>
      <c r="G202" s="89"/>
      <c r="H202" s="89"/>
      <c r="I202" s="89"/>
      <c r="J202" s="89"/>
      <c r="K202" s="89"/>
      <c r="L202" s="89"/>
    </row>
    <row r="203" spans="2:12" x14ac:dyDescent="0.35">
      <c r="B203" s="88">
        <v>110</v>
      </c>
      <c r="C203" s="88"/>
      <c r="D203" s="88"/>
      <c r="E203" s="88"/>
      <c r="F203" s="88"/>
      <c r="G203" s="88"/>
      <c r="H203" s="88"/>
      <c r="I203" s="88"/>
      <c r="J203" s="88"/>
      <c r="K203" s="88"/>
      <c r="L203" s="88"/>
    </row>
    <row r="204" spans="2:12" x14ac:dyDescent="0.35">
      <c r="B204" s="89">
        <v>111</v>
      </c>
      <c r="C204" s="89"/>
      <c r="D204" s="89"/>
      <c r="E204" s="89"/>
      <c r="F204" s="89"/>
      <c r="G204" s="89"/>
      <c r="H204" s="89"/>
      <c r="I204" s="89"/>
      <c r="J204" s="89"/>
      <c r="K204" s="89"/>
      <c r="L204" s="89"/>
    </row>
    <row r="205" spans="2:12" x14ac:dyDescent="0.35">
      <c r="B205" s="88">
        <v>112</v>
      </c>
      <c r="C205" s="88"/>
      <c r="D205" s="88"/>
      <c r="E205" s="88"/>
      <c r="F205" s="88"/>
      <c r="G205" s="88"/>
      <c r="H205" s="88"/>
      <c r="I205" s="88"/>
      <c r="J205" s="88"/>
      <c r="K205" s="88"/>
      <c r="L205" s="88"/>
    </row>
    <row r="206" spans="2:12" x14ac:dyDescent="0.35">
      <c r="B206" s="89">
        <v>113</v>
      </c>
      <c r="C206" s="89"/>
      <c r="D206" s="89"/>
      <c r="E206" s="89"/>
      <c r="F206" s="89"/>
      <c r="G206" s="89"/>
      <c r="H206" s="89"/>
      <c r="I206" s="89"/>
      <c r="J206" s="89"/>
      <c r="K206" s="89"/>
      <c r="L206" s="89"/>
    </row>
    <row r="207" spans="2:12" x14ac:dyDescent="0.35">
      <c r="B207" s="88">
        <v>114</v>
      </c>
      <c r="C207" s="88"/>
      <c r="D207" s="88"/>
      <c r="E207" s="88"/>
      <c r="F207" s="88"/>
      <c r="G207" s="88"/>
      <c r="H207" s="88"/>
      <c r="I207" s="88"/>
      <c r="J207" s="88"/>
      <c r="K207" s="88"/>
      <c r="L207" s="88"/>
    </row>
    <row r="208" spans="2:12" x14ac:dyDescent="0.35">
      <c r="B208" s="89">
        <v>115</v>
      </c>
      <c r="C208" s="89"/>
      <c r="D208" s="89"/>
      <c r="E208" s="89"/>
      <c r="F208" s="89"/>
      <c r="G208" s="89"/>
      <c r="H208" s="89"/>
      <c r="I208" s="89"/>
      <c r="J208" s="89"/>
      <c r="K208" s="89"/>
      <c r="L208" s="89"/>
    </row>
    <row r="209" spans="2:12" x14ac:dyDescent="0.35">
      <c r="B209" s="88">
        <v>116</v>
      </c>
      <c r="C209" s="88"/>
      <c r="D209" s="88"/>
      <c r="E209" s="88"/>
      <c r="F209" s="88"/>
      <c r="G209" s="88"/>
      <c r="H209" s="88"/>
      <c r="I209" s="88"/>
      <c r="J209" s="88"/>
      <c r="K209" s="88"/>
      <c r="L209" s="88"/>
    </row>
    <row r="210" spans="2:12" x14ac:dyDescent="0.35">
      <c r="B210" s="89">
        <v>117</v>
      </c>
      <c r="C210" s="89"/>
      <c r="D210" s="89"/>
      <c r="E210" s="89"/>
      <c r="F210" s="89"/>
      <c r="G210" s="89"/>
      <c r="H210" s="89"/>
      <c r="I210" s="89"/>
      <c r="J210" s="89"/>
      <c r="K210" s="89"/>
      <c r="L210" s="89"/>
    </row>
    <row r="211" spans="2:12" x14ac:dyDescent="0.35">
      <c r="B211" s="88">
        <v>118</v>
      </c>
      <c r="C211" s="88"/>
      <c r="D211" s="88"/>
      <c r="E211" s="88"/>
      <c r="F211" s="88"/>
      <c r="G211" s="88"/>
      <c r="H211" s="88"/>
      <c r="I211" s="88"/>
      <c r="J211" s="88"/>
      <c r="K211" s="88"/>
      <c r="L211" s="88"/>
    </row>
    <row r="212" spans="2:12" x14ac:dyDescent="0.35">
      <c r="B212" s="89">
        <v>119</v>
      </c>
      <c r="C212" s="89"/>
      <c r="D212" s="89"/>
      <c r="E212" s="89"/>
      <c r="F212" s="89"/>
      <c r="G212" s="89"/>
      <c r="H212" s="89"/>
      <c r="I212" s="89"/>
      <c r="J212" s="89"/>
      <c r="K212" s="89"/>
      <c r="L212" s="89"/>
    </row>
    <row r="213" spans="2:12" x14ac:dyDescent="0.35">
      <c r="B213" s="88">
        <v>120</v>
      </c>
      <c r="C213" s="88"/>
      <c r="D213" s="88"/>
      <c r="E213" s="88"/>
      <c r="F213" s="88"/>
      <c r="G213" s="88"/>
      <c r="H213" s="88"/>
      <c r="I213" s="88"/>
      <c r="J213" s="88"/>
      <c r="K213" s="88"/>
      <c r="L213" s="88"/>
    </row>
    <row r="214" spans="2:12" x14ac:dyDescent="0.35">
      <c r="B214" s="89">
        <v>121</v>
      </c>
      <c r="C214" s="89"/>
      <c r="D214" s="89"/>
      <c r="E214" s="89"/>
      <c r="F214" s="89"/>
      <c r="G214" s="89"/>
      <c r="H214" s="89"/>
      <c r="I214" s="89"/>
      <c r="J214" s="89"/>
      <c r="K214" s="89"/>
      <c r="L214" s="89"/>
    </row>
    <row r="215" spans="2:12" x14ac:dyDescent="0.35">
      <c r="B215" s="88">
        <v>122</v>
      </c>
      <c r="C215" s="88"/>
      <c r="D215" s="88"/>
      <c r="E215" s="88"/>
      <c r="F215" s="88"/>
      <c r="G215" s="88"/>
      <c r="H215" s="88"/>
      <c r="I215" s="88"/>
      <c r="J215" s="88"/>
      <c r="K215" s="88"/>
      <c r="L215" s="88"/>
    </row>
    <row r="216" spans="2:12" x14ac:dyDescent="0.35">
      <c r="B216" s="89">
        <v>123</v>
      </c>
      <c r="C216" s="89"/>
      <c r="D216" s="89"/>
      <c r="E216" s="89"/>
      <c r="F216" s="89"/>
      <c r="G216" s="89"/>
      <c r="H216" s="89"/>
      <c r="I216" s="89"/>
      <c r="J216" s="89"/>
      <c r="K216" s="89"/>
      <c r="L216" s="89"/>
    </row>
    <row r="217" spans="2:12" x14ac:dyDescent="0.35">
      <c r="B217" s="88">
        <v>124</v>
      </c>
      <c r="C217" s="88"/>
      <c r="D217" s="88"/>
      <c r="E217" s="88"/>
      <c r="F217" s="88"/>
      <c r="G217" s="88"/>
      <c r="H217" s="88"/>
      <c r="I217" s="88"/>
      <c r="J217" s="88"/>
      <c r="K217" s="88"/>
      <c r="L217" s="88"/>
    </row>
    <row r="218" spans="2:12" x14ac:dyDescent="0.35">
      <c r="B218" s="89">
        <v>125</v>
      </c>
      <c r="C218" s="89"/>
      <c r="D218" s="89"/>
      <c r="E218" s="89"/>
      <c r="F218" s="89"/>
      <c r="G218" s="89"/>
      <c r="H218" s="89"/>
      <c r="I218" s="89"/>
      <c r="J218" s="89"/>
      <c r="K218" s="89"/>
      <c r="L218" s="89"/>
    </row>
    <row r="219" spans="2:12" x14ac:dyDescent="0.35">
      <c r="B219" s="88">
        <v>126</v>
      </c>
      <c r="C219" s="88"/>
      <c r="D219" s="88"/>
      <c r="E219" s="88"/>
      <c r="F219" s="88"/>
      <c r="G219" s="88"/>
      <c r="H219" s="88"/>
      <c r="I219" s="88"/>
      <c r="J219" s="88"/>
      <c r="K219" s="88"/>
      <c r="L219" s="88"/>
    </row>
    <row r="220" spans="2:12" x14ac:dyDescent="0.35">
      <c r="B220" s="89">
        <v>127</v>
      </c>
      <c r="C220" s="89"/>
      <c r="D220" s="89"/>
      <c r="E220" s="89"/>
      <c r="F220" s="89"/>
      <c r="G220" s="89"/>
      <c r="H220" s="89"/>
      <c r="I220" s="89"/>
      <c r="J220" s="89"/>
      <c r="K220" s="89"/>
      <c r="L220" s="89"/>
    </row>
    <row r="221" spans="2:12" x14ac:dyDescent="0.35">
      <c r="B221" s="88">
        <v>128</v>
      </c>
      <c r="C221" s="88"/>
      <c r="D221" s="88"/>
      <c r="E221" s="88"/>
      <c r="F221" s="88"/>
      <c r="G221" s="88"/>
      <c r="H221" s="88"/>
      <c r="I221" s="88"/>
      <c r="J221" s="88"/>
      <c r="K221" s="88"/>
      <c r="L221" s="88"/>
    </row>
    <row r="222" spans="2:12" x14ac:dyDescent="0.35">
      <c r="B222" s="89">
        <v>129</v>
      </c>
      <c r="C222" s="89"/>
      <c r="D222" s="89"/>
      <c r="E222" s="89"/>
      <c r="F222" s="89"/>
      <c r="G222" s="89"/>
      <c r="H222" s="89"/>
      <c r="I222" s="89"/>
      <c r="J222" s="89"/>
      <c r="K222" s="89"/>
      <c r="L222" s="89"/>
    </row>
    <row r="223" spans="2:12" x14ac:dyDescent="0.35">
      <c r="B223" s="88">
        <v>130</v>
      </c>
      <c r="C223" s="88"/>
      <c r="D223" s="88"/>
      <c r="E223" s="88"/>
      <c r="F223" s="88"/>
      <c r="G223" s="88"/>
      <c r="H223" s="88"/>
      <c r="I223" s="88"/>
      <c r="J223" s="88"/>
      <c r="K223" s="88"/>
      <c r="L223" s="88"/>
    </row>
    <row r="224" spans="2:12" x14ac:dyDescent="0.35">
      <c r="B224" s="89">
        <v>131</v>
      </c>
      <c r="C224" s="89"/>
      <c r="D224" s="89"/>
      <c r="E224" s="89"/>
      <c r="F224" s="89"/>
      <c r="G224" s="89"/>
      <c r="H224" s="89"/>
      <c r="I224" s="89"/>
      <c r="J224" s="89"/>
      <c r="K224" s="89"/>
      <c r="L224" s="89"/>
    </row>
    <row r="225" spans="2:12" x14ac:dyDescent="0.35">
      <c r="B225" s="88">
        <v>132</v>
      </c>
      <c r="C225" s="88"/>
      <c r="D225" s="88"/>
      <c r="E225" s="88"/>
      <c r="F225" s="88"/>
      <c r="G225" s="88"/>
      <c r="H225" s="88"/>
      <c r="I225" s="88"/>
      <c r="J225" s="88"/>
      <c r="K225" s="88"/>
      <c r="L225" s="88"/>
    </row>
    <row r="226" spans="2:12" x14ac:dyDescent="0.35">
      <c r="B226" s="89">
        <v>133</v>
      </c>
      <c r="C226" s="89"/>
      <c r="D226" s="89"/>
      <c r="E226" s="89"/>
      <c r="F226" s="89"/>
      <c r="G226" s="89"/>
      <c r="H226" s="89"/>
      <c r="I226" s="89"/>
      <c r="J226" s="89"/>
      <c r="K226" s="89"/>
      <c r="L226" s="89"/>
    </row>
    <row r="227" spans="2:12" x14ac:dyDescent="0.35">
      <c r="B227" s="88">
        <v>134</v>
      </c>
      <c r="C227" s="88"/>
      <c r="D227" s="88"/>
      <c r="E227" s="88"/>
      <c r="F227" s="88"/>
      <c r="G227" s="88"/>
      <c r="H227" s="88"/>
      <c r="I227" s="88"/>
      <c r="J227" s="88"/>
      <c r="K227" s="88"/>
      <c r="L227" s="88"/>
    </row>
    <row r="228" spans="2:12" x14ac:dyDescent="0.35">
      <c r="B228" s="89">
        <v>135</v>
      </c>
      <c r="C228" s="89"/>
      <c r="D228" s="89"/>
      <c r="E228" s="89"/>
      <c r="F228" s="89"/>
      <c r="G228" s="89"/>
      <c r="H228" s="89"/>
      <c r="I228" s="89"/>
      <c r="J228" s="89"/>
      <c r="K228" s="89"/>
      <c r="L228" s="89"/>
    </row>
    <row r="229" spans="2:12" x14ac:dyDescent="0.35">
      <c r="B229" s="88">
        <v>136</v>
      </c>
      <c r="C229" s="88"/>
      <c r="D229" s="88"/>
      <c r="E229" s="88"/>
      <c r="F229" s="88"/>
      <c r="G229" s="88"/>
      <c r="H229" s="88"/>
      <c r="I229" s="88"/>
      <c r="J229" s="88"/>
      <c r="K229" s="88"/>
      <c r="L229" s="88"/>
    </row>
    <row r="230" spans="2:12" x14ac:dyDescent="0.35">
      <c r="B230" s="89">
        <v>137</v>
      </c>
      <c r="C230" s="89"/>
      <c r="D230" s="89"/>
      <c r="E230" s="89"/>
      <c r="F230" s="89"/>
      <c r="G230" s="89"/>
      <c r="H230" s="89"/>
      <c r="I230" s="89"/>
      <c r="J230" s="89"/>
      <c r="K230" s="89"/>
      <c r="L230" s="89"/>
    </row>
    <row r="231" spans="2:12" x14ac:dyDescent="0.35">
      <c r="B231" s="88">
        <v>138</v>
      </c>
      <c r="C231" s="88"/>
      <c r="D231" s="88"/>
      <c r="E231" s="88"/>
      <c r="F231" s="88"/>
      <c r="G231" s="88"/>
      <c r="H231" s="88"/>
      <c r="I231" s="88"/>
      <c r="J231" s="88"/>
      <c r="K231" s="88"/>
      <c r="L231" s="88"/>
    </row>
    <row r="232" spans="2:12" x14ac:dyDescent="0.35">
      <c r="B232" s="89">
        <v>139</v>
      </c>
      <c r="C232" s="89"/>
      <c r="D232" s="89"/>
      <c r="E232" s="89"/>
      <c r="F232" s="89"/>
      <c r="G232" s="89"/>
      <c r="H232" s="89"/>
      <c r="I232" s="89"/>
      <c r="J232" s="89"/>
      <c r="K232" s="89"/>
      <c r="L232" s="89"/>
    </row>
    <row r="233" spans="2:12" x14ac:dyDescent="0.35">
      <c r="B233" s="88">
        <v>140</v>
      </c>
      <c r="C233" s="88"/>
      <c r="D233" s="88"/>
      <c r="E233" s="88"/>
      <c r="F233" s="88"/>
      <c r="G233" s="88"/>
      <c r="H233" s="88"/>
      <c r="I233" s="88"/>
      <c r="J233" s="88"/>
      <c r="K233" s="88"/>
      <c r="L233" s="88"/>
    </row>
    <row r="234" spans="2:12" x14ac:dyDescent="0.35">
      <c r="B234" s="89">
        <v>141</v>
      </c>
      <c r="C234" s="89"/>
      <c r="D234" s="89"/>
      <c r="E234" s="89"/>
      <c r="F234" s="89"/>
      <c r="G234" s="89"/>
      <c r="H234" s="89"/>
      <c r="I234" s="89"/>
      <c r="J234" s="89"/>
      <c r="K234" s="89"/>
      <c r="L234" s="89"/>
    </row>
    <row r="235" spans="2:12" x14ac:dyDescent="0.35">
      <c r="B235" s="88">
        <v>142</v>
      </c>
      <c r="C235" s="88"/>
      <c r="D235" s="88"/>
      <c r="E235" s="88"/>
      <c r="F235" s="88"/>
      <c r="G235" s="88"/>
      <c r="H235" s="88"/>
      <c r="I235" s="88"/>
      <c r="J235" s="88"/>
      <c r="K235" s="88"/>
      <c r="L235" s="88"/>
    </row>
    <row r="236" spans="2:12" x14ac:dyDescent="0.35">
      <c r="B236" s="89">
        <v>143</v>
      </c>
      <c r="C236" s="89"/>
      <c r="D236" s="89"/>
      <c r="E236" s="89"/>
      <c r="F236" s="89"/>
      <c r="G236" s="89"/>
      <c r="H236" s="89"/>
      <c r="I236" s="89"/>
      <c r="J236" s="89"/>
      <c r="K236" s="89"/>
      <c r="L236" s="89"/>
    </row>
    <row r="237" spans="2:12" x14ac:dyDescent="0.35">
      <c r="B237" s="88">
        <v>144</v>
      </c>
      <c r="C237" s="88"/>
      <c r="D237" s="88"/>
      <c r="E237" s="88"/>
      <c r="F237" s="88"/>
      <c r="G237" s="88"/>
      <c r="H237" s="88"/>
      <c r="I237" s="88"/>
      <c r="J237" s="88"/>
      <c r="K237" s="88"/>
      <c r="L237" s="88"/>
    </row>
    <row r="238" spans="2:12" x14ac:dyDescent="0.35">
      <c r="B238" s="89">
        <v>145</v>
      </c>
      <c r="C238" s="89"/>
      <c r="D238" s="89"/>
      <c r="E238" s="89"/>
      <c r="F238" s="89"/>
      <c r="G238" s="89"/>
      <c r="H238" s="89"/>
      <c r="I238" s="89"/>
      <c r="J238" s="89"/>
      <c r="K238" s="89"/>
      <c r="L238" s="89"/>
    </row>
    <row r="239" spans="2:12" x14ac:dyDescent="0.35">
      <c r="B239" s="88">
        <v>146</v>
      </c>
      <c r="C239" s="88"/>
      <c r="D239" s="88"/>
      <c r="E239" s="88"/>
      <c r="F239" s="88"/>
      <c r="G239" s="88"/>
      <c r="H239" s="88"/>
      <c r="I239" s="88"/>
      <c r="J239" s="88"/>
      <c r="K239" s="88"/>
      <c r="L239" s="88"/>
    </row>
    <row r="240" spans="2:12" x14ac:dyDescent="0.35">
      <c r="B240" s="89">
        <v>147</v>
      </c>
      <c r="C240" s="89"/>
      <c r="D240" s="89"/>
      <c r="E240" s="89"/>
      <c r="F240" s="89"/>
      <c r="G240" s="89"/>
      <c r="H240" s="89"/>
      <c r="I240" s="89"/>
      <c r="J240" s="89"/>
      <c r="K240" s="89"/>
      <c r="L240" s="89"/>
    </row>
    <row r="241" spans="2:12" x14ac:dyDescent="0.35">
      <c r="B241" s="88">
        <v>148</v>
      </c>
      <c r="C241" s="88"/>
      <c r="D241" s="88"/>
      <c r="E241" s="88"/>
      <c r="F241" s="88"/>
      <c r="G241" s="88"/>
      <c r="H241" s="88"/>
      <c r="I241" s="88"/>
      <c r="J241" s="88"/>
      <c r="K241" s="88"/>
      <c r="L241" s="88"/>
    </row>
    <row r="242" spans="2:12" x14ac:dyDescent="0.35">
      <c r="B242" s="89">
        <v>149</v>
      </c>
      <c r="C242" s="89"/>
      <c r="D242" s="89"/>
      <c r="E242" s="89"/>
      <c r="F242" s="89"/>
      <c r="G242" s="89"/>
      <c r="H242" s="89"/>
      <c r="I242" s="89"/>
      <c r="J242" s="89"/>
      <c r="K242" s="89"/>
      <c r="L242" s="89"/>
    </row>
    <row r="243" spans="2:12" x14ac:dyDescent="0.35">
      <c r="B243" s="88">
        <v>150</v>
      </c>
      <c r="C243" s="88"/>
      <c r="D243" s="88"/>
      <c r="E243" s="88"/>
      <c r="F243" s="88"/>
      <c r="G243" s="88"/>
      <c r="H243" s="88"/>
      <c r="I243" s="88"/>
      <c r="J243" s="88"/>
      <c r="K243" s="88"/>
      <c r="L243" s="88"/>
    </row>
    <row r="244" spans="2:12" x14ac:dyDescent="0.35">
      <c r="B244" s="89">
        <v>151</v>
      </c>
      <c r="C244" s="89"/>
      <c r="D244" s="89"/>
      <c r="E244" s="89"/>
      <c r="F244" s="89"/>
      <c r="G244" s="89"/>
      <c r="H244" s="89"/>
      <c r="I244" s="89"/>
      <c r="J244" s="89"/>
      <c r="K244" s="89"/>
      <c r="L244" s="89"/>
    </row>
    <row r="245" spans="2:12" x14ac:dyDescent="0.35">
      <c r="B245" s="88">
        <v>152</v>
      </c>
      <c r="C245" s="88"/>
      <c r="D245" s="88"/>
      <c r="E245" s="88"/>
      <c r="F245" s="88"/>
      <c r="G245" s="88"/>
      <c r="H245" s="88"/>
      <c r="I245" s="88"/>
      <c r="J245" s="88"/>
      <c r="K245" s="88"/>
      <c r="L245" s="88"/>
    </row>
    <row r="246" spans="2:12" x14ac:dyDescent="0.35">
      <c r="B246" s="89">
        <v>153</v>
      </c>
      <c r="C246" s="89"/>
      <c r="D246" s="89"/>
      <c r="E246" s="89"/>
      <c r="F246" s="89"/>
      <c r="G246" s="89"/>
      <c r="H246" s="89"/>
      <c r="I246" s="89"/>
      <c r="J246" s="89"/>
      <c r="K246" s="89"/>
      <c r="L246" s="89"/>
    </row>
    <row r="247" spans="2:12" x14ac:dyDescent="0.35">
      <c r="B247" s="88">
        <v>154</v>
      </c>
      <c r="C247" s="88"/>
      <c r="D247" s="88"/>
      <c r="E247" s="88"/>
      <c r="F247" s="88"/>
      <c r="G247" s="88"/>
      <c r="H247" s="88"/>
      <c r="I247" s="88"/>
      <c r="J247" s="88"/>
      <c r="K247" s="88"/>
      <c r="L247" s="88"/>
    </row>
    <row r="248" spans="2:12" x14ac:dyDescent="0.35">
      <c r="B248" s="89">
        <v>155</v>
      </c>
      <c r="C248" s="89"/>
      <c r="D248" s="89"/>
      <c r="E248" s="89"/>
      <c r="F248" s="89"/>
      <c r="G248" s="89"/>
      <c r="H248" s="89"/>
      <c r="I248" s="89"/>
      <c r="J248" s="89"/>
      <c r="K248" s="89"/>
      <c r="L248" s="89"/>
    </row>
    <row r="249" spans="2:12" x14ac:dyDescent="0.35">
      <c r="B249" s="88">
        <v>156</v>
      </c>
      <c r="C249" s="88"/>
      <c r="D249" s="88"/>
      <c r="E249" s="88"/>
      <c r="F249" s="88"/>
      <c r="G249" s="88"/>
      <c r="H249" s="88"/>
      <c r="I249" s="88"/>
      <c r="J249" s="88"/>
      <c r="K249" s="88"/>
      <c r="L249" s="88"/>
    </row>
    <row r="250" spans="2:12" x14ac:dyDescent="0.35">
      <c r="B250" s="89">
        <v>157</v>
      </c>
      <c r="C250" s="89"/>
      <c r="D250" s="89"/>
      <c r="E250" s="89"/>
      <c r="F250" s="89"/>
      <c r="G250" s="89"/>
      <c r="H250" s="89"/>
      <c r="I250" s="89"/>
      <c r="J250" s="89"/>
      <c r="K250" s="89"/>
      <c r="L250" s="89"/>
    </row>
    <row r="251" spans="2:12" x14ac:dyDescent="0.35">
      <c r="B251" s="88">
        <v>158</v>
      </c>
      <c r="C251" s="88"/>
      <c r="D251" s="88"/>
      <c r="E251" s="88"/>
      <c r="F251" s="88"/>
      <c r="G251" s="88"/>
      <c r="H251" s="88"/>
      <c r="I251" s="88"/>
      <c r="J251" s="88"/>
      <c r="K251" s="88"/>
      <c r="L251" s="88"/>
    </row>
    <row r="252" spans="2:12" x14ac:dyDescent="0.35">
      <c r="B252" s="89">
        <v>159</v>
      </c>
      <c r="C252" s="89"/>
      <c r="D252" s="89"/>
      <c r="E252" s="89"/>
      <c r="F252" s="89"/>
      <c r="G252" s="89"/>
      <c r="H252" s="89"/>
      <c r="I252" s="89"/>
      <c r="J252" s="89"/>
      <c r="K252" s="89"/>
      <c r="L252" s="89"/>
    </row>
    <row r="253" spans="2:12" x14ac:dyDescent="0.35">
      <c r="B253" s="88">
        <v>160</v>
      </c>
      <c r="C253" s="88"/>
      <c r="D253" s="88"/>
      <c r="E253" s="88"/>
      <c r="F253" s="88"/>
      <c r="G253" s="88"/>
      <c r="H253" s="88"/>
      <c r="I253" s="88"/>
      <c r="J253" s="88"/>
      <c r="K253" s="88"/>
      <c r="L253" s="88"/>
    </row>
    <row r="254" spans="2:12" x14ac:dyDescent="0.35">
      <c r="B254" s="89">
        <v>161</v>
      </c>
      <c r="C254" s="89"/>
      <c r="D254" s="89"/>
      <c r="E254" s="89"/>
      <c r="F254" s="89"/>
      <c r="G254" s="89"/>
      <c r="H254" s="89"/>
      <c r="I254" s="89"/>
      <c r="J254" s="89"/>
      <c r="K254" s="89"/>
      <c r="L254" s="89"/>
    </row>
    <row r="255" spans="2:12" x14ac:dyDescent="0.35">
      <c r="B255" s="88">
        <v>162</v>
      </c>
      <c r="C255" s="88"/>
      <c r="D255" s="88"/>
      <c r="E255" s="88"/>
      <c r="F255" s="88"/>
      <c r="G255" s="88"/>
      <c r="H255" s="88"/>
      <c r="I255" s="88"/>
      <c r="J255" s="88"/>
      <c r="K255" s="88"/>
      <c r="L255" s="88"/>
    </row>
    <row r="256" spans="2:12" x14ac:dyDescent="0.35">
      <c r="B256" s="89">
        <v>163</v>
      </c>
      <c r="C256" s="89"/>
      <c r="D256" s="89"/>
      <c r="E256" s="89"/>
      <c r="F256" s="89"/>
      <c r="G256" s="89"/>
      <c r="H256" s="89"/>
      <c r="I256" s="89"/>
      <c r="J256" s="89"/>
      <c r="K256" s="89"/>
      <c r="L256" s="89"/>
    </row>
    <row r="257" spans="2:12" x14ac:dyDescent="0.35">
      <c r="B257" s="88">
        <v>164</v>
      </c>
      <c r="C257" s="88"/>
      <c r="D257" s="88"/>
      <c r="E257" s="88"/>
      <c r="F257" s="88"/>
      <c r="G257" s="88"/>
      <c r="H257" s="88"/>
      <c r="I257" s="88"/>
      <c r="J257" s="88"/>
      <c r="K257" s="88"/>
      <c r="L257" s="88"/>
    </row>
    <row r="258" spans="2:12" x14ac:dyDescent="0.35">
      <c r="B258" s="89">
        <v>165</v>
      </c>
      <c r="C258" s="89"/>
      <c r="D258" s="89"/>
      <c r="E258" s="89"/>
      <c r="F258" s="89"/>
      <c r="G258" s="89"/>
      <c r="H258" s="89"/>
      <c r="I258" s="89"/>
      <c r="J258" s="89"/>
      <c r="K258" s="89"/>
      <c r="L258" s="89"/>
    </row>
    <row r="259" spans="2:12" x14ac:dyDescent="0.35">
      <c r="B259" s="88">
        <v>166</v>
      </c>
      <c r="C259" s="88"/>
      <c r="D259" s="88"/>
      <c r="E259" s="88"/>
      <c r="F259" s="88"/>
      <c r="G259" s="88"/>
      <c r="H259" s="88"/>
      <c r="I259" s="88"/>
      <c r="J259" s="88"/>
      <c r="K259" s="88"/>
      <c r="L259" s="88"/>
    </row>
    <row r="260" spans="2:12" x14ac:dyDescent="0.35">
      <c r="B260" s="89">
        <v>167</v>
      </c>
      <c r="C260" s="89"/>
      <c r="D260" s="89"/>
      <c r="E260" s="89"/>
      <c r="F260" s="89"/>
      <c r="G260" s="89"/>
      <c r="H260" s="89"/>
      <c r="I260" s="89"/>
      <c r="J260" s="89"/>
      <c r="K260" s="89"/>
      <c r="L260" s="89"/>
    </row>
    <row r="261" spans="2:12" x14ac:dyDescent="0.35">
      <c r="B261" s="88">
        <v>168</v>
      </c>
      <c r="C261" s="88"/>
      <c r="D261" s="88"/>
      <c r="E261" s="88"/>
      <c r="F261" s="88"/>
      <c r="G261" s="88"/>
      <c r="H261" s="88"/>
      <c r="I261" s="88"/>
      <c r="J261" s="88"/>
      <c r="K261" s="88"/>
      <c r="L261" s="88"/>
    </row>
    <row r="262" spans="2:12" x14ac:dyDescent="0.35">
      <c r="B262" s="89">
        <v>169</v>
      </c>
      <c r="C262" s="89"/>
      <c r="D262" s="89"/>
      <c r="E262" s="89"/>
      <c r="F262" s="89"/>
      <c r="G262" s="89"/>
      <c r="H262" s="89"/>
      <c r="I262" s="89"/>
      <c r="J262" s="89"/>
      <c r="K262" s="89"/>
      <c r="L262" s="89"/>
    </row>
    <row r="263" spans="2:12" x14ac:dyDescent="0.35">
      <c r="B263" s="88">
        <v>170</v>
      </c>
      <c r="C263" s="88"/>
      <c r="D263" s="88"/>
      <c r="E263" s="88"/>
      <c r="F263" s="88"/>
      <c r="G263" s="88"/>
      <c r="H263" s="88"/>
      <c r="I263" s="88"/>
      <c r="J263" s="88"/>
      <c r="K263" s="88"/>
      <c r="L263" s="88"/>
    </row>
    <row r="264" spans="2:12" x14ac:dyDescent="0.35">
      <c r="B264" s="89">
        <v>171</v>
      </c>
      <c r="C264" s="89"/>
      <c r="D264" s="89"/>
      <c r="E264" s="89"/>
      <c r="F264" s="89"/>
      <c r="G264" s="89"/>
      <c r="H264" s="89"/>
      <c r="I264" s="89"/>
      <c r="J264" s="89"/>
      <c r="K264" s="89"/>
      <c r="L264" s="89"/>
    </row>
    <row r="265" spans="2:12" x14ac:dyDescent="0.35">
      <c r="B265" s="88">
        <v>172</v>
      </c>
      <c r="C265" s="88"/>
      <c r="D265" s="88"/>
      <c r="E265" s="88"/>
      <c r="F265" s="88"/>
      <c r="G265" s="88"/>
      <c r="H265" s="88"/>
      <c r="I265" s="88"/>
      <c r="J265" s="88"/>
      <c r="K265" s="88"/>
      <c r="L265" s="88"/>
    </row>
    <row r="266" spans="2:12" x14ac:dyDescent="0.35">
      <c r="B266" s="89">
        <v>173</v>
      </c>
      <c r="C266" s="89"/>
      <c r="D266" s="89"/>
      <c r="E266" s="89"/>
      <c r="F266" s="89"/>
      <c r="G266" s="89"/>
      <c r="H266" s="89"/>
      <c r="I266" s="89"/>
      <c r="J266" s="89"/>
      <c r="K266" s="89"/>
      <c r="L266" s="89"/>
    </row>
    <row r="267" spans="2:12" x14ac:dyDescent="0.35">
      <c r="B267" s="88">
        <v>174</v>
      </c>
      <c r="C267" s="88"/>
      <c r="D267" s="88"/>
      <c r="E267" s="88"/>
      <c r="F267" s="88"/>
      <c r="G267" s="88"/>
      <c r="H267" s="88"/>
      <c r="I267" s="88"/>
      <c r="J267" s="88"/>
      <c r="K267" s="88"/>
      <c r="L267" s="88"/>
    </row>
    <row r="268" spans="2:12" x14ac:dyDescent="0.35">
      <c r="B268" s="89">
        <v>175</v>
      </c>
      <c r="C268" s="89"/>
      <c r="D268" s="89"/>
      <c r="E268" s="89"/>
      <c r="F268" s="89"/>
      <c r="G268" s="89"/>
      <c r="H268" s="89"/>
      <c r="I268" s="89"/>
      <c r="J268" s="89"/>
      <c r="K268" s="89"/>
      <c r="L268" s="89"/>
    </row>
    <row r="269" spans="2:12" x14ac:dyDescent="0.35">
      <c r="B269" s="88">
        <v>176</v>
      </c>
      <c r="C269" s="88"/>
      <c r="D269" s="88"/>
      <c r="E269" s="88"/>
      <c r="F269" s="88"/>
      <c r="G269" s="88"/>
      <c r="H269" s="88"/>
      <c r="I269" s="88"/>
      <c r="J269" s="88"/>
      <c r="K269" s="88"/>
      <c r="L269" s="88"/>
    </row>
    <row r="270" spans="2:12" x14ac:dyDescent="0.35">
      <c r="B270" s="89">
        <v>177</v>
      </c>
      <c r="C270" s="89"/>
      <c r="D270" s="89"/>
      <c r="E270" s="89"/>
      <c r="F270" s="89"/>
      <c r="G270" s="89"/>
      <c r="H270" s="89"/>
      <c r="I270" s="89"/>
      <c r="J270" s="89"/>
      <c r="K270" s="89"/>
      <c r="L270" s="89"/>
    </row>
    <row r="271" spans="2:12" x14ac:dyDescent="0.35">
      <c r="B271" s="88">
        <v>178</v>
      </c>
      <c r="C271" s="88"/>
      <c r="D271" s="88"/>
      <c r="E271" s="88"/>
      <c r="F271" s="88"/>
      <c r="G271" s="88"/>
      <c r="H271" s="88"/>
      <c r="I271" s="88"/>
      <c r="J271" s="88"/>
      <c r="K271" s="88"/>
      <c r="L271" s="88"/>
    </row>
    <row r="272" spans="2:12" x14ac:dyDescent="0.35">
      <c r="B272" s="89">
        <v>179</v>
      </c>
      <c r="C272" s="89"/>
      <c r="D272" s="89"/>
      <c r="E272" s="89"/>
      <c r="F272" s="89"/>
      <c r="G272" s="89"/>
      <c r="H272" s="89"/>
      <c r="I272" s="89"/>
      <c r="J272" s="89"/>
      <c r="K272" s="89"/>
      <c r="L272" s="89"/>
    </row>
    <row r="273" spans="2:12" x14ac:dyDescent="0.35">
      <c r="B273" s="88">
        <v>180</v>
      </c>
      <c r="C273" s="88"/>
      <c r="D273" s="88"/>
      <c r="E273" s="88"/>
      <c r="F273" s="88"/>
      <c r="G273" s="88"/>
      <c r="H273" s="88"/>
      <c r="I273" s="88"/>
      <c r="J273" s="88"/>
      <c r="K273" s="88"/>
      <c r="L273" s="88"/>
    </row>
    <row r="274" spans="2:12" x14ac:dyDescent="0.35">
      <c r="B274" s="89">
        <v>181</v>
      </c>
      <c r="C274" s="89"/>
      <c r="D274" s="89"/>
      <c r="E274" s="89"/>
      <c r="F274" s="89"/>
      <c r="G274" s="89"/>
      <c r="H274" s="89"/>
      <c r="I274" s="89"/>
      <c r="J274" s="89"/>
      <c r="K274" s="89"/>
      <c r="L274" s="89"/>
    </row>
    <row r="275" spans="2:12" x14ac:dyDescent="0.35">
      <c r="B275" s="88">
        <v>182</v>
      </c>
      <c r="C275" s="88"/>
      <c r="D275" s="88"/>
      <c r="E275" s="88"/>
      <c r="F275" s="88"/>
      <c r="G275" s="88"/>
      <c r="H275" s="88"/>
      <c r="I275" s="88"/>
      <c r="J275" s="88"/>
      <c r="K275" s="88"/>
      <c r="L275" s="88"/>
    </row>
    <row r="276" spans="2:12" x14ac:dyDescent="0.35">
      <c r="B276" s="89">
        <v>183</v>
      </c>
      <c r="C276" s="89"/>
      <c r="D276" s="89"/>
      <c r="E276" s="89"/>
      <c r="F276" s="89"/>
      <c r="G276" s="89"/>
      <c r="H276" s="89"/>
      <c r="I276" s="89"/>
      <c r="J276" s="89"/>
      <c r="K276" s="89"/>
      <c r="L276" s="89"/>
    </row>
    <row r="277" spans="2:12" x14ac:dyDescent="0.35">
      <c r="B277" s="88">
        <v>184</v>
      </c>
      <c r="C277" s="88"/>
      <c r="D277" s="88"/>
      <c r="E277" s="88"/>
      <c r="F277" s="88"/>
      <c r="G277" s="88"/>
      <c r="H277" s="88"/>
      <c r="I277" s="88"/>
      <c r="J277" s="88"/>
      <c r="K277" s="88"/>
      <c r="L277" s="88"/>
    </row>
    <row r="278" spans="2:12" x14ac:dyDescent="0.35">
      <c r="B278" s="89">
        <v>185</v>
      </c>
      <c r="C278" s="89"/>
      <c r="D278" s="89"/>
      <c r="E278" s="89"/>
      <c r="F278" s="89"/>
      <c r="G278" s="89"/>
      <c r="H278" s="89"/>
      <c r="I278" s="89"/>
      <c r="J278" s="89"/>
      <c r="K278" s="89"/>
      <c r="L278" s="89"/>
    </row>
    <row r="279" spans="2:12" x14ac:dyDescent="0.35">
      <c r="B279" s="88">
        <v>186</v>
      </c>
      <c r="C279" s="88"/>
      <c r="D279" s="88"/>
      <c r="E279" s="88"/>
      <c r="F279" s="88"/>
      <c r="G279" s="88"/>
      <c r="H279" s="88"/>
      <c r="I279" s="88"/>
      <c r="J279" s="88"/>
      <c r="K279" s="88"/>
      <c r="L279" s="88"/>
    </row>
    <row r="280" spans="2:12" x14ac:dyDescent="0.35">
      <c r="B280" s="89">
        <v>187</v>
      </c>
      <c r="C280" s="89"/>
      <c r="D280" s="89"/>
      <c r="E280" s="89"/>
      <c r="F280" s="89"/>
      <c r="G280" s="89"/>
      <c r="H280" s="89"/>
      <c r="I280" s="89"/>
      <c r="J280" s="89"/>
      <c r="K280" s="89"/>
      <c r="L280" s="89"/>
    </row>
    <row r="281" spans="2:12" x14ac:dyDescent="0.35">
      <c r="B281" s="88">
        <v>188</v>
      </c>
      <c r="C281" s="88"/>
      <c r="D281" s="88"/>
      <c r="E281" s="88"/>
      <c r="F281" s="88"/>
      <c r="G281" s="88"/>
      <c r="H281" s="88"/>
      <c r="I281" s="88"/>
      <c r="J281" s="88"/>
      <c r="K281" s="88"/>
      <c r="L281" s="88"/>
    </row>
    <row r="282" spans="2:12" x14ac:dyDescent="0.35">
      <c r="B282" s="89">
        <v>189</v>
      </c>
      <c r="C282" s="89"/>
      <c r="D282" s="89"/>
      <c r="E282" s="89"/>
      <c r="F282" s="89"/>
      <c r="G282" s="89"/>
      <c r="H282" s="89"/>
      <c r="I282" s="89"/>
      <c r="J282" s="89"/>
      <c r="K282" s="89"/>
      <c r="L282" s="89"/>
    </row>
    <row r="283" spans="2:12" x14ac:dyDescent="0.35">
      <c r="B283" s="88">
        <v>190</v>
      </c>
      <c r="C283" s="88"/>
      <c r="D283" s="88"/>
      <c r="E283" s="88"/>
      <c r="F283" s="88"/>
      <c r="G283" s="88"/>
      <c r="H283" s="88"/>
      <c r="I283" s="88"/>
      <c r="J283" s="88"/>
      <c r="K283" s="88"/>
      <c r="L283" s="88"/>
    </row>
    <row r="284" spans="2:12" x14ac:dyDescent="0.35">
      <c r="B284" s="89">
        <v>191</v>
      </c>
      <c r="C284" s="89"/>
      <c r="D284" s="89"/>
      <c r="E284" s="89"/>
      <c r="F284" s="89"/>
      <c r="G284" s="89"/>
      <c r="H284" s="89"/>
      <c r="I284" s="89"/>
      <c r="J284" s="89"/>
      <c r="K284" s="89"/>
      <c r="L284" s="89"/>
    </row>
    <row r="285" spans="2:12" x14ac:dyDescent="0.35">
      <c r="B285" s="88">
        <v>192</v>
      </c>
      <c r="C285" s="88"/>
      <c r="D285" s="88"/>
      <c r="E285" s="88"/>
      <c r="F285" s="88"/>
      <c r="G285" s="88"/>
      <c r="H285" s="88"/>
      <c r="I285" s="88"/>
      <c r="J285" s="88"/>
      <c r="K285" s="88"/>
      <c r="L285" s="88"/>
    </row>
    <row r="286" spans="2:12" x14ac:dyDescent="0.35">
      <c r="B286" s="89">
        <v>193</v>
      </c>
      <c r="C286" s="89"/>
      <c r="D286" s="89"/>
      <c r="E286" s="89"/>
      <c r="F286" s="89"/>
      <c r="G286" s="89"/>
      <c r="H286" s="89"/>
      <c r="I286" s="89"/>
      <c r="J286" s="89"/>
      <c r="K286" s="89"/>
      <c r="L286" s="89"/>
    </row>
    <row r="287" spans="2:12" x14ac:dyDescent="0.35">
      <c r="B287" s="88">
        <v>194</v>
      </c>
      <c r="C287" s="88"/>
      <c r="D287" s="88"/>
      <c r="E287" s="88"/>
      <c r="F287" s="88"/>
      <c r="G287" s="88"/>
      <c r="H287" s="88"/>
      <c r="I287" s="88"/>
      <c r="J287" s="88"/>
      <c r="K287" s="88"/>
      <c r="L287" s="88"/>
    </row>
    <row r="288" spans="2:12" x14ac:dyDescent="0.35">
      <c r="B288" s="89">
        <v>195</v>
      </c>
      <c r="C288" s="89"/>
      <c r="D288" s="89"/>
      <c r="E288" s="89"/>
      <c r="F288" s="89"/>
      <c r="G288" s="89"/>
      <c r="H288" s="89"/>
      <c r="I288" s="89"/>
      <c r="J288" s="89"/>
      <c r="K288" s="89"/>
      <c r="L288" s="89"/>
    </row>
    <row r="289" spans="2:12" x14ac:dyDescent="0.35">
      <c r="B289" s="88">
        <v>205</v>
      </c>
      <c r="C289" s="88"/>
      <c r="D289" s="88"/>
      <c r="E289" s="88"/>
      <c r="F289" s="88"/>
      <c r="G289" s="88"/>
      <c r="H289" s="88"/>
      <c r="I289" s="88"/>
      <c r="J289" s="88"/>
      <c r="K289" s="88"/>
      <c r="L289" s="88"/>
    </row>
    <row r="290" spans="2:12" x14ac:dyDescent="0.35">
      <c r="B290" s="89">
        <v>215</v>
      </c>
      <c r="C290" s="89"/>
      <c r="D290" s="89"/>
      <c r="E290" s="89"/>
      <c r="F290" s="89"/>
      <c r="G290" s="89"/>
      <c r="H290" s="89"/>
      <c r="I290" s="89"/>
      <c r="J290" s="89"/>
      <c r="K290" s="89"/>
      <c r="L290" s="89"/>
    </row>
    <row r="291" spans="2:12" x14ac:dyDescent="0.35">
      <c r="B291" s="88">
        <v>225</v>
      </c>
      <c r="C291" s="88"/>
      <c r="D291" s="88"/>
      <c r="E291" s="88"/>
      <c r="F291" s="88"/>
      <c r="G291" s="88"/>
      <c r="H291" s="88"/>
      <c r="I291" s="88"/>
      <c r="J291" s="88"/>
      <c r="K291" s="88"/>
      <c r="L291" s="88"/>
    </row>
    <row r="292" spans="2:12" x14ac:dyDescent="0.35">
      <c r="B292" s="89">
        <v>235</v>
      </c>
      <c r="C292" s="89"/>
      <c r="D292" s="89"/>
      <c r="E292" s="89"/>
      <c r="F292" s="89"/>
      <c r="G292" s="89"/>
      <c r="H292" s="89"/>
      <c r="I292" s="89"/>
      <c r="J292" s="89"/>
      <c r="K292" s="89"/>
      <c r="L292" s="89"/>
    </row>
    <row r="293" spans="2:12" x14ac:dyDescent="0.35">
      <c r="B293" s="88">
        <v>245</v>
      </c>
      <c r="C293" s="88"/>
      <c r="D293" s="88"/>
      <c r="E293" s="88"/>
      <c r="F293" s="88"/>
      <c r="G293" s="88"/>
      <c r="H293" s="88"/>
      <c r="I293" s="88"/>
      <c r="J293" s="88"/>
      <c r="K293" s="88"/>
      <c r="L293" s="88"/>
    </row>
    <row r="294" spans="2:12" x14ac:dyDescent="0.35">
      <c r="B294" s="89">
        <v>255</v>
      </c>
      <c r="C294" s="89"/>
      <c r="D294" s="89"/>
      <c r="E294" s="89"/>
      <c r="F294" s="89"/>
      <c r="G294" s="89"/>
      <c r="H294" s="89"/>
      <c r="I294" s="89"/>
      <c r="J294" s="89"/>
      <c r="K294" s="89"/>
      <c r="L294" s="89"/>
    </row>
    <row r="295" spans="2:12" x14ac:dyDescent="0.35">
      <c r="B295" s="88">
        <v>265</v>
      </c>
      <c r="C295" s="88"/>
      <c r="D295" s="88"/>
      <c r="E295" s="88"/>
      <c r="F295" s="88"/>
      <c r="G295" s="88"/>
      <c r="H295" s="88"/>
      <c r="I295" s="88"/>
      <c r="J295" s="88"/>
      <c r="K295" s="88"/>
      <c r="L295" s="88"/>
    </row>
    <row r="296" spans="2:12" x14ac:dyDescent="0.35">
      <c r="B296" s="89">
        <v>275</v>
      </c>
      <c r="C296" s="89"/>
      <c r="D296" s="89"/>
      <c r="E296" s="89"/>
      <c r="F296" s="89"/>
      <c r="G296" s="89"/>
      <c r="H296" s="89"/>
      <c r="I296" s="89"/>
      <c r="J296" s="89"/>
      <c r="K296" s="89"/>
      <c r="L296" s="89"/>
    </row>
    <row r="297" spans="2:12" x14ac:dyDescent="0.35">
      <c r="B297" s="88">
        <v>285</v>
      </c>
      <c r="C297" s="88"/>
      <c r="D297" s="88"/>
      <c r="E297" s="88"/>
      <c r="F297" s="88"/>
      <c r="G297" s="88"/>
      <c r="H297" s="88"/>
      <c r="I297" s="88"/>
      <c r="J297" s="88"/>
      <c r="K297" s="88"/>
      <c r="L297" s="88"/>
    </row>
    <row r="298" spans="2:12" x14ac:dyDescent="0.35">
      <c r="B298" s="89">
        <v>295</v>
      </c>
      <c r="C298" s="89"/>
      <c r="D298" s="89"/>
      <c r="E298" s="89"/>
      <c r="F298" s="89"/>
      <c r="G298" s="89"/>
      <c r="H298" s="89"/>
      <c r="I298" s="89"/>
      <c r="J298" s="89"/>
      <c r="K298" s="89"/>
      <c r="L298" s="89"/>
    </row>
    <row r="299" spans="2:12" x14ac:dyDescent="0.35">
      <c r="B299" s="88">
        <v>305</v>
      </c>
      <c r="C299" s="88"/>
      <c r="D299" s="88"/>
      <c r="E299" s="88"/>
      <c r="F299" s="88"/>
      <c r="G299" s="88"/>
      <c r="H299" s="88"/>
      <c r="I299" s="88"/>
      <c r="J299" s="88"/>
      <c r="K299" s="88"/>
      <c r="L299" s="88"/>
    </row>
    <row r="300" spans="2:12" x14ac:dyDescent="0.35">
      <c r="B300" s="89">
        <v>315</v>
      </c>
      <c r="C300" s="89"/>
      <c r="D300" s="89"/>
      <c r="E300" s="89"/>
      <c r="F300" s="89"/>
      <c r="G300" s="89"/>
      <c r="H300" s="89"/>
      <c r="I300" s="89"/>
      <c r="J300" s="89"/>
      <c r="K300" s="89"/>
      <c r="L300" s="89"/>
    </row>
    <row r="301" spans="2:12" x14ac:dyDescent="0.35">
      <c r="B301" s="88">
        <v>325</v>
      </c>
      <c r="C301" s="88"/>
      <c r="D301" s="88"/>
      <c r="E301" s="88"/>
      <c r="F301" s="88"/>
      <c r="G301" s="88"/>
      <c r="H301" s="88"/>
      <c r="I301" s="88"/>
      <c r="J301" s="88"/>
      <c r="K301" s="88"/>
      <c r="L301" s="88"/>
    </row>
    <row r="302" spans="2:12" x14ac:dyDescent="0.35">
      <c r="B302" s="89">
        <v>335</v>
      </c>
      <c r="C302" s="89"/>
      <c r="D302" s="89"/>
      <c r="E302" s="89"/>
      <c r="F302" s="89"/>
      <c r="G302" s="89"/>
      <c r="H302" s="89"/>
      <c r="I302" s="89"/>
      <c r="J302" s="89"/>
      <c r="K302" s="89"/>
      <c r="L302" s="89"/>
    </row>
    <row r="303" spans="2:12" x14ac:dyDescent="0.35">
      <c r="B303" s="88">
        <v>345</v>
      </c>
      <c r="C303" s="88"/>
      <c r="D303" s="88"/>
      <c r="E303" s="88"/>
      <c r="F303" s="88"/>
      <c r="G303" s="88"/>
      <c r="H303" s="88"/>
      <c r="I303" s="88"/>
      <c r="J303" s="88"/>
      <c r="K303" s="88"/>
      <c r="L303" s="88"/>
    </row>
    <row r="304" spans="2:12" x14ac:dyDescent="0.35">
      <c r="B304" s="89">
        <v>355</v>
      </c>
      <c r="C304" s="89"/>
      <c r="D304" s="89"/>
      <c r="E304" s="89"/>
      <c r="F304" s="89"/>
      <c r="G304" s="89"/>
      <c r="H304" s="89"/>
      <c r="I304" s="89"/>
      <c r="J304" s="89"/>
      <c r="K304" s="89"/>
      <c r="L304" s="89"/>
    </row>
    <row r="305" spans="2:12" x14ac:dyDescent="0.35">
      <c r="B305" s="88">
        <v>365</v>
      </c>
      <c r="C305" s="88"/>
      <c r="D305" s="88"/>
      <c r="E305" s="88"/>
      <c r="F305" s="88"/>
      <c r="G305" s="88"/>
      <c r="H305" s="88"/>
      <c r="I305" s="88"/>
      <c r="J305" s="88"/>
      <c r="K305" s="88"/>
      <c r="L305" s="88"/>
    </row>
    <row r="306" spans="2:12" x14ac:dyDescent="0.35">
      <c r="B306" s="89">
        <v>375</v>
      </c>
      <c r="C306" s="89"/>
      <c r="D306" s="89"/>
      <c r="E306" s="89"/>
      <c r="F306" s="89"/>
      <c r="G306" s="89"/>
      <c r="H306" s="89"/>
      <c r="I306" s="89"/>
      <c r="J306" s="89"/>
      <c r="K306" s="89"/>
      <c r="L306" s="89"/>
    </row>
    <row r="307" spans="2:12" x14ac:dyDescent="0.35">
      <c r="B307" s="88">
        <v>385</v>
      </c>
      <c r="C307" s="88"/>
      <c r="D307" s="88"/>
      <c r="E307" s="88"/>
      <c r="F307" s="88"/>
      <c r="G307" s="88"/>
      <c r="H307" s="88"/>
      <c r="I307" s="88"/>
      <c r="J307" s="88"/>
      <c r="K307" s="88"/>
      <c r="L307" s="88"/>
    </row>
    <row r="308" spans="2:12" x14ac:dyDescent="0.35">
      <c r="B308" s="89">
        <v>395</v>
      </c>
      <c r="C308" s="89"/>
      <c r="D308" s="89"/>
      <c r="E308" s="89"/>
      <c r="F308" s="89"/>
      <c r="G308" s="89"/>
      <c r="H308" s="89"/>
      <c r="I308" s="89"/>
      <c r="J308" s="89"/>
      <c r="K308" s="89"/>
      <c r="L308" s="89"/>
    </row>
    <row r="309" spans="2:12" x14ac:dyDescent="0.35">
      <c r="B309" s="88">
        <v>405</v>
      </c>
      <c r="C309" s="88"/>
      <c r="D309" s="88"/>
      <c r="E309" s="88"/>
      <c r="F309" s="88"/>
      <c r="G309" s="88"/>
      <c r="H309" s="88"/>
      <c r="I309" s="88"/>
      <c r="J309" s="88"/>
      <c r="K309" s="88"/>
      <c r="L309" s="88"/>
    </row>
    <row r="310" spans="2:12" x14ac:dyDescent="0.35">
      <c r="B310" s="89">
        <v>415</v>
      </c>
      <c r="C310" s="89"/>
      <c r="D310" s="89"/>
      <c r="E310" s="89"/>
      <c r="F310" s="89"/>
      <c r="G310" s="89"/>
      <c r="H310" s="89"/>
      <c r="I310" s="89"/>
      <c r="J310" s="89"/>
      <c r="K310" s="89"/>
      <c r="L310" s="89"/>
    </row>
    <row r="311" spans="2:12" x14ac:dyDescent="0.35">
      <c r="B311" s="88">
        <v>425</v>
      </c>
      <c r="C311" s="88"/>
      <c r="D311" s="88"/>
      <c r="E311" s="88"/>
      <c r="F311" s="88"/>
      <c r="G311" s="88"/>
      <c r="H311" s="88"/>
      <c r="I311" s="88"/>
      <c r="J311" s="88"/>
      <c r="K311" s="88"/>
      <c r="L311" s="88"/>
    </row>
    <row r="312" spans="2:12" x14ac:dyDescent="0.35">
      <c r="B312" s="89">
        <v>435</v>
      </c>
      <c r="C312" s="89"/>
      <c r="D312" s="89"/>
      <c r="E312" s="89"/>
      <c r="F312" s="89"/>
      <c r="G312" s="89"/>
      <c r="H312" s="89"/>
      <c r="I312" s="89"/>
      <c r="J312" s="89"/>
      <c r="K312" s="89"/>
      <c r="L312" s="89"/>
    </row>
    <row r="313" spans="2:12" x14ac:dyDescent="0.35">
      <c r="B313" s="88">
        <v>445</v>
      </c>
      <c r="C313" s="88"/>
      <c r="D313" s="88"/>
      <c r="E313" s="88"/>
      <c r="F313" s="88"/>
      <c r="G313" s="88"/>
      <c r="H313" s="88"/>
      <c r="I313" s="88"/>
      <c r="J313" s="88"/>
      <c r="K313" s="88"/>
      <c r="L313" s="88"/>
    </row>
    <row r="314" spans="2:12" x14ac:dyDescent="0.35">
      <c r="B314" s="89">
        <v>455</v>
      </c>
      <c r="C314" s="89"/>
      <c r="D314" s="89"/>
      <c r="E314" s="89"/>
      <c r="F314" s="89"/>
      <c r="G314" s="89"/>
      <c r="H314" s="89"/>
      <c r="I314" s="89"/>
      <c r="J314" s="89"/>
      <c r="K314" s="89"/>
      <c r="L314" s="89"/>
    </row>
    <row r="315" spans="2:12" x14ac:dyDescent="0.35">
      <c r="B315" s="88">
        <v>465</v>
      </c>
      <c r="C315" s="88"/>
      <c r="D315" s="88"/>
      <c r="E315" s="88"/>
      <c r="F315" s="88"/>
      <c r="G315" s="88"/>
      <c r="H315" s="88"/>
      <c r="I315" s="88"/>
      <c r="J315" s="88"/>
      <c r="K315" s="88"/>
      <c r="L315" s="88"/>
    </row>
    <row r="316" spans="2:12" x14ac:dyDescent="0.35">
      <c r="B316" s="89">
        <v>475</v>
      </c>
      <c r="C316" s="89"/>
      <c r="D316" s="89"/>
      <c r="E316" s="89"/>
      <c r="F316" s="89"/>
      <c r="G316" s="89"/>
      <c r="H316" s="89"/>
      <c r="I316" s="89"/>
      <c r="J316" s="89"/>
      <c r="K316" s="89"/>
      <c r="L316" s="89"/>
    </row>
    <row r="317" spans="2:12" x14ac:dyDescent="0.35">
      <c r="B317" s="88">
        <v>485</v>
      </c>
      <c r="C317" s="88"/>
      <c r="D317" s="88"/>
      <c r="E317" s="88"/>
      <c r="F317" s="88"/>
      <c r="G317" s="88"/>
      <c r="H317" s="88"/>
      <c r="I317" s="88"/>
      <c r="J317" s="88"/>
      <c r="K317" s="88"/>
      <c r="L317" s="88"/>
    </row>
    <row r="318" spans="2:12" x14ac:dyDescent="0.35">
      <c r="B318" s="89">
        <v>495</v>
      </c>
      <c r="C318" s="89"/>
      <c r="D318" s="89"/>
      <c r="E318" s="89"/>
      <c r="F318" s="89"/>
      <c r="G318" s="89"/>
      <c r="H318" s="89"/>
      <c r="I318" s="89"/>
      <c r="J318" s="89"/>
      <c r="K318" s="89"/>
      <c r="L318" s="89"/>
    </row>
    <row r="319" spans="2:12" x14ac:dyDescent="0.35">
      <c r="B319" s="88">
        <v>505</v>
      </c>
      <c r="C319" s="88"/>
      <c r="D319" s="88"/>
      <c r="E319" s="88"/>
      <c r="F319" s="88"/>
      <c r="G319" s="88"/>
      <c r="H319" s="88"/>
      <c r="I319" s="88"/>
      <c r="J319" s="88"/>
      <c r="K319" s="88"/>
      <c r="L319" s="88"/>
    </row>
    <row r="320" spans="2:12" x14ac:dyDescent="0.35">
      <c r="B320" s="89">
        <v>515</v>
      </c>
      <c r="C320" s="89"/>
      <c r="D320" s="89"/>
      <c r="E320" s="89"/>
      <c r="F320" s="89"/>
      <c r="G320" s="89"/>
      <c r="H320" s="89"/>
      <c r="I320" s="89"/>
      <c r="J320" s="89"/>
      <c r="K320" s="89"/>
      <c r="L320" s="89"/>
    </row>
    <row r="321" spans="2:12" x14ac:dyDescent="0.35">
      <c r="B321" s="88">
        <v>525</v>
      </c>
      <c r="C321" s="88"/>
      <c r="D321" s="88"/>
      <c r="E321" s="88"/>
      <c r="F321" s="88"/>
      <c r="G321" s="88"/>
      <c r="H321" s="88"/>
      <c r="I321" s="88"/>
      <c r="J321" s="88"/>
      <c r="K321" s="88"/>
      <c r="L321" s="88"/>
    </row>
    <row r="322" spans="2:12" x14ac:dyDescent="0.35">
      <c r="B322" s="89">
        <v>535</v>
      </c>
      <c r="C322" s="89"/>
      <c r="D322" s="89"/>
      <c r="E322" s="89"/>
      <c r="F322" s="89"/>
      <c r="G322" s="89"/>
      <c r="H322" s="89"/>
      <c r="I322" s="89"/>
      <c r="J322" s="89"/>
      <c r="K322" s="89"/>
      <c r="L322" s="89"/>
    </row>
    <row r="323" spans="2:12" x14ac:dyDescent="0.35">
      <c r="B323" s="88">
        <v>545</v>
      </c>
      <c r="C323" s="88"/>
      <c r="D323" s="88"/>
      <c r="E323" s="88"/>
      <c r="F323" s="88"/>
      <c r="G323" s="88"/>
      <c r="H323" s="88"/>
      <c r="I323" s="88"/>
      <c r="J323" s="88"/>
      <c r="K323" s="88"/>
      <c r="L323" s="88"/>
    </row>
    <row r="324" spans="2:12" x14ac:dyDescent="0.35">
      <c r="B324" s="89">
        <v>555</v>
      </c>
      <c r="C324" s="89"/>
      <c r="D324" s="89"/>
      <c r="E324" s="89"/>
      <c r="F324" s="89"/>
      <c r="G324" s="89"/>
      <c r="H324" s="89"/>
      <c r="I324" s="89"/>
      <c r="J324" s="89"/>
      <c r="K324" s="89"/>
      <c r="L324" s="89"/>
    </row>
    <row r="325" spans="2:12" x14ac:dyDescent="0.35">
      <c r="B325" s="88">
        <v>565</v>
      </c>
      <c r="C325" s="88"/>
      <c r="D325" s="88"/>
      <c r="E325" s="88"/>
      <c r="F325" s="88"/>
      <c r="G325" s="88"/>
      <c r="H325" s="88"/>
      <c r="I325" s="88"/>
      <c r="J325" s="88"/>
      <c r="K325" s="88"/>
      <c r="L325" s="88"/>
    </row>
    <row r="326" spans="2:12" x14ac:dyDescent="0.35">
      <c r="B326" s="89">
        <v>575</v>
      </c>
      <c r="C326" s="89"/>
      <c r="D326" s="89"/>
      <c r="E326" s="89"/>
      <c r="F326" s="89"/>
      <c r="G326" s="89"/>
      <c r="H326" s="89"/>
      <c r="I326" s="89"/>
      <c r="J326" s="89"/>
      <c r="K326" s="89"/>
      <c r="L326" s="89"/>
    </row>
    <row r="327" spans="2:12" x14ac:dyDescent="0.35">
      <c r="B327" s="88">
        <v>585</v>
      </c>
      <c r="C327" s="88"/>
      <c r="D327" s="88"/>
      <c r="E327" s="88"/>
      <c r="F327" s="88"/>
      <c r="G327" s="88"/>
      <c r="H327" s="88"/>
      <c r="I327" s="88"/>
      <c r="J327" s="88"/>
      <c r="K327" s="88"/>
      <c r="L327" s="88"/>
    </row>
    <row r="328" spans="2:12" x14ac:dyDescent="0.35">
      <c r="B328" s="89">
        <v>595</v>
      </c>
      <c r="C328" s="89"/>
      <c r="D328" s="89"/>
      <c r="E328" s="89"/>
      <c r="F328" s="89"/>
      <c r="G328" s="89"/>
      <c r="H328" s="89"/>
      <c r="I328" s="89"/>
      <c r="J328" s="89"/>
      <c r="K328" s="89"/>
      <c r="L328" s="89"/>
    </row>
    <row r="329" spans="2:12" x14ac:dyDescent="0.35">
      <c r="B329" s="88">
        <v>605</v>
      </c>
      <c r="C329" s="88"/>
      <c r="D329" s="88"/>
      <c r="E329" s="88"/>
      <c r="F329" s="88"/>
      <c r="G329" s="88"/>
      <c r="H329" s="88"/>
      <c r="I329" s="88"/>
      <c r="J329" s="88"/>
      <c r="K329" s="88"/>
      <c r="L329" s="88"/>
    </row>
    <row r="330" spans="2:12" x14ac:dyDescent="0.35">
      <c r="B330" s="89">
        <v>615</v>
      </c>
      <c r="C330" s="89"/>
      <c r="D330" s="89"/>
      <c r="E330" s="89"/>
      <c r="F330" s="89"/>
      <c r="G330" s="89"/>
      <c r="H330" s="89"/>
      <c r="I330" s="89"/>
      <c r="J330" s="89"/>
      <c r="K330" s="89"/>
      <c r="L330" s="89"/>
    </row>
    <row r="331" spans="2:12" x14ac:dyDescent="0.35">
      <c r="B331" s="88">
        <v>625</v>
      </c>
      <c r="C331" s="88"/>
      <c r="D331" s="88"/>
      <c r="E331" s="88"/>
      <c r="F331" s="88"/>
      <c r="G331" s="88"/>
      <c r="H331" s="88"/>
      <c r="I331" s="88"/>
      <c r="J331" s="88"/>
      <c r="K331" s="88"/>
      <c r="L331" s="88"/>
    </row>
    <row r="332" spans="2:12" x14ac:dyDescent="0.35">
      <c r="B332" s="89">
        <v>635</v>
      </c>
      <c r="C332" s="89"/>
      <c r="D332" s="89"/>
      <c r="E332" s="89"/>
      <c r="F332" s="89"/>
      <c r="G332" s="89"/>
      <c r="H332" s="89"/>
      <c r="I332" s="89"/>
      <c r="J332" s="89"/>
      <c r="K332" s="89"/>
      <c r="L332" s="89"/>
    </row>
    <row r="333" spans="2:12" x14ac:dyDescent="0.35">
      <c r="B333" s="88">
        <v>645</v>
      </c>
      <c r="C333" s="88"/>
      <c r="D333" s="88"/>
      <c r="E333" s="88"/>
      <c r="F333" s="88"/>
      <c r="G333" s="88"/>
      <c r="H333" s="88"/>
      <c r="I333" s="88"/>
      <c r="J333" s="88"/>
      <c r="K333" s="88"/>
      <c r="L333" s="88"/>
    </row>
    <row r="334" spans="2:12" x14ac:dyDescent="0.35">
      <c r="B334" s="89">
        <v>655</v>
      </c>
      <c r="C334" s="89"/>
      <c r="D334" s="89"/>
      <c r="E334" s="89"/>
      <c r="F334" s="89"/>
      <c r="G334" s="89"/>
      <c r="H334" s="89"/>
      <c r="I334" s="89"/>
      <c r="J334" s="89"/>
      <c r="K334" s="89"/>
      <c r="L334" s="89"/>
    </row>
    <row r="335" spans="2:12" x14ac:dyDescent="0.35">
      <c r="B335" s="88">
        <v>665</v>
      </c>
      <c r="C335" s="88"/>
      <c r="D335" s="88"/>
      <c r="E335" s="88"/>
      <c r="F335" s="88"/>
      <c r="G335" s="88"/>
      <c r="H335" s="88"/>
      <c r="I335" s="88"/>
      <c r="J335" s="88"/>
      <c r="K335" s="88"/>
      <c r="L335" s="88"/>
    </row>
    <row r="336" spans="2:12" x14ac:dyDescent="0.35">
      <c r="B336" s="89">
        <v>675</v>
      </c>
      <c r="C336" s="89"/>
      <c r="D336" s="89"/>
      <c r="E336" s="89"/>
      <c r="F336" s="89"/>
      <c r="G336" s="89"/>
      <c r="H336" s="89"/>
      <c r="I336" s="89"/>
      <c r="J336" s="89"/>
      <c r="K336" s="89"/>
      <c r="L336" s="89"/>
    </row>
    <row r="337" spans="2:12" x14ac:dyDescent="0.35">
      <c r="B337" s="88">
        <v>685</v>
      </c>
      <c r="C337" s="88"/>
      <c r="D337" s="88"/>
      <c r="E337" s="88"/>
      <c r="F337" s="88"/>
      <c r="G337" s="88"/>
      <c r="H337" s="88"/>
      <c r="I337" s="88"/>
      <c r="J337" s="88"/>
      <c r="K337" s="88"/>
      <c r="L337" s="88"/>
    </row>
    <row r="338" spans="2:12" x14ac:dyDescent="0.35">
      <c r="B338" s="89">
        <v>695</v>
      </c>
      <c r="C338" s="89"/>
      <c r="D338" s="89"/>
      <c r="E338" s="89"/>
      <c r="F338" s="89"/>
      <c r="G338" s="89"/>
      <c r="H338" s="89"/>
      <c r="I338" s="89"/>
      <c r="J338" s="89"/>
      <c r="K338" s="89"/>
      <c r="L338" s="89"/>
    </row>
    <row r="339" spans="2:12" x14ac:dyDescent="0.35">
      <c r="B339" s="88">
        <v>705</v>
      </c>
      <c r="C339" s="88"/>
      <c r="D339" s="88"/>
      <c r="E339" s="88"/>
      <c r="F339" s="88"/>
      <c r="G339" s="88"/>
      <c r="H339" s="88"/>
      <c r="I339" s="88"/>
      <c r="J339" s="88"/>
      <c r="K339" s="88"/>
      <c r="L339" s="88"/>
    </row>
    <row r="340" spans="2:12" x14ac:dyDescent="0.35">
      <c r="B340" s="89">
        <v>715</v>
      </c>
      <c r="C340" s="89"/>
      <c r="D340" s="89"/>
      <c r="E340" s="89"/>
      <c r="F340" s="89"/>
      <c r="G340" s="89"/>
      <c r="H340" s="89"/>
      <c r="I340" s="89"/>
      <c r="J340" s="89"/>
      <c r="K340" s="89"/>
      <c r="L340" s="89"/>
    </row>
    <row r="341" spans="2:12" x14ac:dyDescent="0.35">
      <c r="B341" s="88">
        <v>725</v>
      </c>
      <c r="C341" s="88"/>
      <c r="D341" s="88"/>
      <c r="E341" s="88"/>
      <c r="F341" s="88"/>
      <c r="G341" s="88"/>
      <c r="H341" s="88"/>
      <c r="I341" s="88"/>
      <c r="J341" s="88"/>
      <c r="K341" s="88"/>
      <c r="L341" s="88"/>
    </row>
    <row r="342" spans="2:12" x14ac:dyDescent="0.35">
      <c r="B342" s="89">
        <v>735</v>
      </c>
      <c r="C342" s="89"/>
      <c r="D342" s="89"/>
      <c r="E342" s="89"/>
      <c r="F342" s="89"/>
      <c r="G342" s="89"/>
      <c r="H342" s="89"/>
      <c r="I342" s="89"/>
      <c r="J342" s="89"/>
      <c r="K342" s="89"/>
      <c r="L342" s="89"/>
    </row>
    <row r="343" spans="2:12" x14ac:dyDescent="0.35">
      <c r="B343" s="88">
        <v>745</v>
      </c>
      <c r="C343" s="88"/>
      <c r="D343" s="88"/>
      <c r="E343" s="88"/>
      <c r="F343" s="88"/>
      <c r="G343" s="88"/>
      <c r="H343" s="88"/>
      <c r="I343" s="88"/>
      <c r="J343" s="88"/>
      <c r="K343" s="88"/>
      <c r="L343" s="88"/>
    </row>
    <row r="344" spans="2:12" x14ac:dyDescent="0.35">
      <c r="B344" s="89">
        <v>755</v>
      </c>
      <c r="C344" s="89"/>
      <c r="D344" s="89"/>
      <c r="E344" s="89"/>
      <c r="F344" s="89"/>
      <c r="G344" s="89"/>
      <c r="H344" s="89"/>
      <c r="I344" s="89"/>
      <c r="J344" s="89"/>
      <c r="K344" s="89"/>
      <c r="L344" s="89"/>
    </row>
    <row r="345" spans="2:12" x14ac:dyDescent="0.35">
      <c r="B345" s="88">
        <v>765</v>
      </c>
      <c r="C345" s="88"/>
      <c r="D345" s="88"/>
      <c r="E345" s="88"/>
      <c r="F345" s="88"/>
      <c r="G345" s="88"/>
      <c r="H345" s="88"/>
      <c r="I345" s="88"/>
      <c r="J345" s="88"/>
      <c r="K345" s="88"/>
      <c r="L345" s="88"/>
    </row>
    <row r="346" spans="2:12" x14ac:dyDescent="0.35">
      <c r="B346" s="89">
        <v>775</v>
      </c>
      <c r="C346" s="89"/>
      <c r="D346" s="89"/>
      <c r="E346" s="89"/>
      <c r="F346" s="89"/>
      <c r="G346" s="89"/>
      <c r="H346" s="89"/>
      <c r="I346" s="89"/>
      <c r="J346" s="89"/>
      <c r="K346" s="89"/>
      <c r="L346" s="89"/>
    </row>
    <row r="347" spans="2:12" x14ac:dyDescent="0.35">
      <c r="B347" s="88">
        <v>785</v>
      </c>
      <c r="C347" s="88"/>
      <c r="D347" s="88"/>
      <c r="E347" s="88"/>
      <c r="F347" s="88"/>
      <c r="G347" s="88"/>
      <c r="H347" s="88"/>
      <c r="I347" s="88"/>
      <c r="J347" s="88"/>
      <c r="K347" s="88"/>
      <c r="L347" s="88"/>
    </row>
    <row r="348" spans="2:12" x14ac:dyDescent="0.35">
      <c r="B348" s="89">
        <v>795</v>
      </c>
      <c r="C348" s="89"/>
      <c r="D348" s="89"/>
      <c r="E348" s="89"/>
      <c r="F348" s="89"/>
      <c r="G348" s="89"/>
      <c r="H348" s="89"/>
      <c r="I348" s="89"/>
      <c r="J348" s="89"/>
      <c r="K348" s="89"/>
      <c r="L348" s="89"/>
    </row>
    <row r="349" spans="2:12" x14ac:dyDescent="0.35">
      <c r="B349" s="88">
        <v>805</v>
      </c>
      <c r="C349" s="88"/>
      <c r="D349" s="88"/>
      <c r="E349" s="88"/>
      <c r="F349" s="88"/>
      <c r="G349" s="88"/>
      <c r="H349" s="88"/>
      <c r="I349" s="88"/>
      <c r="J349" s="88"/>
      <c r="K349" s="88"/>
      <c r="L349" s="88"/>
    </row>
    <row r="350" spans="2:12" x14ac:dyDescent="0.35">
      <c r="B350" s="89">
        <v>815</v>
      </c>
      <c r="C350" s="89"/>
      <c r="D350" s="89"/>
      <c r="E350" s="89"/>
      <c r="F350" s="89"/>
      <c r="G350" s="89"/>
      <c r="H350" s="89"/>
      <c r="I350" s="89"/>
      <c r="J350" s="89"/>
      <c r="K350" s="89"/>
      <c r="L350" s="89"/>
    </row>
    <row r="351" spans="2:12" x14ac:dyDescent="0.35">
      <c r="B351" s="88">
        <v>825</v>
      </c>
      <c r="C351" s="88"/>
      <c r="D351" s="88"/>
      <c r="E351" s="88"/>
      <c r="F351" s="88"/>
      <c r="G351" s="88"/>
      <c r="H351" s="88"/>
      <c r="I351" s="88"/>
      <c r="J351" s="88"/>
      <c r="K351" s="88"/>
      <c r="L351" s="88"/>
    </row>
    <row r="352" spans="2:12" x14ac:dyDescent="0.35">
      <c r="B352" s="89">
        <v>835</v>
      </c>
      <c r="C352" s="89"/>
      <c r="D352" s="89"/>
      <c r="E352" s="89"/>
      <c r="F352" s="89"/>
      <c r="G352" s="89"/>
      <c r="H352" s="89"/>
      <c r="I352" s="89"/>
      <c r="J352" s="89"/>
      <c r="K352" s="89"/>
      <c r="L352" s="89"/>
    </row>
    <row r="353" spans="2:12" x14ac:dyDescent="0.35">
      <c r="B353" s="88">
        <v>845</v>
      </c>
      <c r="C353" s="88"/>
      <c r="D353" s="88"/>
      <c r="E353" s="88"/>
      <c r="F353" s="88"/>
      <c r="G353" s="88"/>
      <c r="H353" s="88"/>
      <c r="I353" s="88"/>
      <c r="J353" s="88"/>
      <c r="K353" s="88"/>
      <c r="L353" s="88"/>
    </row>
    <row r="354" spans="2:12" x14ac:dyDescent="0.35">
      <c r="B354" s="89">
        <v>855</v>
      </c>
      <c r="C354" s="89"/>
      <c r="D354" s="89"/>
      <c r="E354" s="89"/>
      <c r="F354" s="89"/>
      <c r="G354" s="89"/>
      <c r="H354" s="89"/>
      <c r="I354" s="89"/>
      <c r="J354" s="89"/>
      <c r="K354" s="89"/>
      <c r="L354" s="89"/>
    </row>
    <row r="355" spans="2:12" x14ac:dyDescent="0.35">
      <c r="B355" s="88">
        <v>865</v>
      </c>
      <c r="C355" s="88"/>
      <c r="D355" s="88"/>
      <c r="E355" s="88"/>
      <c r="F355" s="88"/>
      <c r="G355" s="88"/>
      <c r="H355" s="88"/>
      <c r="I355" s="88"/>
      <c r="J355" s="88"/>
      <c r="K355" s="88"/>
      <c r="L355" s="88"/>
    </row>
    <row r="356" spans="2:12" x14ac:dyDescent="0.35">
      <c r="B356" s="89">
        <v>875</v>
      </c>
      <c r="C356" s="89"/>
      <c r="D356" s="89"/>
      <c r="E356" s="89"/>
      <c r="F356" s="89"/>
      <c r="G356" s="89"/>
      <c r="H356" s="89"/>
      <c r="I356" s="89"/>
      <c r="J356" s="89"/>
      <c r="K356" s="89"/>
      <c r="L356" s="89"/>
    </row>
    <row r="357" spans="2:12" x14ac:dyDescent="0.35">
      <c r="B357" s="88">
        <v>885</v>
      </c>
      <c r="C357" s="88"/>
      <c r="D357" s="88"/>
      <c r="E357" s="88"/>
      <c r="F357" s="88"/>
      <c r="G357" s="88"/>
      <c r="H357" s="88"/>
      <c r="I357" s="88"/>
      <c r="J357" s="88"/>
      <c r="K357" s="88"/>
      <c r="L357" s="88"/>
    </row>
    <row r="358" spans="2:12" x14ac:dyDescent="0.35">
      <c r="B358" s="89">
        <v>895</v>
      </c>
      <c r="C358" s="89"/>
      <c r="D358" s="89"/>
      <c r="E358" s="89"/>
      <c r="F358" s="89"/>
      <c r="G358" s="89"/>
      <c r="H358" s="89"/>
      <c r="I358" s="89"/>
      <c r="J358" s="89"/>
      <c r="K358" s="89"/>
      <c r="L358" s="89"/>
    </row>
    <row r="359" spans="2:12" x14ac:dyDescent="0.35">
      <c r="B359" s="88">
        <v>905</v>
      </c>
      <c r="C359" s="88"/>
      <c r="D359" s="88"/>
      <c r="E359" s="88"/>
      <c r="F359" s="88"/>
      <c r="G359" s="88"/>
      <c r="H359" s="88"/>
      <c r="I359" s="88"/>
      <c r="J359" s="88"/>
      <c r="K359" s="88"/>
      <c r="L359" s="88"/>
    </row>
    <row r="360" spans="2:12" x14ac:dyDescent="0.35">
      <c r="B360" s="89">
        <v>915</v>
      </c>
      <c r="C360" s="89"/>
      <c r="D360" s="89"/>
      <c r="E360" s="89"/>
      <c r="F360" s="89"/>
      <c r="G360" s="89"/>
      <c r="H360" s="89"/>
      <c r="I360" s="89"/>
      <c r="J360" s="89"/>
      <c r="K360" s="89"/>
      <c r="L360" s="89"/>
    </row>
    <row r="361" spans="2:12" x14ac:dyDescent="0.35">
      <c r="B361" s="88">
        <v>925</v>
      </c>
      <c r="C361" s="88"/>
      <c r="D361" s="88"/>
      <c r="E361" s="88"/>
      <c r="F361" s="88"/>
      <c r="G361" s="88"/>
      <c r="H361" s="88"/>
      <c r="I361" s="88"/>
      <c r="J361" s="88"/>
      <c r="K361" s="88"/>
      <c r="L361" s="88"/>
    </row>
    <row r="362" spans="2:12" x14ac:dyDescent="0.35">
      <c r="B362" s="89">
        <v>935</v>
      </c>
      <c r="C362" s="89"/>
      <c r="D362" s="89"/>
      <c r="E362" s="89"/>
      <c r="F362" s="89"/>
      <c r="G362" s="89"/>
      <c r="H362" s="89"/>
      <c r="I362" s="89"/>
      <c r="J362" s="89"/>
      <c r="K362" s="89"/>
      <c r="L362" s="89"/>
    </row>
    <row r="363" spans="2:12" x14ac:dyDescent="0.35">
      <c r="B363" s="88">
        <v>945</v>
      </c>
      <c r="C363" s="88"/>
      <c r="D363" s="88"/>
      <c r="E363" s="88"/>
      <c r="F363" s="88"/>
      <c r="G363" s="88"/>
      <c r="H363" s="88"/>
      <c r="I363" s="88"/>
      <c r="J363" s="88"/>
      <c r="K363" s="88"/>
      <c r="L363" s="88"/>
    </row>
    <row r="364" spans="2:12" x14ac:dyDescent="0.35">
      <c r="B364" s="89">
        <v>955</v>
      </c>
      <c r="C364" s="89"/>
      <c r="D364" s="89"/>
      <c r="E364" s="89"/>
      <c r="F364" s="89"/>
      <c r="G364" s="89"/>
      <c r="H364" s="89"/>
      <c r="I364" s="89"/>
      <c r="J364" s="89"/>
      <c r="K364" s="89"/>
      <c r="L364" s="89"/>
    </row>
    <row r="365" spans="2:12" x14ac:dyDescent="0.35">
      <c r="B365" s="88">
        <v>965</v>
      </c>
      <c r="C365" s="88"/>
      <c r="D365" s="88"/>
      <c r="E365" s="88"/>
      <c r="F365" s="88"/>
      <c r="G365" s="88"/>
      <c r="H365" s="88"/>
      <c r="I365" s="88"/>
      <c r="J365" s="88"/>
      <c r="K365" s="88"/>
      <c r="L365" s="88"/>
    </row>
    <row r="366" spans="2:12" x14ac:dyDescent="0.35">
      <c r="B366" s="89">
        <v>975</v>
      </c>
      <c r="C366" s="89"/>
      <c r="D366" s="89"/>
      <c r="E366" s="89"/>
      <c r="F366" s="89"/>
      <c r="G366" s="89"/>
      <c r="H366" s="89"/>
      <c r="I366" s="89"/>
      <c r="J366" s="89"/>
      <c r="K366" s="89"/>
      <c r="L366" s="89"/>
    </row>
    <row r="367" spans="2:12" x14ac:dyDescent="0.35">
      <c r="B367" s="88">
        <v>985</v>
      </c>
      <c r="C367" s="88"/>
      <c r="D367" s="88"/>
      <c r="E367" s="88"/>
      <c r="F367" s="88"/>
      <c r="G367" s="88"/>
      <c r="H367" s="88"/>
      <c r="I367" s="88"/>
      <c r="J367" s="88"/>
      <c r="K367" s="88"/>
      <c r="L367" s="88"/>
    </row>
    <row r="368" spans="2:12" x14ac:dyDescent="0.35">
      <c r="B368" s="89">
        <v>995</v>
      </c>
      <c r="C368" s="89"/>
      <c r="D368" s="89"/>
      <c r="E368" s="89"/>
      <c r="F368" s="89"/>
      <c r="G368" s="89"/>
      <c r="H368" s="89"/>
      <c r="I368" s="89"/>
      <c r="J368" s="89"/>
      <c r="K368" s="89"/>
      <c r="L368" s="89"/>
    </row>
    <row r="369" spans="2:12" x14ac:dyDescent="0.35">
      <c r="B369" s="88">
        <v>1005</v>
      </c>
      <c r="C369" s="88"/>
      <c r="D369" s="88"/>
      <c r="E369" s="88"/>
      <c r="F369" s="88"/>
      <c r="G369" s="88"/>
      <c r="H369" s="88"/>
      <c r="I369" s="88"/>
      <c r="J369" s="88"/>
      <c r="K369" s="88"/>
      <c r="L369" s="88"/>
    </row>
    <row r="370" spans="2:12" x14ac:dyDescent="0.35">
      <c r="B370" s="89">
        <v>1015</v>
      </c>
      <c r="C370" s="89"/>
      <c r="D370" s="89"/>
      <c r="E370" s="89"/>
      <c r="F370" s="89"/>
      <c r="G370" s="89"/>
      <c r="H370" s="89"/>
      <c r="I370" s="89"/>
      <c r="J370" s="89"/>
      <c r="K370" s="89"/>
      <c r="L370" s="89"/>
    </row>
    <row r="371" spans="2:12" x14ac:dyDescent="0.35">
      <c r="B371" s="88">
        <v>1025</v>
      </c>
      <c r="C371" s="88"/>
      <c r="D371" s="88"/>
      <c r="E371" s="88"/>
      <c r="F371" s="88"/>
      <c r="G371" s="88"/>
      <c r="H371" s="88"/>
      <c r="I371" s="88"/>
      <c r="J371" s="88"/>
      <c r="K371" s="88"/>
      <c r="L371" s="88"/>
    </row>
    <row r="372" spans="2:12" x14ac:dyDescent="0.35">
      <c r="B372" s="89">
        <v>1035</v>
      </c>
      <c r="C372" s="89"/>
      <c r="D372" s="89"/>
      <c r="E372" s="89"/>
      <c r="F372" s="89"/>
      <c r="G372" s="89"/>
      <c r="H372" s="89"/>
      <c r="I372" s="89"/>
      <c r="J372" s="89"/>
      <c r="K372" s="89"/>
      <c r="L372" s="89"/>
    </row>
    <row r="373" spans="2:12" x14ac:dyDescent="0.35">
      <c r="B373" s="88">
        <v>1045</v>
      </c>
      <c r="C373" s="88"/>
      <c r="D373" s="88"/>
      <c r="E373" s="88"/>
      <c r="F373" s="88"/>
      <c r="G373" s="88"/>
      <c r="H373" s="88"/>
      <c r="I373" s="88"/>
      <c r="J373" s="88"/>
      <c r="K373" s="88"/>
      <c r="L373" s="88"/>
    </row>
    <row r="374" spans="2:12" x14ac:dyDescent="0.35">
      <c r="B374" s="89">
        <v>1055</v>
      </c>
      <c r="C374" s="89"/>
      <c r="D374" s="89"/>
      <c r="E374" s="89"/>
      <c r="F374" s="89"/>
      <c r="G374" s="89"/>
      <c r="H374" s="89"/>
      <c r="I374" s="89"/>
      <c r="J374" s="89"/>
      <c r="K374" s="89"/>
      <c r="L374" s="89"/>
    </row>
    <row r="375" spans="2:12" x14ac:dyDescent="0.35">
      <c r="B375" s="88">
        <v>1065</v>
      </c>
      <c r="C375" s="88"/>
      <c r="D375" s="88"/>
      <c r="E375" s="88"/>
      <c r="F375" s="88"/>
      <c r="G375" s="88"/>
      <c r="H375" s="88"/>
      <c r="I375" s="88"/>
      <c r="J375" s="88"/>
      <c r="K375" s="88"/>
      <c r="L375" s="88"/>
    </row>
    <row r="376" spans="2:12" x14ac:dyDescent="0.35">
      <c r="B376" s="89">
        <v>1075</v>
      </c>
      <c r="C376" s="89"/>
      <c r="D376" s="89"/>
      <c r="E376" s="89"/>
      <c r="F376" s="89"/>
      <c r="G376" s="89"/>
      <c r="H376" s="89"/>
      <c r="I376" s="89"/>
      <c r="J376" s="89"/>
      <c r="K376" s="89"/>
      <c r="L376" s="89"/>
    </row>
    <row r="377" spans="2:12" x14ac:dyDescent="0.35">
      <c r="B377" s="88">
        <v>1085</v>
      </c>
      <c r="C377" s="88"/>
      <c r="D377" s="88"/>
      <c r="E377" s="88"/>
      <c r="F377" s="88"/>
      <c r="G377" s="88"/>
      <c r="H377" s="88"/>
      <c r="I377" s="88"/>
      <c r="J377" s="88"/>
      <c r="K377" s="88"/>
      <c r="L377" s="88"/>
    </row>
    <row r="378" spans="2:12" x14ac:dyDescent="0.35">
      <c r="B378" s="89">
        <v>1095</v>
      </c>
      <c r="C378" s="89"/>
      <c r="D378" s="89"/>
      <c r="E378" s="89"/>
      <c r="F378" s="89"/>
      <c r="G378" s="89"/>
      <c r="H378" s="89"/>
      <c r="I378" s="89"/>
      <c r="J378" s="89"/>
      <c r="K378" s="89"/>
      <c r="L378" s="89"/>
    </row>
    <row r="379" spans="2:12" x14ac:dyDescent="0.35">
      <c r="B379" s="88">
        <v>1105</v>
      </c>
      <c r="C379" s="88"/>
      <c r="D379" s="88"/>
      <c r="E379" s="88"/>
      <c r="F379" s="88"/>
      <c r="G379" s="88"/>
      <c r="H379" s="88"/>
      <c r="I379" s="88"/>
      <c r="J379" s="88"/>
      <c r="K379" s="88"/>
      <c r="L379" s="88"/>
    </row>
    <row r="380" spans="2:12" x14ac:dyDescent="0.35">
      <c r="B380" s="89">
        <v>1115</v>
      </c>
      <c r="C380" s="89"/>
      <c r="D380" s="89"/>
      <c r="E380" s="89"/>
      <c r="F380" s="89"/>
      <c r="G380" s="89"/>
      <c r="H380" s="89"/>
      <c r="I380" s="89"/>
      <c r="J380" s="89"/>
      <c r="K380" s="89"/>
      <c r="L380" s="89"/>
    </row>
    <row r="381" spans="2:12" x14ac:dyDescent="0.35">
      <c r="B381" s="88">
        <v>1125</v>
      </c>
      <c r="C381" s="88"/>
      <c r="D381" s="88"/>
      <c r="E381" s="88"/>
      <c r="F381" s="88"/>
      <c r="G381" s="88"/>
      <c r="H381" s="88"/>
      <c r="I381" s="88"/>
      <c r="J381" s="88"/>
      <c r="K381" s="88"/>
      <c r="L381" s="88"/>
    </row>
    <row r="382" spans="2:12" x14ac:dyDescent="0.35">
      <c r="B382" s="89">
        <v>1135</v>
      </c>
      <c r="C382" s="89"/>
      <c r="D382" s="89"/>
      <c r="E382" s="89"/>
      <c r="F382" s="89"/>
      <c r="G382" s="89"/>
      <c r="H382" s="89"/>
      <c r="I382" s="89"/>
      <c r="J382" s="89"/>
      <c r="K382" s="89"/>
      <c r="L382" s="89"/>
    </row>
    <row r="383" spans="2:12" x14ac:dyDescent="0.35">
      <c r="B383" s="88">
        <v>1145</v>
      </c>
      <c r="C383" s="88"/>
      <c r="D383" s="88"/>
      <c r="E383" s="88"/>
      <c r="F383" s="88"/>
      <c r="G383" s="88"/>
      <c r="H383" s="88"/>
      <c r="I383" s="88"/>
      <c r="J383" s="88"/>
      <c r="K383" s="88"/>
      <c r="L383" s="88"/>
    </row>
    <row r="384" spans="2:12" x14ac:dyDescent="0.35">
      <c r="B384" s="89">
        <v>1155</v>
      </c>
      <c r="C384" s="89"/>
      <c r="D384" s="89"/>
      <c r="E384" s="89"/>
      <c r="F384" s="89"/>
      <c r="G384" s="89"/>
      <c r="H384" s="89"/>
      <c r="I384" s="89"/>
      <c r="J384" s="89"/>
      <c r="K384" s="89"/>
      <c r="L384" s="89"/>
    </row>
    <row r="385" spans="2:12" x14ac:dyDescent="0.35">
      <c r="B385" s="88">
        <v>1165</v>
      </c>
      <c r="C385" s="88"/>
      <c r="D385" s="88"/>
      <c r="E385" s="88"/>
      <c r="F385" s="88"/>
      <c r="G385" s="88"/>
      <c r="H385" s="88"/>
      <c r="I385" s="88"/>
      <c r="J385" s="88"/>
      <c r="K385" s="88"/>
      <c r="L385" s="88"/>
    </row>
    <row r="386" spans="2:12" x14ac:dyDescent="0.35">
      <c r="B386" s="89">
        <v>1175</v>
      </c>
      <c r="C386" s="89"/>
      <c r="D386" s="89"/>
      <c r="E386" s="89"/>
      <c r="F386" s="89"/>
      <c r="G386" s="89"/>
      <c r="H386" s="89"/>
      <c r="I386" s="89"/>
      <c r="J386" s="89"/>
      <c r="K386" s="89"/>
      <c r="L386" s="89"/>
    </row>
    <row r="387" spans="2:12" x14ac:dyDescent="0.35">
      <c r="B387" s="88">
        <v>1185</v>
      </c>
      <c r="C387" s="88"/>
      <c r="D387" s="88"/>
      <c r="E387" s="88"/>
      <c r="F387" s="88"/>
      <c r="G387" s="88"/>
      <c r="H387" s="88"/>
      <c r="I387" s="88"/>
      <c r="J387" s="88"/>
      <c r="K387" s="88"/>
      <c r="L387" s="88"/>
    </row>
    <row r="388" spans="2:12" x14ac:dyDescent="0.35">
      <c r="B388" s="89">
        <v>1195</v>
      </c>
      <c r="C388" s="89"/>
      <c r="D388" s="89"/>
      <c r="E388" s="89"/>
      <c r="F388" s="89"/>
      <c r="G388" s="89"/>
      <c r="H388" s="89"/>
      <c r="I388" s="89"/>
      <c r="J388" s="89"/>
      <c r="K388" s="89"/>
      <c r="L388" s="89"/>
    </row>
    <row r="389" spans="2:12" x14ac:dyDescent="0.35">
      <c r="B389" s="88">
        <v>1295</v>
      </c>
      <c r="C389" s="88"/>
      <c r="D389" s="88"/>
      <c r="E389" s="88"/>
      <c r="F389" s="88"/>
      <c r="G389" s="88"/>
      <c r="H389" s="88"/>
      <c r="I389" s="88"/>
      <c r="J389" s="88"/>
      <c r="K389" s="88"/>
      <c r="L389" s="88"/>
    </row>
    <row r="390" spans="2:12" x14ac:dyDescent="0.35">
      <c r="B390" s="89">
        <v>1395</v>
      </c>
      <c r="C390" s="89"/>
      <c r="D390" s="89"/>
      <c r="E390" s="89"/>
      <c r="F390" s="89"/>
      <c r="G390" s="89"/>
      <c r="H390" s="89"/>
      <c r="I390" s="89"/>
      <c r="J390" s="89"/>
      <c r="K390" s="89"/>
      <c r="L390" s="89"/>
    </row>
    <row r="391" spans="2:12" x14ac:dyDescent="0.35">
      <c r="B391" s="88">
        <v>1495</v>
      </c>
      <c r="C391" s="88"/>
      <c r="D391" s="88"/>
      <c r="E391" s="88"/>
      <c r="F391" s="88"/>
      <c r="G391" s="88"/>
      <c r="H391" s="88"/>
      <c r="I391" s="88"/>
      <c r="J391" s="88"/>
      <c r="K391" s="88"/>
      <c r="L391" s="88"/>
    </row>
    <row r="392" spans="2:12" x14ac:dyDescent="0.35">
      <c r="B392" s="89">
        <v>1595</v>
      </c>
      <c r="C392" s="89"/>
      <c r="D392" s="89"/>
      <c r="E392" s="89"/>
      <c r="F392" s="89"/>
      <c r="G392" s="89"/>
      <c r="H392" s="89"/>
      <c r="I392" s="89"/>
      <c r="J392" s="89"/>
      <c r="K392" s="89"/>
      <c r="L392" s="89"/>
    </row>
    <row r="393" spans="2:12" x14ac:dyDescent="0.35">
      <c r="B393" s="88">
        <v>1695</v>
      </c>
      <c r="C393" s="88"/>
      <c r="D393" s="88"/>
      <c r="E393" s="88"/>
      <c r="F393" s="88"/>
      <c r="G393" s="88"/>
      <c r="H393" s="88"/>
      <c r="I393" s="88"/>
      <c r="J393" s="88"/>
      <c r="K393" s="88"/>
      <c r="L393" s="88"/>
    </row>
    <row r="394" spans="2:12" x14ac:dyDescent="0.35">
      <c r="B394" s="89">
        <v>1795</v>
      </c>
      <c r="C394" s="89"/>
      <c r="D394" s="89"/>
      <c r="E394" s="89"/>
      <c r="F394" s="89"/>
      <c r="G394" s="89"/>
      <c r="H394" s="89"/>
      <c r="I394" s="89"/>
      <c r="J394" s="89"/>
      <c r="K394" s="89"/>
      <c r="L394" s="89"/>
    </row>
    <row r="395" spans="2:12" x14ac:dyDescent="0.35">
      <c r="B395" s="88">
        <v>1895</v>
      </c>
      <c r="C395" s="88"/>
      <c r="D395" s="88"/>
      <c r="E395" s="88"/>
      <c r="F395" s="88"/>
      <c r="G395" s="88"/>
      <c r="H395" s="88"/>
      <c r="I395" s="88"/>
      <c r="J395" s="88"/>
      <c r="K395" s="88"/>
      <c r="L395" s="88"/>
    </row>
    <row r="396" spans="2:12" x14ac:dyDescent="0.35">
      <c r="B396" s="89">
        <v>1995</v>
      </c>
      <c r="C396" s="89"/>
      <c r="D396" s="89"/>
      <c r="E396" s="89"/>
      <c r="F396" s="89"/>
      <c r="G396" s="89"/>
      <c r="H396" s="89"/>
      <c r="I396" s="89"/>
      <c r="J396" s="89"/>
      <c r="K396" s="89"/>
      <c r="L396" s="89"/>
    </row>
    <row r="397" spans="2:12" x14ac:dyDescent="0.35">
      <c r="B397" s="88">
        <v>2095</v>
      </c>
      <c r="C397" s="88"/>
      <c r="D397" s="88"/>
      <c r="E397" s="88"/>
      <c r="F397" s="88"/>
      <c r="G397" s="88"/>
      <c r="H397" s="88"/>
      <c r="I397" s="88"/>
      <c r="J397" s="88"/>
      <c r="K397" s="88"/>
      <c r="L397" s="88"/>
    </row>
    <row r="398" spans="2:12" x14ac:dyDescent="0.35">
      <c r="B398" s="89">
        <v>2195</v>
      </c>
      <c r="C398" s="89"/>
      <c r="D398" s="89"/>
      <c r="E398" s="89"/>
      <c r="F398" s="89"/>
      <c r="G398" s="89"/>
      <c r="H398" s="89"/>
      <c r="I398" s="89"/>
      <c r="J398" s="89"/>
      <c r="K398" s="89"/>
      <c r="L398" s="89"/>
    </row>
    <row r="399" spans="2:12" x14ac:dyDescent="0.35">
      <c r="B399" s="88">
        <v>2295</v>
      </c>
      <c r="C399" s="88"/>
      <c r="D399" s="88"/>
      <c r="E399" s="88"/>
      <c r="F399" s="88"/>
      <c r="G399" s="88"/>
      <c r="H399" s="88"/>
      <c r="I399" s="88"/>
      <c r="J399" s="88"/>
      <c r="K399" s="88"/>
      <c r="L399" s="88"/>
    </row>
    <row r="400" spans="2:12" x14ac:dyDescent="0.35">
      <c r="B400" s="89">
        <v>2395</v>
      </c>
      <c r="C400" s="89"/>
      <c r="D400" s="89"/>
      <c r="E400" s="89"/>
      <c r="F400" s="89"/>
      <c r="G400" s="89"/>
      <c r="H400" s="89"/>
      <c r="I400" s="89"/>
      <c r="J400" s="89"/>
      <c r="K400" s="89"/>
      <c r="L400" s="89"/>
    </row>
    <row r="401" spans="2:12" x14ac:dyDescent="0.35">
      <c r="B401" s="88">
        <v>2495</v>
      </c>
      <c r="C401" s="88"/>
      <c r="D401" s="88"/>
      <c r="E401" s="88"/>
      <c r="F401" s="88"/>
      <c r="G401" s="88"/>
      <c r="H401" s="88"/>
      <c r="I401" s="88"/>
      <c r="J401" s="88"/>
      <c r="K401" s="88"/>
      <c r="L401" s="88"/>
    </row>
    <row r="402" spans="2:12" x14ac:dyDescent="0.35">
      <c r="B402" s="89">
        <v>2595</v>
      </c>
      <c r="C402" s="89"/>
      <c r="D402" s="89"/>
      <c r="E402" s="89"/>
      <c r="F402" s="89"/>
      <c r="G402" s="89"/>
      <c r="H402" s="89"/>
      <c r="I402" s="89"/>
      <c r="J402" s="89"/>
      <c r="K402" s="89"/>
      <c r="L402" s="89"/>
    </row>
    <row r="403" spans="2:12" x14ac:dyDescent="0.35">
      <c r="B403" s="88">
        <v>2695</v>
      </c>
      <c r="C403" s="88"/>
      <c r="D403" s="88"/>
      <c r="E403" s="88"/>
      <c r="F403" s="88"/>
      <c r="G403" s="88"/>
      <c r="H403" s="88"/>
      <c r="I403" s="88"/>
      <c r="J403" s="88"/>
      <c r="K403" s="88"/>
      <c r="L403" s="88"/>
    </row>
    <row r="404" spans="2:12" x14ac:dyDescent="0.35">
      <c r="B404" s="89">
        <v>2795</v>
      </c>
      <c r="C404" s="89"/>
      <c r="D404" s="89"/>
      <c r="E404" s="89"/>
      <c r="F404" s="89"/>
      <c r="G404" s="89"/>
      <c r="H404" s="89"/>
      <c r="I404" s="89"/>
      <c r="J404" s="89"/>
      <c r="K404" s="89"/>
      <c r="L404" s="89"/>
    </row>
    <row r="405" spans="2:12" x14ac:dyDescent="0.35">
      <c r="B405" s="88">
        <v>2895</v>
      </c>
      <c r="C405" s="88"/>
      <c r="D405" s="88"/>
      <c r="E405" s="88"/>
      <c r="F405" s="88"/>
      <c r="G405" s="88"/>
      <c r="H405" s="88"/>
      <c r="I405" s="88"/>
      <c r="J405" s="88"/>
      <c r="K405" s="88"/>
      <c r="L405" s="88"/>
    </row>
    <row r="406" spans="2:12" x14ac:dyDescent="0.35">
      <c r="B406" s="89">
        <v>2995</v>
      </c>
      <c r="C406" s="89"/>
      <c r="D406" s="89"/>
      <c r="E406" s="89"/>
      <c r="F406" s="89"/>
      <c r="G406" s="89"/>
      <c r="H406" s="89"/>
      <c r="I406" s="89"/>
      <c r="J406" s="89"/>
      <c r="K406" s="89"/>
      <c r="L406" s="89"/>
    </row>
    <row r="407" spans="2:12" x14ac:dyDescent="0.35">
      <c r="B407" s="88">
        <v>3095</v>
      </c>
      <c r="C407" s="88"/>
      <c r="D407" s="88"/>
      <c r="E407" s="88"/>
      <c r="F407" s="88"/>
      <c r="G407" s="88"/>
      <c r="H407" s="88"/>
      <c r="I407" s="88"/>
      <c r="J407" s="88"/>
      <c r="K407" s="88"/>
      <c r="L407" s="88"/>
    </row>
    <row r="408" spans="2:12" x14ac:dyDescent="0.35">
      <c r="B408" s="89">
        <v>3195</v>
      </c>
      <c r="C408" s="89"/>
      <c r="D408" s="89"/>
      <c r="E408" s="89"/>
      <c r="F408" s="89"/>
      <c r="G408" s="89"/>
      <c r="H408" s="89"/>
      <c r="I408" s="89"/>
      <c r="J408" s="89"/>
      <c r="K408" s="89"/>
      <c r="L408" s="89"/>
    </row>
    <row r="409" spans="2:12" x14ac:dyDescent="0.35">
      <c r="B409" s="88">
        <v>3295</v>
      </c>
      <c r="C409" s="88"/>
      <c r="D409" s="88"/>
      <c r="E409" s="88"/>
      <c r="F409" s="88"/>
      <c r="G409" s="88"/>
      <c r="H409" s="88"/>
      <c r="I409" s="88"/>
      <c r="J409" s="88"/>
      <c r="K409" s="88"/>
      <c r="L409" s="88"/>
    </row>
    <row r="410" spans="2:12" x14ac:dyDescent="0.35">
      <c r="B410" s="89">
        <v>3395</v>
      </c>
      <c r="C410" s="89"/>
      <c r="D410" s="89"/>
      <c r="E410" s="89"/>
      <c r="F410" s="89"/>
      <c r="G410" s="89"/>
      <c r="H410" s="89"/>
      <c r="I410" s="89"/>
      <c r="J410" s="89"/>
      <c r="K410" s="89"/>
      <c r="L410" s="89"/>
    </row>
    <row r="411" spans="2:12" x14ac:dyDescent="0.35">
      <c r="B411" s="88">
        <v>3495</v>
      </c>
      <c r="C411" s="88"/>
      <c r="D411" s="88"/>
      <c r="E411" s="88"/>
      <c r="F411" s="88"/>
      <c r="G411" s="88"/>
      <c r="H411" s="88"/>
      <c r="I411" s="88"/>
      <c r="J411" s="88"/>
      <c r="K411" s="88"/>
      <c r="L411" s="88"/>
    </row>
    <row r="412" spans="2:12" x14ac:dyDescent="0.35">
      <c r="B412" s="89">
        <v>3595</v>
      </c>
      <c r="C412" s="89"/>
      <c r="D412" s="89"/>
      <c r="E412" s="89"/>
      <c r="F412" s="89"/>
      <c r="G412" s="89"/>
      <c r="H412" s="89"/>
      <c r="I412" s="89"/>
      <c r="J412" s="89"/>
      <c r="K412" s="89"/>
      <c r="L412" s="89"/>
    </row>
    <row r="413" spans="2:12" x14ac:dyDescent="0.35">
      <c r="B413" s="88">
        <v>3695</v>
      </c>
      <c r="C413" s="88"/>
      <c r="D413" s="88"/>
      <c r="E413" s="88"/>
      <c r="F413" s="88"/>
      <c r="G413" s="88"/>
      <c r="H413" s="88"/>
      <c r="I413" s="88"/>
      <c r="J413" s="88"/>
      <c r="K413" s="88"/>
      <c r="L413" s="88"/>
    </row>
    <row r="414" spans="2:12" x14ac:dyDescent="0.35">
      <c r="B414" s="89">
        <v>3795</v>
      </c>
      <c r="C414" s="89"/>
      <c r="D414" s="89"/>
      <c r="E414" s="89"/>
      <c r="F414" s="89"/>
      <c r="G414" s="89"/>
      <c r="H414" s="89"/>
      <c r="I414" s="89"/>
      <c r="J414" s="89"/>
      <c r="K414" s="89"/>
      <c r="L414" s="89"/>
    </row>
    <row r="415" spans="2:12" x14ac:dyDescent="0.35">
      <c r="B415" s="88">
        <v>3895</v>
      </c>
      <c r="C415" s="88"/>
      <c r="D415" s="88"/>
      <c r="E415" s="88"/>
      <c r="F415" s="88"/>
      <c r="G415" s="88"/>
      <c r="H415" s="88"/>
      <c r="I415" s="88"/>
      <c r="J415" s="88"/>
      <c r="K415" s="88"/>
      <c r="L415" s="88"/>
    </row>
    <row r="416" spans="2:12" x14ac:dyDescent="0.35">
      <c r="B416" s="89">
        <v>3995</v>
      </c>
      <c r="C416" s="89"/>
      <c r="D416" s="89"/>
      <c r="E416" s="89"/>
      <c r="F416" s="89"/>
      <c r="G416" s="89"/>
      <c r="H416" s="89"/>
      <c r="I416" s="89"/>
      <c r="J416" s="89"/>
      <c r="K416" s="89"/>
      <c r="L416" s="89"/>
    </row>
    <row r="417" spans="2:12" x14ac:dyDescent="0.35">
      <c r="B417" s="88">
        <v>4095</v>
      </c>
      <c r="C417" s="88"/>
      <c r="D417" s="88"/>
      <c r="E417" s="88"/>
      <c r="F417" s="88"/>
      <c r="G417" s="88"/>
      <c r="H417" s="88"/>
      <c r="I417" s="88"/>
      <c r="J417" s="88"/>
      <c r="K417" s="88"/>
      <c r="L417" s="88"/>
    </row>
    <row r="418" spans="2:12" x14ac:dyDescent="0.35">
      <c r="B418" s="89">
        <v>4195</v>
      </c>
      <c r="C418" s="89"/>
      <c r="D418" s="89"/>
      <c r="E418" s="89"/>
      <c r="F418" s="89"/>
      <c r="G418" s="89"/>
      <c r="H418" s="89"/>
      <c r="I418" s="89"/>
      <c r="J418" s="89"/>
      <c r="K418" s="89"/>
      <c r="L418" s="89"/>
    </row>
    <row r="419" spans="2:12" x14ac:dyDescent="0.35">
      <c r="B419" s="88">
        <v>4295</v>
      </c>
      <c r="C419" s="88"/>
      <c r="D419" s="88"/>
      <c r="E419" s="88"/>
      <c r="F419" s="88"/>
      <c r="G419" s="88"/>
      <c r="H419" s="88"/>
      <c r="I419" s="88"/>
      <c r="J419" s="88"/>
      <c r="K419" s="88"/>
      <c r="L419" s="88"/>
    </row>
    <row r="420" spans="2:12" x14ac:dyDescent="0.35">
      <c r="B420" s="89">
        <v>4395</v>
      </c>
      <c r="C420" s="89"/>
      <c r="D420" s="89"/>
      <c r="E420" s="89"/>
      <c r="F420" s="89"/>
      <c r="G420" s="89"/>
      <c r="H420" s="89"/>
      <c r="I420" s="89"/>
      <c r="J420" s="89"/>
      <c r="K420" s="89"/>
      <c r="L420" s="89"/>
    </row>
    <row r="421" spans="2:12" x14ac:dyDescent="0.35">
      <c r="B421" s="88">
        <v>4495</v>
      </c>
      <c r="C421" s="88"/>
      <c r="D421" s="88"/>
      <c r="E421" s="88"/>
      <c r="F421" s="88"/>
      <c r="G421" s="88"/>
      <c r="H421" s="88"/>
      <c r="I421" s="88"/>
      <c r="J421" s="88"/>
      <c r="K421" s="88"/>
      <c r="L421" s="88"/>
    </row>
    <row r="422" spans="2:12" x14ac:dyDescent="0.35">
      <c r="B422" s="89">
        <v>4595</v>
      </c>
      <c r="C422" s="89"/>
      <c r="D422" s="89"/>
      <c r="E422" s="89"/>
      <c r="F422" s="89"/>
      <c r="G422" s="89"/>
      <c r="H422" s="89"/>
      <c r="I422" s="89"/>
      <c r="J422" s="89"/>
      <c r="K422" s="89"/>
      <c r="L422" s="89"/>
    </row>
    <row r="423" spans="2:12" x14ac:dyDescent="0.35">
      <c r="B423" s="88">
        <v>4695</v>
      </c>
      <c r="C423" s="88"/>
      <c r="D423" s="88"/>
      <c r="E423" s="88"/>
      <c r="F423" s="88"/>
      <c r="G423" s="88"/>
      <c r="H423" s="88"/>
      <c r="I423" s="88"/>
      <c r="J423" s="88"/>
      <c r="K423" s="88"/>
      <c r="L423" s="88"/>
    </row>
    <row r="424" spans="2:12" x14ac:dyDescent="0.35">
      <c r="B424" s="89">
        <v>4795</v>
      </c>
      <c r="C424" s="89"/>
      <c r="D424" s="89"/>
      <c r="E424" s="89"/>
      <c r="F424" s="89"/>
      <c r="G424" s="89"/>
      <c r="H424" s="89"/>
      <c r="I424" s="89"/>
      <c r="J424" s="89"/>
      <c r="K424" s="89"/>
      <c r="L424" s="89"/>
    </row>
    <row r="425" spans="2:12" x14ac:dyDescent="0.35">
      <c r="B425" s="88">
        <v>4895</v>
      </c>
      <c r="C425" s="88"/>
      <c r="D425" s="88"/>
      <c r="E425" s="88"/>
      <c r="F425" s="88"/>
      <c r="G425" s="88"/>
      <c r="H425" s="88"/>
      <c r="I425" s="88"/>
      <c r="J425" s="88"/>
      <c r="K425" s="88"/>
      <c r="L425" s="88"/>
    </row>
    <row r="426" spans="2:12" x14ac:dyDescent="0.35">
      <c r="B426" s="89">
        <v>4995</v>
      </c>
      <c r="C426" s="89"/>
      <c r="D426" s="89"/>
      <c r="E426" s="89"/>
      <c r="F426" s="89"/>
      <c r="G426" s="89"/>
      <c r="H426" s="89"/>
      <c r="I426" s="89"/>
      <c r="J426" s="89"/>
      <c r="K426" s="89"/>
      <c r="L426" s="89"/>
    </row>
    <row r="427" spans="2:12" x14ac:dyDescent="0.35">
      <c r="B427" s="88">
        <v>5095</v>
      </c>
      <c r="C427" s="88"/>
      <c r="D427" s="88"/>
      <c r="E427" s="88"/>
      <c r="F427" s="88"/>
      <c r="G427" s="88"/>
      <c r="H427" s="88"/>
      <c r="I427" s="88"/>
      <c r="J427" s="88"/>
      <c r="K427" s="88"/>
      <c r="L427" s="88"/>
    </row>
    <row r="428" spans="2:12" x14ac:dyDescent="0.35">
      <c r="B428" s="89">
        <v>5195</v>
      </c>
      <c r="C428" s="89"/>
      <c r="D428" s="89"/>
      <c r="E428" s="89"/>
      <c r="F428" s="89"/>
      <c r="G428" s="89"/>
      <c r="H428" s="89"/>
      <c r="I428" s="89"/>
      <c r="J428" s="89"/>
      <c r="K428" s="89"/>
      <c r="L428" s="89"/>
    </row>
    <row r="429" spans="2:12" x14ac:dyDescent="0.35">
      <c r="B429" s="88">
        <v>5295</v>
      </c>
      <c r="C429" s="88"/>
      <c r="D429" s="88"/>
      <c r="E429" s="88"/>
      <c r="F429" s="88"/>
      <c r="G429" s="88"/>
      <c r="H429" s="88"/>
      <c r="I429" s="88"/>
      <c r="J429" s="88"/>
      <c r="K429" s="88"/>
      <c r="L429" s="88"/>
    </row>
    <row r="430" spans="2:12" x14ac:dyDescent="0.35">
      <c r="B430" s="89">
        <v>5395</v>
      </c>
      <c r="C430" s="89"/>
      <c r="D430" s="89"/>
      <c r="E430" s="89"/>
      <c r="F430" s="89"/>
      <c r="G430" s="89"/>
      <c r="H430" s="89"/>
      <c r="I430" s="89"/>
      <c r="J430" s="89"/>
      <c r="K430" s="89"/>
      <c r="L430" s="89"/>
    </row>
    <row r="431" spans="2:12" x14ac:dyDescent="0.35">
      <c r="B431" s="88">
        <v>5495</v>
      </c>
      <c r="C431" s="88"/>
      <c r="D431" s="88"/>
      <c r="E431" s="88"/>
      <c r="F431" s="88"/>
      <c r="G431" s="88"/>
      <c r="H431" s="88"/>
      <c r="I431" s="88"/>
      <c r="J431" s="88"/>
      <c r="K431" s="88"/>
      <c r="L431" s="88"/>
    </row>
    <row r="432" spans="2:12" x14ac:dyDescent="0.35">
      <c r="B432" s="89">
        <v>5595</v>
      </c>
      <c r="C432" s="89"/>
      <c r="D432" s="89"/>
      <c r="E432" s="89"/>
      <c r="F432" s="89"/>
      <c r="G432" s="89"/>
      <c r="H432" s="89"/>
      <c r="I432" s="89"/>
      <c r="J432" s="89"/>
      <c r="K432" s="89"/>
      <c r="L432" s="89"/>
    </row>
    <row r="433" spans="2:12" x14ac:dyDescent="0.35">
      <c r="B433" s="88">
        <v>5695</v>
      </c>
      <c r="C433" s="88"/>
      <c r="D433" s="88"/>
      <c r="E433" s="88"/>
      <c r="F433" s="88"/>
      <c r="G433" s="88"/>
      <c r="H433" s="88"/>
      <c r="I433" s="88"/>
      <c r="J433" s="88"/>
      <c r="K433" s="88"/>
      <c r="L433" s="88"/>
    </row>
    <row r="434" spans="2:12" x14ac:dyDescent="0.35">
      <c r="B434" s="89">
        <v>5795</v>
      </c>
      <c r="C434" s="89"/>
      <c r="D434" s="89"/>
      <c r="E434" s="89"/>
      <c r="F434" s="89"/>
      <c r="G434" s="89"/>
      <c r="H434" s="89"/>
      <c r="I434" s="89"/>
      <c r="J434" s="89"/>
      <c r="K434" s="89"/>
      <c r="L434" s="89"/>
    </row>
    <row r="435" spans="2:12" x14ac:dyDescent="0.35">
      <c r="B435" s="88">
        <v>5895</v>
      </c>
      <c r="C435" s="88"/>
      <c r="D435" s="88"/>
      <c r="E435" s="88"/>
      <c r="F435" s="88"/>
      <c r="G435" s="88"/>
      <c r="H435" s="88"/>
      <c r="I435" s="88"/>
      <c r="J435" s="88"/>
      <c r="K435" s="88"/>
      <c r="L435" s="88"/>
    </row>
    <row r="436" spans="2:12" x14ac:dyDescent="0.35">
      <c r="B436" s="89">
        <v>5995</v>
      </c>
      <c r="C436" s="89"/>
      <c r="D436" s="89"/>
      <c r="E436" s="89"/>
      <c r="F436" s="89"/>
      <c r="G436" s="89"/>
      <c r="H436" s="89"/>
      <c r="I436" s="89"/>
      <c r="J436" s="89"/>
      <c r="K436" s="89"/>
      <c r="L436" s="89"/>
    </row>
    <row r="437" spans="2:12" x14ac:dyDescent="0.35">
      <c r="B437" s="88">
        <v>6095</v>
      </c>
      <c r="C437" s="88"/>
      <c r="D437" s="88"/>
      <c r="E437" s="88"/>
      <c r="F437" s="88"/>
      <c r="G437" s="88"/>
      <c r="H437" s="88"/>
      <c r="I437" s="88"/>
      <c r="J437" s="88"/>
      <c r="K437" s="88"/>
      <c r="L437" s="88"/>
    </row>
    <row r="438" spans="2:12" x14ac:dyDescent="0.35">
      <c r="B438" s="89">
        <v>6195</v>
      </c>
      <c r="C438" s="89"/>
      <c r="D438" s="89"/>
      <c r="E438" s="89"/>
      <c r="F438" s="89"/>
      <c r="G438" s="89"/>
      <c r="H438" s="89"/>
      <c r="I438" s="89"/>
      <c r="J438" s="89"/>
      <c r="K438" s="89"/>
      <c r="L438" s="89"/>
    </row>
    <row r="439" spans="2:12" x14ac:dyDescent="0.35">
      <c r="B439" s="88">
        <v>6295</v>
      </c>
      <c r="C439" s="88"/>
      <c r="D439" s="88"/>
      <c r="E439" s="88"/>
      <c r="F439" s="88"/>
      <c r="G439" s="88"/>
      <c r="H439" s="88"/>
      <c r="I439" s="88"/>
      <c r="J439" s="88"/>
      <c r="K439" s="88"/>
      <c r="L439" s="88"/>
    </row>
    <row r="440" spans="2:12" x14ac:dyDescent="0.35">
      <c r="B440" s="89">
        <v>6395</v>
      </c>
      <c r="C440" s="89"/>
      <c r="D440" s="89"/>
      <c r="E440" s="89"/>
      <c r="F440" s="89"/>
      <c r="G440" s="89"/>
      <c r="H440" s="89"/>
      <c r="I440" s="89"/>
      <c r="J440" s="89"/>
      <c r="K440" s="89"/>
      <c r="L440" s="89"/>
    </row>
    <row r="441" spans="2:12" x14ac:dyDescent="0.35">
      <c r="B441" s="88">
        <v>6495</v>
      </c>
      <c r="C441" s="88"/>
      <c r="D441" s="88"/>
      <c r="E441" s="88"/>
      <c r="F441" s="88"/>
      <c r="G441" s="88"/>
      <c r="H441" s="88"/>
      <c r="I441" s="88"/>
      <c r="J441" s="88"/>
      <c r="K441" s="88"/>
      <c r="L441" s="88"/>
    </row>
    <row r="442" spans="2:12" x14ac:dyDescent="0.35">
      <c r="B442" s="89">
        <v>6595</v>
      </c>
      <c r="C442" s="89"/>
      <c r="D442" s="89"/>
      <c r="E442" s="89"/>
      <c r="F442" s="89"/>
      <c r="G442" s="89"/>
      <c r="H442" s="89"/>
      <c r="I442" s="89"/>
      <c r="J442" s="89"/>
      <c r="K442" s="89"/>
      <c r="L442" s="89"/>
    </row>
    <row r="443" spans="2:12" x14ac:dyDescent="0.35">
      <c r="B443" s="88">
        <v>6695</v>
      </c>
      <c r="C443" s="88"/>
      <c r="D443" s="88"/>
      <c r="E443" s="88"/>
      <c r="F443" s="88"/>
      <c r="G443" s="88"/>
      <c r="H443" s="88"/>
      <c r="I443" s="88"/>
      <c r="J443" s="88"/>
      <c r="K443" s="88"/>
      <c r="L443" s="88"/>
    </row>
    <row r="444" spans="2:12" x14ac:dyDescent="0.35">
      <c r="B444" s="89">
        <v>6795</v>
      </c>
      <c r="C444" s="89"/>
      <c r="D444" s="89"/>
      <c r="E444" s="89"/>
      <c r="F444" s="89"/>
      <c r="G444" s="89"/>
      <c r="H444" s="89"/>
      <c r="I444" s="89"/>
      <c r="J444" s="89"/>
      <c r="K444" s="89"/>
      <c r="L444" s="89"/>
    </row>
    <row r="445" spans="2:12" x14ac:dyDescent="0.35">
      <c r="B445" s="88">
        <v>6895</v>
      </c>
      <c r="C445" s="88"/>
      <c r="D445" s="88"/>
      <c r="E445" s="88"/>
      <c r="F445" s="88"/>
      <c r="G445" s="88"/>
      <c r="H445" s="88"/>
      <c r="I445" s="88"/>
      <c r="J445" s="88"/>
      <c r="K445" s="88"/>
      <c r="L445" s="88"/>
    </row>
    <row r="446" spans="2:12" x14ac:dyDescent="0.35">
      <c r="B446" s="89">
        <v>6995</v>
      </c>
      <c r="C446" s="89"/>
      <c r="D446" s="89"/>
      <c r="E446" s="89"/>
      <c r="F446" s="89"/>
      <c r="G446" s="89"/>
      <c r="H446" s="89"/>
      <c r="I446" s="89"/>
      <c r="J446" s="89"/>
      <c r="K446" s="89"/>
      <c r="L446" s="89"/>
    </row>
    <row r="447" spans="2:12" x14ac:dyDescent="0.35">
      <c r="B447" s="88">
        <v>7095</v>
      </c>
      <c r="C447" s="88"/>
      <c r="D447" s="88"/>
      <c r="E447" s="88"/>
      <c r="F447" s="88"/>
      <c r="G447" s="88"/>
      <c r="H447" s="88"/>
      <c r="I447" s="88"/>
      <c r="J447" s="88"/>
      <c r="K447" s="88"/>
      <c r="L447" s="88"/>
    </row>
    <row r="448" spans="2:12" x14ac:dyDescent="0.35">
      <c r="B448" s="89">
        <v>7195</v>
      </c>
      <c r="C448" s="89"/>
      <c r="D448" s="89"/>
      <c r="E448" s="89"/>
      <c r="F448" s="89"/>
      <c r="G448" s="89"/>
      <c r="H448" s="89"/>
      <c r="I448" s="89"/>
      <c r="J448" s="89"/>
      <c r="K448" s="89"/>
      <c r="L448" s="89"/>
    </row>
    <row r="449" spans="2:12" x14ac:dyDescent="0.35">
      <c r="B449" s="88">
        <v>7295</v>
      </c>
      <c r="C449" s="88"/>
      <c r="D449" s="88"/>
      <c r="E449" s="88"/>
      <c r="F449" s="88"/>
      <c r="G449" s="88"/>
      <c r="H449" s="88"/>
      <c r="I449" s="88"/>
      <c r="J449" s="88"/>
      <c r="K449" s="88"/>
      <c r="L449" s="88"/>
    </row>
    <row r="450" spans="2:12" x14ac:dyDescent="0.35">
      <c r="B450" s="89">
        <v>7395</v>
      </c>
      <c r="C450" s="89"/>
      <c r="D450" s="89"/>
      <c r="E450" s="89"/>
      <c r="F450" s="89"/>
      <c r="G450" s="89"/>
      <c r="H450" s="89"/>
      <c r="I450" s="89"/>
      <c r="J450" s="89"/>
      <c r="K450" s="89"/>
      <c r="L450" s="89"/>
    </row>
    <row r="451" spans="2:12" x14ac:dyDescent="0.35">
      <c r="B451" s="88">
        <v>7495</v>
      </c>
      <c r="C451" s="88"/>
      <c r="D451" s="88"/>
      <c r="E451" s="88"/>
      <c r="F451" s="88"/>
      <c r="G451" s="88"/>
      <c r="H451" s="88"/>
      <c r="I451" s="88"/>
      <c r="J451" s="88"/>
      <c r="K451" s="88"/>
      <c r="L451" s="88"/>
    </row>
    <row r="452" spans="2:12" x14ac:dyDescent="0.35">
      <c r="B452" s="89">
        <v>7595</v>
      </c>
      <c r="C452" s="89"/>
      <c r="D452" s="89"/>
      <c r="E452" s="89"/>
      <c r="F452" s="89"/>
      <c r="G452" s="89"/>
      <c r="H452" s="89"/>
      <c r="I452" s="89"/>
      <c r="J452" s="89"/>
      <c r="K452" s="89"/>
      <c r="L452" s="89"/>
    </row>
    <row r="453" spans="2:12" x14ac:dyDescent="0.35">
      <c r="B453" s="88">
        <v>7695</v>
      </c>
      <c r="C453" s="88"/>
      <c r="D453" s="88"/>
      <c r="E453" s="88"/>
      <c r="F453" s="88"/>
      <c r="G453" s="88"/>
      <c r="H453" s="88"/>
      <c r="I453" s="88"/>
      <c r="J453" s="88"/>
      <c r="K453" s="88"/>
      <c r="L453" s="88"/>
    </row>
    <row r="454" spans="2:12" x14ac:dyDescent="0.35">
      <c r="B454" s="89">
        <v>7795</v>
      </c>
      <c r="C454" s="89"/>
      <c r="D454" s="89"/>
      <c r="E454" s="89"/>
      <c r="F454" s="89"/>
      <c r="G454" s="89"/>
      <c r="H454" s="89"/>
      <c r="I454" s="89"/>
      <c r="J454" s="89"/>
      <c r="K454" s="89"/>
      <c r="L454" s="89"/>
    </row>
    <row r="455" spans="2:12" x14ac:dyDescent="0.35">
      <c r="B455" s="88">
        <v>7895</v>
      </c>
      <c r="C455" s="88"/>
      <c r="D455" s="88"/>
      <c r="E455" s="88"/>
      <c r="F455" s="88"/>
      <c r="G455" s="88"/>
      <c r="H455" s="88"/>
      <c r="I455" s="88"/>
      <c r="J455" s="88"/>
      <c r="K455" s="88"/>
      <c r="L455" s="88"/>
    </row>
    <row r="456" spans="2:12" x14ac:dyDescent="0.35">
      <c r="B456" s="89">
        <v>7995</v>
      </c>
      <c r="C456" s="89"/>
      <c r="D456" s="89"/>
      <c r="E456" s="89"/>
      <c r="F456" s="89"/>
      <c r="G456" s="89"/>
      <c r="H456" s="89"/>
      <c r="I456" s="89"/>
      <c r="J456" s="89"/>
      <c r="K456" s="89"/>
      <c r="L456" s="89"/>
    </row>
    <row r="457" spans="2:12" x14ac:dyDescent="0.35">
      <c r="B457" s="88">
        <v>8095</v>
      </c>
      <c r="C457" s="88"/>
      <c r="D457" s="88"/>
      <c r="E457" s="88"/>
      <c r="F457" s="88"/>
      <c r="G457" s="88"/>
      <c r="H457" s="88"/>
      <c r="I457" s="88"/>
      <c r="J457" s="88"/>
      <c r="K457" s="88"/>
      <c r="L457" s="88"/>
    </row>
    <row r="458" spans="2:12" x14ac:dyDescent="0.35">
      <c r="B458" s="89">
        <v>8195</v>
      </c>
      <c r="C458" s="89"/>
      <c r="D458" s="89"/>
      <c r="E458" s="89"/>
      <c r="F458" s="89"/>
      <c r="G458" s="89"/>
      <c r="H458" s="89"/>
      <c r="I458" s="89"/>
      <c r="J458" s="89"/>
      <c r="K458" s="89"/>
      <c r="L458" s="89"/>
    </row>
    <row r="459" spans="2:12" x14ac:dyDescent="0.35">
      <c r="B459" s="88">
        <v>8295</v>
      </c>
      <c r="C459" s="88"/>
      <c r="D459" s="88"/>
      <c r="E459" s="88"/>
      <c r="F459" s="88"/>
      <c r="G459" s="88"/>
      <c r="H459" s="88"/>
      <c r="I459" s="88"/>
      <c r="J459" s="88"/>
      <c r="K459" s="88"/>
      <c r="L459" s="88"/>
    </row>
    <row r="460" spans="2:12" x14ac:dyDescent="0.35">
      <c r="B460" s="89">
        <v>8395</v>
      </c>
      <c r="C460" s="89"/>
      <c r="D460" s="89"/>
      <c r="E460" s="89"/>
      <c r="F460" s="89"/>
      <c r="G460" s="89"/>
      <c r="H460" s="89"/>
      <c r="I460" s="89"/>
      <c r="J460" s="89"/>
      <c r="K460" s="89"/>
      <c r="L460" s="89"/>
    </row>
    <row r="461" spans="2:12" x14ac:dyDescent="0.35">
      <c r="B461" s="88">
        <v>8495</v>
      </c>
      <c r="C461" s="88"/>
      <c r="D461" s="88"/>
      <c r="E461" s="88"/>
      <c r="F461" s="88"/>
      <c r="G461" s="88"/>
      <c r="H461" s="88"/>
      <c r="I461" s="88"/>
      <c r="J461" s="88"/>
      <c r="K461" s="88"/>
      <c r="L461" s="88"/>
    </row>
    <row r="462" spans="2:12" x14ac:dyDescent="0.35">
      <c r="B462" s="89">
        <v>8595</v>
      </c>
      <c r="C462" s="89"/>
      <c r="D462" s="89"/>
      <c r="E462" s="89"/>
      <c r="F462" s="89"/>
      <c r="G462" s="89"/>
      <c r="H462" s="89"/>
      <c r="I462" s="89"/>
      <c r="J462" s="89"/>
      <c r="K462" s="89"/>
      <c r="L462" s="89"/>
    </row>
    <row r="463" spans="2:12" x14ac:dyDescent="0.35">
      <c r="B463" s="88">
        <v>8695</v>
      </c>
      <c r="C463" s="88"/>
      <c r="D463" s="88"/>
      <c r="E463" s="88"/>
      <c r="F463" s="88"/>
      <c r="G463" s="88"/>
      <c r="H463" s="88"/>
      <c r="I463" s="88"/>
      <c r="J463" s="88"/>
      <c r="K463" s="88"/>
      <c r="L463" s="88"/>
    </row>
    <row r="464" spans="2:12" x14ac:dyDescent="0.35">
      <c r="B464" s="89">
        <v>8795</v>
      </c>
      <c r="C464" s="89"/>
      <c r="D464" s="89"/>
      <c r="E464" s="89"/>
      <c r="F464" s="89"/>
      <c r="G464" s="89"/>
      <c r="H464" s="89"/>
      <c r="I464" s="89"/>
      <c r="J464" s="89"/>
      <c r="K464" s="89"/>
      <c r="L464" s="89"/>
    </row>
    <row r="465" spans="2:12" x14ac:dyDescent="0.35">
      <c r="B465" s="88">
        <v>8895</v>
      </c>
      <c r="C465" s="88"/>
      <c r="D465" s="88"/>
      <c r="E465" s="88"/>
      <c r="F465" s="88"/>
      <c r="G465" s="88"/>
      <c r="H465" s="88"/>
      <c r="I465" s="88"/>
      <c r="J465" s="88"/>
      <c r="K465" s="88"/>
      <c r="L465" s="88"/>
    </row>
    <row r="466" spans="2:12" x14ac:dyDescent="0.35">
      <c r="B466" s="89">
        <v>8995</v>
      </c>
      <c r="C466" s="89"/>
      <c r="D466" s="89"/>
      <c r="E466" s="89"/>
      <c r="F466" s="89"/>
      <c r="G466" s="89"/>
      <c r="H466" s="89"/>
      <c r="I466" s="89"/>
      <c r="J466" s="89"/>
      <c r="K466" s="89"/>
      <c r="L466" s="89"/>
    </row>
    <row r="467" spans="2:12" x14ac:dyDescent="0.35">
      <c r="B467" s="88">
        <v>9095</v>
      </c>
      <c r="C467" s="88"/>
      <c r="D467" s="88"/>
      <c r="E467" s="88"/>
      <c r="F467" s="88"/>
      <c r="G467" s="88"/>
      <c r="H467" s="88"/>
      <c r="I467" s="88"/>
      <c r="J467" s="88"/>
      <c r="K467" s="88"/>
      <c r="L467" s="88"/>
    </row>
    <row r="468" spans="2:12" x14ac:dyDescent="0.35">
      <c r="B468" s="89">
        <v>9195</v>
      </c>
      <c r="C468" s="89"/>
      <c r="D468" s="89"/>
      <c r="E468" s="89"/>
      <c r="F468" s="89"/>
      <c r="G468" s="89"/>
      <c r="H468" s="89"/>
      <c r="I468" s="89"/>
      <c r="J468" s="89"/>
      <c r="K468" s="89"/>
      <c r="L468" s="89"/>
    </row>
    <row r="469" spans="2:12" x14ac:dyDescent="0.35">
      <c r="B469" s="88">
        <v>9295</v>
      </c>
      <c r="C469" s="88"/>
      <c r="D469" s="88"/>
      <c r="E469" s="88"/>
      <c r="F469" s="88"/>
      <c r="G469" s="88"/>
      <c r="H469" s="88"/>
      <c r="I469" s="88"/>
      <c r="J469" s="88"/>
      <c r="K469" s="88"/>
      <c r="L469" s="88"/>
    </row>
    <row r="470" spans="2:12" x14ac:dyDescent="0.35">
      <c r="B470" s="89">
        <v>9395</v>
      </c>
      <c r="C470" s="89"/>
      <c r="D470" s="89"/>
      <c r="E470" s="89"/>
      <c r="F470" s="89"/>
      <c r="G470" s="89"/>
      <c r="H470" s="89"/>
      <c r="I470" s="89"/>
      <c r="J470" s="89"/>
      <c r="K470" s="89"/>
      <c r="L470" s="89"/>
    </row>
    <row r="471" spans="2:12" x14ac:dyDescent="0.35">
      <c r="B471" s="88">
        <v>9495</v>
      </c>
      <c r="C471" s="88"/>
      <c r="D471" s="88"/>
      <c r="E471" s="88"/>
      <c r="F471" s="88"/>
      <c r="G471" s="88"/>
      <c r="H471" s="88"/>
      <c r="I471" s="88"/>
      <c r="J471" s="88"/>
      <c r="K471" s="88"/>
      <c r="L471" s="88"/>
    </row>
    <row r="472" spans="2:12" x14ac:dyDescent="0.35">
      <c r="B472" s="89">
        <v>9595</v>
      </c>
      <c r="C472" s="89"/>
      <c r="D472" s="89"/>
      <c r="E472" s="89"/>
      <c r="F472" s="89"/>
      <c r="G472" s="89"/>
      <c r="H472" s="89"/>
      <c r="I472" s="89"/>
      <c r="J472" s="89"/>
      <c r="K472" s="89"/>
      <c r="L472" s="89"/>
    </row>
    <row r="473" spans="2:12" x14ac:dyDescent="0.35">
      <c r="B473" s="88">
        <v>9695</v>
      </c>
      <c r="C473" s="88"/>
      <c r="D473" s="88"/>
      <c r="E473" s="88"/>
      <c r="F473" s="88"/>
      <c r="G473" s="88"/>
      <c r="H473" s="88"/>
      <c r="I473" s="88"/>
      <c r="J473" s="88"/>
      <c r="K473" s="88"/>
      <c r="L473" s="88"/>
    </row>
    <row r="474" spans="2:12" x14ac:dyDescent="0.35">
      <c r="B474" s="89">
        <v>9795</v>
      </c>
      <c r="C474" s="89"/>
      <c r="D474" s="89"/>
      <c r="E474" s="89"/>
      <c r="F474" s="89"/>
      <c r="G474" s="89"/>
      <c r="H474" s="89"/>
      <c r="I474" s="89"/>
      <c r="J474" s="89"/>
      <c r="K474" s="89"/>
      <c r="L474" s="89"/>
    </row>
    <row r="475" spans="2:12" x14ac:dyDescent="0.35">
      <c r="B475" s="88">
        <v>9895</v>
      </c>
      <c r="C475" s="88"/>
      <c r="D475" s="88"/>
      <c r="E475" s="88"/>
      <c r="F475" s="88"/>
      <c r="G475" s="88"/>
      <c r="H475" s="88"/>
      <c r="I475" s="88"/>
      <c r="J475" s="88"/>
      <c r="K475" s="88"/>
      <c r="L475" s="88"/>
    </row>
    <row r="476" spans="2:12" x14ac:dyDescent="0.35">
      <c r="B476" s="89">
        <v>9995</v>
      </c>
      <c r="C476" s="89"/>
      <c r="D476" s="89"/>
      <c r="E476" s="89"/>
      <c r="F476" s="89"/>
      <c r="G476" s="89"/>
      <c r="H476" s="89"/>
      <c r="I476" s="89"/>
      <c r="J476" s="89"/>
      <c r="K476" s="89"/>
      <c r="L476" s="89"/>
    </row>
    <row r="477" spans="2:12" x14ac:dyDescent="0.35">
      <c r="B477" s="88">
        <v>10095</v>
      </c>
      <c r="C477" s="88"/>
      <c r="D477" s="88"/>
      <c r="E477" s="88"/>
      <c r="F477" s="88"/>
      <c r="G477" s="88"/>
      <c r="H477" s="88"/>
      <c r="I477" s="88"/>
      <c r="J477" s="88"/>
      <c r="K477" s="88"/>
      <c r="L477" s="88"/>
    </row>
    <row r="478" spans="2:12" x14ac:dyDescent="0.35">
      <c r="B478" s="89">
        <v>10195</v>
      </c>
      <c r="C478" s="89"/>
      <c r="D478" s="89"/>
      <c r="E478" s="89"/>
      <c r="F478" s="89"/>
      <c r="G478" s="89"/>
      <c r="H478" s="89"/>
      <c r="I478" s="89"/>
      <c r="J478" s="89"/>
      <c r="K478" s="89"/>
      <c r="L478" s="89"/>
    </row>
    <row r="479" spans="2:12" x14ac:dyDescent="0.35">
      <c r="B479" s="88">
        <v>10295</v>
      </c>
      <c r="C479" s="88"/>
      <c r="D479" s="88"/>
      <c r="E479" s="88"/>
      <c r="F479" s="88"/>
      <c r="G479" s="88"/>
      <c r="H479" s="88"/>
      <c r="I479" s="88"/>
      <c r="J479" s="88"/>
      <c r="K479" s="88"/>
      <c r="L479" s="88"/>
    </row>
    <row r="480" spans="2:12" x14ac:dyDescent="0.35">
      <c r="B480" s="89">
        <v>10395</v>
      </c>
      <c r="C480" s="89"/>
      <c r="D480" s="89"/>
      <c r="E480" s="89"/>
      <c r="F480" s="89"/>
      <c r="G480" s="89"/>
      <c r="H480" s="89"/>
      <c r="I480" s="89"/>
      <c r="J480" s="89"/>
      <c r="K480" s="89"/>
      <c r="L480" s="89"/>
    </row>
    <row r="481" spans="2:12" x14ac:dyDescent="0.35">
      <c r="B481" s="88">
        <v>10495</v>
      </c>
      <c r="C481" s="88"/>
      <c r="D481" s="88"/>
      <c r="E481" s="88"/>
      <c r="F481" s="88"/>
      <c r="G481" s="88"/>
      <c r="H481" s="88"/>
      <c r="I481" s="88"/>
      <c r="J481" s="88"/>
      <c r="K481" s="88"/>
      <c r="L481" s="88"/>
    </row>
    <row r="482" spans="2:12" x14ac:dyDescent="0.35">
      <c r="B482" s="89">
        <v>10595</v>
      </c>
      <c r="C482" s="89"/>
      <c r="D482" s="89"/>
      <c r="E482" s="89"/>
      <c r="F482" s="89"/>
      <c r="G482" s="89"/>
      <c r="H482" s="89"/>
      <c r="I482" s="89"/>
      <c r="J482" s="89"/>
      <c r="K482" s="89"/>
      <c r="L482" s="89"/>
    </row>
    <row r="483" spans="2:12" x14ac:dyDescent="0.35">
      <c r="B483" s="88">
        <v>10695</v>
      </c>
      <c r="C483" s="88"/>
      <c r="D483" s="88"/>
      <c r="E483" s="88"/>
      <c r="F483" s="88"/>
      <c r="G483" s="88"/>
      <c r="H483" s="88"/>
      <c r="I483" s="88"/>
      <c r="J483" s="88"/>
      <c r="K483" s="88"/>
      <c r="L483" s="88"/>
    </row>
    <row r="484" spans="2:12" x14ac:dyDescent="0.35">
      <c r="B484" s="89">
        <v>10795</v>
      </c>
      <c r="C484" s="89"/>
      <c r="D484" s="89"/>
      <c r="E484" s="89"/>
      <c r="F484" s="89"/>
      <c r="G484" s="89"/>
      <c r="H484" s="89"/>
      <c r="I484" s="89"/>
      <c r="J484" s="89"/>
      <c r="K484" s="89"/>
      <c r="L484" s="89"/>
    </row>
    <row r="485" spans="2:12" x14ac:dyDescent="0.35">
      <c r="B485" s="88">
        <v>10895</v>
      </c>
      <c r="C485" s="88"/>
      <c r="D485" s="88"/>
      <c r="E485" s="88"/>
      <c r="F485" s="88"/>
      <c r="G485" s="88"/>
      <c r="H485" s="88"/>
      <c r="I485" s="88"/>
      <c r="J485" s="88"/>
      <c r="K485" s="88"/>
      <c r="L485" s="88"/>
    </row>
    <row r="486" spans="2:12" x14ac:dyDescent="0.35">
      <c r="B486" s="89">
        <v>10995</v>
      </c>
      <c r="C486" s="89"/>
      <c r="D486" s="89"/>
      <c r="E486" s="89"/>
      <c r="F486" s="89"/>
      <c r="G486" s="89"/>
      <c r="H486" s="89"/>
      <c r="I486" s="89"/>
      <c r="J486" s="89"/>
      <c r="K486" s="89"/>
      <c r="L486" s="89"/>
    </row>
    <row r="487" spans="2:12" x14ac:dyDescent="0.35">
      <c r="B487" s="88">
        <v>11095</v>
      </c>
      <c r="C487" s="88"/>
      <c r="D487" s="88"/>
      <c r="E487" s="88"/>
      <c r="F487" s="88"/>
      <c r="G487" s="88"/>
      <c r="H487" s="88"/>
      <c r="I487" s="88"/>
      <c r="J487" s="88"/>
      <c r="K487" s="88"/>
      <c r="L487" s="88"/>
    </row>
    <row r="488" spans="2:12" x14ac:dyDescent="0.35">
      <c r="B488" s="89">
        <v>11195</v>
      </c>
      <c r="C488" s="89"/>
      <c r="D488" s="89"/>
      <c r="E488" s="89"/>
      <c r="F488" s="89"/>
      <c r="G488" s="89"/>
      <c r="H488" s="89"/>
      <c r="I488" s="89"/>
      <c r="J488" s="89"/>
      <c r="K488" s="89"/>
      <c r="L488" s="89"/>
    </row>
    <row r="489" spans="2:12" x14ac:dyDescent="0.35">
      <c r="B489" s="88">
        <v>11295</v>
      </c>
      <c r="C489" s="88"/>
      <c r="D489" s="88"/>
      <c r="E489" s="88"/>
      <c r="F489" s="88"/>
      <c r="G489" s="88"/>
      <c r="H489" s="88"/>
      <c r="I489" s="88"/>
      <c r="J489" s="88"/>
      <c r="K489" s="88"/>
      <c r="L489" s="88"/>
    </row>
    <row r="490" spans="2:12" x14ac:dyDescent="0.35">
      <c r="B490" s="89">
        <v>11395</v>
      </c>
      <c r="C490" s="89"/>
      <c r="D490" s="89"/>
      <c r="E490" s="89"/>
      <c r="F490" s="89"/>
      <c r="G490" s="89"/>
      <c r="H490" s="89"/>
      <c r="I490" s="89"/>
      <c r="J490" s="89"/>
      <c r="K490" s="89"/>
      <c r="L490" s="89"/>
    </row>
    <row r="491" spans="2:12" x14ac:dyDescent="0.35">
      <c r="B491" s="88">
        <v>11495</v>
      </c>
      <c r="C491" s="88"/>
      <c r="D491" s="88"/>
      <c r="E491" s="88"/>
      <c r="F491" s="88"/>
      <c r="G491" s="88"/>
      <c r="H491" s="88"/>
      <c r="I491" s="88"/>
      <c r="J491" s="88"/>
      <c r="K491" s="88"/>
      <c r="L491" s="88"/>
    </row>
    <row r="492" spans="2:12" x14ac:dyDescent="0.35">
      <c r="B492" s="89">
        <v>11595</v>
      </c>
      <c r="C492" s="89"/>
      <c r="D492" s="89"/>
      <c r="E492" s="89"/>
      <c r="F492" s="89"/>
      <c r="G492" s="89"/>
      <c r="H492" s="89"/>
      <c r="I492" s="89"/>
      <c r="J492" s="89"/>
      <c r="K492" s="89"/>
      <c r="L492" s="89"/>
    </row>
    <row r="493" spans="2:12" x14ac:dyDescent="0.35">
      <c r="B493" s="88">
        <v>11695</v>
      </c>
      <c r="C493" s="88"/>
      <c r="D493" s="88"/>
      <c r="E493" s="88"/>
      <c r="F493" s="88"/>
      <c r="G493" s="88"/>
      <c r="H493" s="88"/>
      <c r="I493" s="88"/>
      <c r="J493" s="88"/>
      <c r="K493" s="88"/>
      <c r="L493" s="88"/>
    </row>
    <row r="494" spans="2:12" x14ac:dyDescent="0.35">
      <c r="B494" s="89">
        <v>11795</v>
      </c>
      <c r="C494" s="89"/>
      <c r="D494" s="89"/>
      <c r="E494" s="89"/>
      <c r="F494" s="89"/>
      <c r="G494" s="89"/>
      <c r="H494" s="89"/>
      <c r="I494" s="89"/>
      <c r="J494" s="89"/>
      <c r="K494" s="89"/>
      <c r="L494" s="89"/>
    </row>
    <row r="495" spans="2:12" x14ac:dyDescent="0.35">
      <c r="B495" s="88">
        <v>11895</v>
      </c>
      <c r="C495" s="88"/>
      <c r="D495" s="88"/>
      <c r="E495" s="88"/>
      <c r="F495" s="88"/>
      <c r="G495" s="88"/>
      <c r="H495" s="88"/>
      <c r="I495" s="88"/>
      <c r="J495" s="88"/>
      <c r="K495" s="88"/>
      <c r="L495" s="88"/>
    </row>
    <row r="496" spans="2:12" x14ac:dyDescent="0.35">
      <c r="B496" s="89">
        <v>11995</v>
      </c>
      <c r="C496" s="89"/>
      <c r="D496" s="89"/>
      <c r="E496" s="89"/>
      <c r="F496" s="89"/>
      <c r="G496" s="89"/>
      <c r="H496" s="89"/>
      <c r="I496" s="89"/>
      <c r="J496" s="89"/>
      <c r="K496" s="89"/>
      <c r="L496" s="89"/>
    </row>
    <row r="497" spans="2:12" x14ac:dyDescent="0.35">
      <c r="B497" s="88">
        <v>12095</v>
      </c>
      <c r="C497" s="88"/>
      <c r="D497" s="88"/>
      <c r="E497" s="88"/>
      <c r="F497" s="88"/>
      <c r="G497" s="88"/>
      <c r="H497" s="88"/>
      <c r="I497" s="88"/>
      <c r="J497" s="88"/>
      <c r="K497" s="88"/>
      <c r="L497" s="88"/>
    </row>
    <row r="498" spans="2:12" x14ac:dyDescent="0.35">
      <c r="B498" s="89">
        <v>12195</v>
      </c>
      <c r="C498" s="89"/>
      <c r="D498" s="89"/>
      <c r="E498" s="89"/>
      <c r="F498" s="89"/>
      <c r="G498" s="89"/>
      <c r="H498" s="89"/>
      <c r="I498" s="89"/>
      <c r="J498" s="89"/>
      <c r="K498" s="89"/>
      <c r="L498" s="89"/>
    </row>
    <row r="499" spans="2:12" x14ac:dyDescent="0.35">
      <c r="B499" s="88">
        <v>12295</v>
      </c>
      <c r="C499" s="88"/>
      <c r="D499" s="88"/>
      <c r="E499" s="88"/>
      <c r="F499" s="88"/>
      <c r="G499" s="88"/>
      <c r="H499" s="88"/>
      <c r="I499" s="88"/>
      <c r="J499" s="88"/>
      <c r="K499" s="88"/>
      <c r="L499" s="88"/>
    </row>
    <row r="500" spans="2:12" x14ac:dyDescent="0.35">
      <c r="B500" s="89">
        <v>12395</v>
      </c>
      <c r="C500" s="89"/>
      <c r="D500" s="89"/>
      <c r="E500" s="89"/>
      <c r="F500" s="89"/>
      <c r="G500" s="89"/>
      <c r="H500" s="89"/>
      <c r="I500" s="89"/>
      <c r="J500" s="89"/>
      <c r="K500" s="89"/>
      <c r="L500" s="89"/>
    </row>
    <row r="501" spans="2:12" x14ac:dyDescent="0.35">
      <c r="B501" s="88">
        <v>12495</v>
      </c>
      <c r="C501" s="88"/>
      <c r="D501" s="88"/>
      <c r="E501" s="88"/>
      <c r="F501" s="88"/>
      <c r="G501" s="88"/>
      <c r="H501" s="88"/>
      <c r="I501" s="88"/>
      <c r="J501" s="88"/>
      <c r="K501" s="88"/>
      <c r="L501" s="88"/>
    </row>
    <row r="502" spans="2:12" x14ac:dyDescent="0.35">
      <c r="B502" s="89">
        <v>12595</v>
      </c>
      <c r="C502" s="89"/>
      <c r="D502" s="89"/>
      <c r="E502" s="89"/>
      <c r="F502" s="89"/>
      <c r="G502" s="89"/>
      <c r="H502" s="89"/>
      <c r="I502" s="89"/>
      <c r="J502" s="89"/>
      <c r="K502" s="89"/>
      <c r="L502" s="89"/>
    </row>
    <row r="503" spans="2:12" x14ac:dyDescent="0.35">
      <c r="B503" s="88">
        <v>12695</v>
      </c>
      <c r="C503" s="88"/>
      <c r="D503" s="88"/>
      <c r="E503" s="88"/>
      <c r="F503" s="88"/>
      <c r="G503" s="88"/>
      <c r="H503" s="88"/>
      <c r="I503" s="88"/>
      <c r="J503" s="88"/>
      <c r="K503" s="88"/>
      <c r="L503" s="88"/>
    </row>
    <row r="504" spans="2:12" x14ac:dyDescent="0.35">
      <c r="B504" s="89">
        <v>12795</v>
      </c>
      <c r="C504" s="89"/>
      <c r="D504" s="89"/>
      <c r="E504" s="89"/>
      <c r="F504" s="89"/>
      <c r="G504" s="89"/>
      <c r="H504" s="89"/>
      <c r="I504" s="89"/>
      <c r="J504" s="89"/>
      <c r="K504" s="89"/>
      <c r="L504" s="89"/>
    </row>
    <row r="505" spans="2:12" x14ac:dyDescent="0.35">
      <c r="B505" s="88">
        <v>12895</v>
      </c>
      <c r="C505" s="88"/>
      <c r="D505" s="88"/>
      <c r="E505" s="88"/>
      <c r="F505" s="88"/>
      <c r="G505" s="88"/>
      <c r="H505" s="88"/>
      <c r="I505" s="88"/>
      <c r="J505" s="88"/>
      <c r="K505" s="88"/>
      <c r="L505" s="88"/>
    </row>
    <row r="506" spans="2:12" x14ac:dyDescent="0.35">
      <c r="B506" s="89">
        <v>12995</v>
      </c>
      <c r="C506" s="89"/>
      <c r="D506" s="89"/>
      <c r="E506" s="89"/>
      <c r="F506" s="89"/>
      <c r="G506" s="89"/>
      <c r="H506" s="89"/>
      <c r="I506" s="89"/>
      <c r="J506" s="89"/>
      <c r="K506" s="89"/>
      <c r="L506" s="89"/>
    </row>
    <row r="507" spans="2:12" x14ac:dyDescent="0.35">
      <c r="B507" s="88">
        <v>13095</v>
      </c>
      <c r="C507" s="88"/>
      <c r="D507" s="88"/>
      <c r="E507" s="88"/>
      <c r="F507" s="88"/>
      <c r="G507" s="88"/>
      <c r="H507" s="88"/>
      <c r="I507" s="88"/>
      <c r="J507" s="88"/>
      <c r="K507" s="88"/>
      <c r="L507" s="88"/>
    </row>
    <row r="508" spans="2:12" x14ac:dyDescent="0.35">
      <c r="B508" s="89">
        <v>13195</v>
      </c>
      <c r="C508" s="89"/>
      <c r="D508" s="89"/>
      <c r="E508" s="89"/>
      <c r="F508" s="89"/>
      <c r="G508" s="89"/>
      <c r="H508" s="89"/>
      <c r="I508" s="89"/>
      <c r="J508" s="89"/>
      <c r="K508" s="89"/>
      <c r="L508" s="89"/>
    </row>
    <row r="509" spans="2:12" x14ac:dyDescent="0.35">
      <c r="B509" s="88">
        <v>13295</v>
      </c>
      <c r="C509" s="88"/>
      <c r="D509" s="88"/>
      <c r="E509" s="88"/>
      <c r="F509" s="88"/>
      <c r="G509" s="88"/>
      <c r="H509" s="88"/>
      <c r="I509" s="88"/>
      <c r="J509" s="88"/>
      <c r="K509" s="88"/>
      <c r="L509" s="88"/>
    </row>
    <row r="510" spans="2:12" x14ac:dyDescent="0.35">
      <c r="B510" s="89">
        <v>13395</v>
      </c>
      <c r="C510" s="89"/>
      <c r="D510" s="89"/>
      <c r="E510" s="89"/>
      <c r="F510" s="89"/>
      <c r="G510" s="89"/>
      <c r="H510" s="89"/>
      <c r="I510" s="89"/>
      <c r="J510" s="89"/>
      <c r="K510" s="89"/>
      <c r="L510" s="89"/>
    </row>
    <row r="511" spans="2:12" x14ac:dyDescent="0.35">
      <c r="B511" s="88">
        <v>13495</v>
      </c>
      <c r="C511" s="88"/>
      <c r="D511" s="88"/>
      <c r="E511" s="88"/>
      <c r="F511" s="88"/>
      <c r="G511" s="88"/>
      <c r="H511" s="88"/>
      <c r="I511" s="88"/>
      <c r="J511" s="88"/>
      <c r="K511" s="88"/>
      <c r="L511" s="88"/>
    </row>
    <row r="512" spans="2:12" x14ac:dyDescent="0.35">
      <c r="B512" s="89">
        <v>13595</v>
      </c>
      <c r="C512" s="89"/>
      <c r="D512" s="89"/>
      <c r="E512" s="89"/>
      <c r="F512" s="89"/>
      <c r="G512" s="89"/>
      <c r="H512" s="89"/>
      <c r="I512" s="89"/>
      <c r="J512" s="89"/>
      <c r="K512" s="89"/>
      <c r="L512" s="89"/>
    </row>
    <row r="513" spans="2:12" x14ac:dyDescent="0.35">
      <c r="B513" s="88">
        <v>13695</v>
      </c>
      <c r="C513" s="88"/>
      <c r="D513" s="88"/>
      <c r="E513" s="88"/>
      <c r="F513" s="88"/>
      <c r="G513" s="88"/>
      <c r="H513" s="88"/>
      <c r="I513" s="88"/>
      <c r="J513" s="88"/>
      <c r="K513" s="88"/>
      <c r="L513" s="88"/>
    </row>
    <row r="514" spans="2:12" x14ac:dyDescent="0.35">
      <c r="B514" s="89">
        <v>13795</v>
      </c>
      <c r="C514" s="89"/>
      <c r="D514" s="89"/>
      <c r="E514" s="89"/>
      <c r="F514" s="89"/>
      <c r="G514" s="89"/>
      <c r="H514" s="89"/>
      <c r="I514" s="89"/>
      <c r="J514" s="89"/>
      <c r="K514" s="89"/>
      <c r="L514" s="89"/>
    </row>
    <row r="515" spans="2:12" x14ac:dyDescent="0.35">
      <c r="B515" s="88">
        <v>13895</v>
      </c>
      <c r="C515" s="88"/>
      <c r="D515" s="88"/>
      <c r="E515" s="88"/>
      <c r="F515" s="88"/>
      <c r="G515" s="88"/>
      <c r="H515" s="88"/>
      <c r="I515" s="88"/>
      <c r="J515" s="88"/>
      <c r="K515" s="88"/>
      <c r="L515" s="88"/>
    </row>
    <row r="516" spans="2:12" x14ac:dyDescent="0.35">
      <c r="B516" s="89">
        <v>13995</v>
      </c>
      <c r="C516" s="89"/>
      <c r="D516" s="89"/>
      <c r="E516" s="89"/>
      <c r="F516" s="89"/>
      <c r="G516" s="89"/>
      <c r="H516" s="89"/>
      <c r="I516" s="89"/>
      <c r="J516" s="89"/>
      <c r="K516" s="89"/>
      <c r="L516" s="89"/>
    </row>
    <row r="517" spans="2:12" x14ac:dyDescent="0.35">
      <c r="B517" s="88">
        <v>14095</v>
      </c>
      <c r="C517" s="88"/>
      <c r="D517" s="88"/>
      <c r="E517" s="88"/>
      <c r="F517" s="88"/>
      <c r="G517" s="88"/>
      <c r="H517" s="88"/>
      <c r="I517" s="88"/>
      <c r="J517" s="88"/>
      <c r="K517" s="88"/>
      <c r="L517" s="88"/>
    </row>
    <row r="518" spans="2:12" x14ac:dyDescent="0.35">
      <c r="B518" s="89">
        <v>14195</v>
      </c>
      <c r="C518" s="89"/>
      <c r="D518" s="89"/>
      <c r="E518" s="89"/>
      <c r="F518" s="89"/>
      <c r="G518" s="89"/>
      <c r="H518" s="89"/>
      <c r="I518" s="89"/>
      <c r="J518" s="89"/>
      <c r="K518" s="89"/>
      <c r="L518" s="89"/>
    </row>
    <row r="519" spans="2:12" x14ac:dyDescent="0.35">
      <c r="B519" s="88">
        <v>14295</v>
      </c>
      <c r="C519" s="88"/>
      <c r="D519" s="88"/>
      <c r="E519" s="88"/>
      <c r="F519" s="88"/>
      <c r="G519" s="88"/>
      <c r="H519" s="88"/>
      <c r="I519" s="88"/>
      <c r="J519" s="88"/>
      <c r="K519" s="88"/>
      <c r="L519" s="88"/>
    </row>
    <row r="520" spans="2:12" x14ac:dyDescent="0.35">
      <c r="B520" s="89">
        <v>14395</v>
      </c>
      <c r="C520" s="89"/>
      <c r="D520" s="89"/>
      <c r="E520" s="89"/>
      <c r="F520" s="89"/>
      <c r="G520" s="89"/>
      <c r="H520" s="89"/>
      <c r="I520" s="89"/>
      <c r="J520" s="89"/>
      <c r="K520" s="89"/>
      <c r="L520" s="89"/>
    </row>
    <row r="521" spans="2:12" x14ac:dyDescent="0.35">
      <c r="B521" s="88">
        <v>14495</v>
      </c>
      <c r="C521" s="88"/>
      <c r="D521" s="88"/>
      <c r="E521" s="88"/>
      <c r="F521" s="88"/>
      <c r="G521" s="88"/>
      <c r="H521" s="88"/>
      <c r="I521" s="88"/>
      <c r="J521" s="88"/>
      <c r="K521" s="88"/>
      <c r="L521" s="88"/>
    </row>
    <row r="522" spans="2:12" x14ac:dyDescent="0.35">
      <c r="B522" s="89">
        <v>14595</v>
      </c>
      <c r="C522" s="89"/>
      <c r="D522" s="89"/>
      <c r="E522" s="89"/>
      <c r="F522" s="89"/>
      <c r="G522" s="89"/>
      <c r="H522" s="89"/>
      <c r="I522" s="89"/>
      <c r="J522" s="89"/>
      <c r="K522" s="89"/>
      <c r="L522" s="89"/>
    </row>
    <row r="523" spans="2:12" x14ac:dyDescent="0.35">
      <c r="B523" s="88">
        <v>14695</v>
      </c>
      <c r="C523" s="88"/>
      <c r="D523" s="88"/>
      <c r="E523" s="88"/>
      <c r="F523" s="88"/>
      <c r="G523" s="88"/>
      <c r="H523" s="88"/>
      <c r="I523" s="88"/>
      <c r="J523" s="88"/>
      <c r="K523" s="88"/>
      <c r="L523" s="88"/>
    </row>
    <row r="524" spans="2:12" x14ac:dyDescent="0.35">
      <c r="B524" s="89">
        <v>14795</v>
      </c>
      <c r="C524" s="89"/>
      <c r="D524" s="89"/>
      <c r="E524" s="89"/>
      <c r="F524" s="89"/>
      <c r="G524" s="89"/>
      <c r="H524" s="89"/>
      <c r="I524" s="89"/>
      <c r="J524" s="89"/>
      <c r="K524" s="89"/>
      <c r="L524" s="89"/>
    </row>
    <row r="525" spans="2:12" x14ac:dyDescent="0.35">
      <c r="B525" s="88">
        <v>14895</v>
      </c>
      <c r="C525" s="88"/>
      <c r="D525" s="88"/>
      <c r="E525" s="88"/>
      <c r="F525" s="88"/>
      <c r="G525" s="88"/>
      <c r="H525" s="88"/>
      <c r="I525" s="88"/>
      <c r="J525" s="88"/>
      <c r="K525" s="88"/>
      <c r="L525" s="88"/>
    </row>
    <row r="526" spans="2:12" x14ac:dyDescent="0.35">
      <c r="B526" s="89">
        <v>14995</v>
      </c>
      <c r="C526" s="89"/>
      <c r="D526" s="89"/>
      <c r="E526" s="89"/>
      <c r="F526" s="89"/>
      <c r="G526" s="89"/>
      <c r="H526" s="89"/>
      <c r="I526" s="89"/>
      <c r="J526" s="89"/>
      <c r="K526" s="89"/>
      <c r="L526" s="89"/>
    </row>
    <row r="527" spans="2:12" x14ac:dyDescent="0.35">
      <c r="B527" s="88">
        <v>15095</v>
      </c>
      <c r="C527" s="88"/>
      <c r="D527" s="88"/>
      <c r="E527" s="88"/>
      <c r="F527" s="88"/>
      <c r="G527" s="88"/>
      <c r="H527" s="88"/>
      <c r="I527" s="88"/>
      <c r="J527" s="88"/>
      <c r="K527" s="88"/>
      <c r="L527" s="88"/>
    </row>
    <row r="528" spans="2:12" x14ac:dyDescent="0.35">
      <c r="B528" s="89">
        <v>15195</v>
      </c>
      <c r="C528" s="89"/>
      <c r="D528" s="89"/>
      <c r="E528" s="89"/>
      <c r="F528" s="89"/>
      <c r="G528" s="89"/>
      <c r="H528" s="89"/>
      <c r="I528" s="89"/>
      <c r="J528" s="89"/>
      <c r="K528" s="89"/>
      <c r="L528" s="89"/>
    </row>
    <row r="529" spans="2:12" x14ac:dyDescent="0.35">
      <c r="B529" s="88">
        <v>15295</v>
      </c>
      <c r="C529" s="88"/>
      <c r="D529" s="88"/>
      <c r="E529" s="88"/>
      <c r="F529" s="88"/>
      <c r="G529" s="88"/>
      <c r="H529" s="88"/>
      <c r="I529" s="88"/>
      <c r="J529" s="88"/>
      <c r="K529" s="88"/>
      <c r="L529" s="88"/>
    </row>
    <row r="530" spans="2:12" x14ac:dyDescent="0.35">
      <c r="B530" s="89">
        <v>15395</v>
      </c>
      <c r="C530" s="89"/>
      <c r="D530" s="89"/>
      <c r="E530" s="89"/>
      <c r="F530" s="89"/>
      <c r="G530" s="89"/>
      <c r="H530" s="89"/>
      <c r="I530" s="89"/>
      <c r="J530" s="89"/>
      <c r="K530" s="89"/>
      <c r="L530" s="89"/>
    </row>
    <row r="531" spans="2:12" x14ac:dyDescent="0.35">
      <c r="B531" s="88">
        <v>15495</v>
      </c>
      <c r="C531" s="88"/>
      <c r="D531" s="88"/>
      <c r="E531" s="88"/>
      <c r="F531" s="88"/>
      <c r="G531" s="88"/>
      <c r="H531" s="88"/>
      <c r="I531" s="88"/>
      <c r="J531" s="88"/>
      <c r="K531" s="88"/>
      <c r="L531" s="88"/>
    </row>
    <row r="532" spans="2:12" x14ac:dyDescent="0.35">
      <c r="B532" s="89">
        <v>15595</v>
      </c>
      <c r="C532" s="89"/>
      <c r="D532" s="89"/>
      <c r="E532" s="89"/>
      <c r="F532" s="89"/>
      <c r="G532" s="89"/>
      <c r="H532" s="89"/>
      <c r="I532" s="89"/>
      <c r="J532" s="89"/>
      <c r="K532" s="89"/>
      <c r="L532" s="89"/>
    </row>
    <row r="533" spans="2:12" x14ac:dyDescent="0.35">
      <c r="B533" s="88">
        <v>15695</v>
      </c>
      <c r="C533" s="88"/>
      <c r="D533" s="88"/>
      <c r="E533" s="88"/>
      <c r="F533" s="88"/>
      <c r="G533" s="88"/>
      <c r="H533" s="88"/>
      <c r="I533" s="88"/>
      <c r="J533" s="88"/>
      <c r="K533" s="88"/>
      <c r="L533" s="88"/>
    </row>
    <row r="534" spans="2:12" x14ac:dyDescent="0.35">
      <c r="B534" s="89">
        <v>15795</v>
      </c>
      <c r="C534" s="89"/>
      <c r="D534" s="89"/>
      <c r="E534" s="89"/>
      <c r="F534" s="89"/>
      <c r="G534" s="89"/>
      <c r="H534" s="89"/>
      <c r="I534" s="89"/>
      <c r="J534" s="89"/>
      <c r="K534" s="89"/>
      <c r="L534" s="89"/>
    </row>
    <row r="535" spans="2:12" x14ac:dyDescent="0.35">
      <c r="B535" s="88">
        <v>15895</v>
      </c>
      <c r="C535" s="88"/>
      <c r="D535" s="88"/>
      <c r="E535" s="88"/>
      <c r="F535" s="88"/>
      <c r="G535" s="88"/>
      <c r="H535" s="88"/>
      <c r="I535" s="88"/>
      <c r="J535" s="88"/>
      <c r="K535" s="88"/>
      <c r="L535" s="88"/>
    </row>
    <row r="536" spans="2:12" x14ac:dyDescent="0.35">
      <c r="B536" s="89">
        <v>15995</v>
      </c>
      <c r="C536" s="89"/>
      <c r="D536" s="89"/>
      <c r="E536" s="89"/>
      <c r="F536" s="89"/>
      <c r="G536" s="89"/>
      <c r="H536" s="89"/>
      <c r="I536" s="89"/>
      <c r="J536" s="89"/>
      <c r="K536" s="89"/>
      <c r="L536" s="89"/>
    </row>
    <row r="537" spans="2:12" x14ac:dyDescent="0.35">
      <c r="B537" s="88">
        <v>16095</v>
      </c>
      <c r="C537" s="88"/>
      <c r="D537" s="88"/>
      <c r="E537" s="88"/>
      <c r="F537" s="88"/>
      <c r="G537" s="88"/>
      <c r="H537" s="88"/>
      <c r="I537" s="88"/>
      <c r="J537" s="88"/>
      <c r="K537" s="88"/>
      <c r="L537" s="88"/>
    </row>
    <row r="538" spans="2:12" x14ac:dyDescent="0.35">
      <c r="B538" s="89">
        <v>16195</v>
      </c>
      <c r="C538" s="89"/>
      <c r="D538" s="89"/>
      <c r="E538" s="89"/>
      <c r="F538" s="89"/>
      <c r="G538" s="89"/>
      <c r="H538" s="89"/>
      <c r="I538" s="89"/>
      <c r="J538" s="89"/>
      <c r="K538" s="89"/>
      <c r="L538" s="89"/>
    </row>
    <row r="539" spans="2:12" x14ac:dyDescent="0.35">
      <c r="B539" s="88">
        <v>16295</v>
      </c>
      <c r="C539" s="88"/>
      <c r="D539" s="88"/>
      <c r="E539" s="88"/>
      <c r="F539" s="88"/>
      <c r="G539" s="88"/>
      <c r="H539" s="88"/>
      <c r="I539" s="88"/>
      <c r="J539" s="88"/>
      <c r="K539" s="88"/>
      <c r="L539" s="88"/>
    </row>
    <row r="540" spans="2:12" x14ac:dyDescent="0.35">
      <c r="B540" s="89">
        <v>16395</v>
      </c>
      <c r="C540" s="89"/>
      <c r="D540" s="89"/>
      <c r="E540" s="89"/>
      <c r="F540" s="89"/>
      <c r="G540" s="89"/>
      <c r="H540" s="89"/>
      <c r="I540" s="89"/>
      <c r="J540" s="89"/>
      <c r="K540" s="89"/>
      <c r="L540" s="89"/>
    </row>
    <row r="541" spans="2:12" x14ac:dyDescent="0.35">
      <c r="B541" s="88">
        <v>16495</v>
      </c>
      <c r="C541" s="88"/>
      <c r="D541" s="88"/>
      <c r="E541" s="88"/>
      <c r="F541" s="88"/>
      <c r="G541" s="88"/>
      <c r="H541" s="88"/>
      <c r="I541" s="88"/>
      <c r="J541" s="88"/>
      <c r="K541" s="88"/>
      <c r="L541" s="88"/>
    </row>
    <row r="542" spans="2:12" x14ac:dyDescent="0.35">
      <c r="B542" s="89">
        <v>16595</v>
      </c>
      <c r="C542" s="89"/>
      <c r="D542" s="89"/>
      <c r="E542" s="89"/>
      <c r="F542" s="89"/>
      <c r="G542" s="89"/>
      <c r="H542" s="89"/>
      <c r="I542" s="89"/>
      <c r="J542" s="89"/>
      <c r="K542" s="89"/>
      <c r="L542" s="89"/>
    </row>
    <row r="543" spans="2:12" x14ac:dyDescent="0.35">
      <c r="B543" s="88">
        <v>16695</v>
      </c>
      <c r="C543" s="88"/>
      <c r="D543" s="88"/>
      <c r="E543" s="88"/>
      <c r="F543" s="88"/>
      <c r="G543" s="88"/>
      <c r="H543" s="88"/>
      <c r="I543" s="88"/>
      <c r="J543" s="88"/>
      <c r="K543" s="88"/>
      <c r="L543" s="88"/>
    </row>
    <row r="544" spans="2:12" x14ac:dyDescent="0.35">
      <c r="B544" s="89">
        <v>16795</v>
      </c>
      <c r="C544" s="89"/>
      <c r="D544" s="89"/>
      <c r="E544" s="89"/>
      <c r="F544" s="89"/>
      <c r="G544" s="89"/>
      <c r="H544" s="89"/>
      <c r="I544" s="89"/>
      <c r="J544" s="89"/>
      <c r="K544" s="89"/>
      <c r="L544" s="89"/>
    </row>
    <row r="545" spans="2:12" x14ac:dyDescent="0.35">
      <c r="B545" s="88">
        <v>16895</v>
      </c>
      <c r="C545" s="88"/>
      <c r="D545" s="88"/>
      <c r="E545" s="88"/>
      <c r="F545" s="88"/>
      <c r="G545" s="88"/>
      <c r="H545" s="88"/>
      <c r="I545" s="88"/>
      <c r="J545" s="88"/>
      <c r="K545" s="88"/>
      <c r="L545" s="88"/>
    </row>
    <row r="546" spans="2:12" x14ac:dyDescent="0.35">
      <c r="B546" s="89">
        <v>16995</v>
      </c>
      <c r="C546" s="89"/>
      <c r="D546" s="89"/>
      <c r="E546" s="89"/>
      <c r="F546" s="89"/>
      <c r="G546" s="89"/>
      <c r="H546" s="89"/>
      <c r="I546" s="89"/>
      <c r="J546" s="89"/>
      <c r="K546" s="89"/>
      <c r="L546" s="89"/>
    </row>
    <row r="547" spans="2:12" x14ac:dyDescent="0.35">
      <c r="B547" s="88">
        <v>17095</v>
      </c>
      <c r="C547" s="88"/>
      <c r="D547" s="88"/>
      <c r="E547" s="88"/>
      <c r="F547" s="88"/>
      <c r="G547" s="88"/>
      <c r="H547" s="88"/>
      <c r="I547" s="88"/>
      <c r="J547" s="88"/>
      <c r="K547" s="88"/>
      <c r="L547" s="88"/>
    </row>
    <row r="548" spans="2:12" x14ac:dyDescent="0.35">
      <c r="B548" s="89">
        <v>17195</v>
      </c>
      <c r="C548" s="89"/>
      <c r="D548" s="89"/>
      <c r="E548" s="89"/>
      <c r="F548" s="89"/>
      <c r="G548" s="89"/>
      <c r="H548" s="89"/>
      <c r="I548" s="89"/>
      <c r="J548" s="89"/>
      <c r="K548" s="89"/>
      <c r="L548" s="89"/>
    </row>
    <row r="549" spans="2:12" x14ac:dyDescent="0.35">
      <c r="B549" s="88">
        <v>17295</v>
      </c>
      <c r="C549" s="88"/>
      <c r="D549" s="88"/>
      <c r="E549" s="88"/>
      <c r="F549" s="88"/>
      <c r="G549" s="88"/>
      <c r="H549" s="88"/>
      <c r="I549" s="88"/>
      <c r="J549" s="88"/>
      <c r="K549" s="88"/>
      <c r="L549" s="88"/>
    </row>
    <row r="550" spans="2:12" x14ac:dyDescent="0.35">
      <c r="B550" s="89">
        <v>17395</v>
      </c>
      <c r="C550" s="89"/>
      <c r="D550" s="89"/>
      <c r="E550" s="89"/>
      <c r="F550" s="89"/>
      <c r="G550" s="89"/>
      <c r="H550" s="89"/>
      <c r="I550" s="89"/>
      <c r="J550" s="89"/>
      <c r="K550" s="89"/>
      <c r="L550" s="89"/>
    </row>
    <row r="551" spans="2:12" x14ac:dyDescent="0.35">
      <c r="B551" s="88">
        <v>17495</v>
      </c>
      <c r="C551" s="88"/>
      <c r="D551" s="88"/>
      <c r="E551" s="88"/>
      <c r="F551" s="88"/>
      <c r="G551" s="88"/>
      <c r="H551" s="88"/>
      <c r="I551" s="88"/>
      <c r="J551" s="88"/>
      <c r="K551" s="88"/>
      <c r="L551" s="88"/>
    </row>
    <row r="552" spans="2:12" x14ac:dyDescent="0.35">
      <c r="B552" s="89">
        <v>17595</v>
      </c>
      <c r="C552" s="89"/>
      <c r="D552" s="89"/>
      <c r="E552" s="89"/>
      <c r="F552" s="89"/>
      <c r="G552" s="89"/>
      <c r="H552" s="89"/>
      <c r="I552" s="89"/>
      <c r="J552" s="89"/>
      <c r="K552" s="89"/>
      <c r="L552" s="89"/>
    </row>
    <row r="553" spans="2:12" x14ac:dyDescent="0.35">
      <c r="B553" s="88">
        <v>17695</v>
      </c>
      <c r="C553" s="88"/>
      <c r="D553" s="88"/>
      <c r="E553" s="88"/>
      <c r="F553" s="88"/>
      <c r="G553" s="88"/>
      <c r="H553" s="88"/>
      <c r="I553" s="88"/>
      <c r="J553" s="88"/>
      <c r="K553" s="88"/>
      <c r="L553" s="88"/>
    </row>
    <row r="554" spans="2:12" x14ac:dyDescent="0.35">
      <c r="B554" s="89">
        <v>17795</v>
      </c>
      <c r="C554" s="89"/>
      <c r="D554" s="89"/>
      <c r="E554" s="89"/>
      <c r="F554" s="89"/>
      <c r="G554" s="89"/>
      <c r="H554" s="89"/>
      <c r="I554" s="89"/>
      <c r="J554" s="89"/>
      <c r="K554" s="89"/>
      <c r="L554" s="89"/>
    </row>
    <row r="555" spans="2:12" x14ac:dyDescent="0.35">
      <c r="B555" s="88">
        <v>17895</v>
      </c>
      <c r="C555" s="88"/>
      <c r="D555" s="88"/>
      <c r="E555" s="88"/>
      <c r="F555" s="88"/>
      <c r="G555" s="88"/>
      <c r="H555" s="88"/>
      <c r="I555" s="88"/>
      <c r="J555" s="88"/>
      <c r="K555" s="88"/>
      <c r="L555" s="88"/>
    </row>
    <row r="556" spans="2:12" x14ac:dyDescent="0.35">
      <c r="B556" s="89">
        <v>17995</v>
      </c>
      <c r="C556" s="89"/>
      <c r="D556" s="89"/>
      <c r="E556" s="89"/>
      <c r="F556" s="89"/>
      <c r="G556" s="89"/>
      <c r="H556" s="89"/>
      <c r="I556" s="89"/>
      <c r="J556" s="89"/>
      <c r="K556" s="89"/>
      <c r="L556" s="89"/>
    </row>
    <row r="557" spans="2:12" x14ac:dyDescent="0.35">
      <c r="B557" s="88">
        <v>18095</v>
      </c>
      <c r="C557" s="88"/>
      <c r="D557" s="88"/>
      <c r="E557" s="88"/>
      <c r="F557" s="88"/>
      <c r="G557" s="88"/>
      <c r="H557" s="88"/>
      <c r="I557" s="88"/>
      <c r="J557" s="88"/>
      <c r="K557" s="88"/>
      <c r="L557" s="88"/>
    </row>
    <row r="558" spans="2:12" x14ac:dyDescent="0.35">
      <c r="B558" s="89">
        <v>18195</v>
      </c>
      <c r="C558" s="89"/>
      <c r="D558" s="89"/>
      <c r="E558" s="89"/>
      <c r="F558" s="89"/>
      <c r="G558" s="89"/>
      <c r="H558" s="89"/>
      <c r="I558" s="89"/>
      <c r="J558" s="89"/>
      <c r="K558" s="89"/>
      <c r="L558" s="89"/>
    </row>
    <row r="559" spans="2:12" x14ac:dyDescent="0.35">
      <c r="B559" s="88">
        <v>18295</v>
      </c>
      <c r="C559" s="88"/>
      <c r="D559" s="88"/>
      <c r="E559" s="88"/>
      <c r="F559" s="88"/>
      <c r="G559" s="88"/>
      <c r="H559" s="88"/>
      <c r="I559" s="88"/>
      <c r="J559" s="88"/>
      <c r="K559" s="88"/>
      <c r="L559" s="88"/>
    </row>
    <row r="560" spans="2:12" x14ac:dyDescent="0.35">
      <c r="B560" s="89">
        <v>18395</v>
      </c>
      <c r="C560" s="89"/>
      <c r="D560" s="89"/>
      <c r="E560" s="89"/>
      <c r="F560" s="89"/>
      <c r="G560" s="89"/>
      <c r="H560" s="89"/>
      <c r="I560" s="89"/>
      <c r="J560" s="89"/>
      <c r="K560" s="89"/>
      <c r="L560" s="89"/>
    </row>
    <row r="561" spans="2:12" x14ac:dyDescent="0.35">
      <c r="B561" s="88">
        <v>18495</v>
      </c>
      <c r="C561" s="88"/>
      <c r="D561" s="88"/>
      <c r="E561" s="88"/>
      <c r="F561" s="88"/>
      <c r="G561" s="88"/>
      <c r="H561" s="88"/>
      <c r="I561" s="88"/>
      <c r="J561" s="88"/>
      <c r="K561" s="88"/>
      <c r="L561" s="88"/>
    </row>
    <row r="562" spans="2:12" x14ac:dyDescent="0.35">
      <c r="B562" s="89">
        <v>18595</v>
      </c>
      <c r="C562" s="89"/>
      <c r="D562" s="89"/>
      <c r="E562" s="89"/>
      <c r="F562" s="89"/>
      <c r="G562" s="89"/>
      <c r="H562" s="89"/>
      <c r="I562" s="89"/>
      <c r="J562" s="89"/>
      <c r="K562" s="89"/>
      <c r="L562" s="89"/>
    </row>
    <row r="563" spans="2:12" x14ac:dyDescent="0.35">
      <c r="B563" s="88">
        <v>18695</v>
      </c>
      <c r="C563" s="88"/>
      <c r="D563" s="88"/>
      <c r="E563" s="88"/>
      <c r="F563" s="88"/>
      <c r="G563" s="88"/>
      <c r="H563" s="88"/>
      <c r="I563" s="88"/>
      <c r="J563" s="88"/>
      <c r="K563" s="88"/>
      <c r="L563" s="88"/>
    </row>
    <row r="564" spans="2:12" x14ac:dyDescent="0.35">
      <c r="B564" s="89">
        <v>18795</v>
      </c>
      <c r="C564" s="89"/>
      <c r="D564" s="89"/>
      <c r="E564" s="89"/>
      <c r="F564" s="89"/>
      <c r="G564" s="89"/>
      <c r="H564" s="89"/>
      <c r="I564" s="89"/>
      <c r="J564" s="89"/>
      <c r="K564" s="89"/>
      <c r="L564" s="89"/>
    </row>
    <row r="565" spans="2:12" x14ac:dyDescent="0.35">
      <c r="B565" s="88">
        <v>18895</v>
      </c>
      <c r="C565" s="88"/>
      <c r="D565" s="88"/>
      <c r="E565" s="88"/>
      <c r="F565" s="88"/>
      <c r="G565" s="88"/>
      <c r="H565" s="88"/>
      <c r="I565" s="88"/>
      <c r="J565" s="88"/>
      <c r="K565" s="88"/>
      <c r="L565" s="88"/>
    </row>
    <row r="566" spans="2:12" x14ac:dyDescent="0.35">
      <c r="B566" s="89">
        <v>18995</v>
      </c>
      <c r="C566" s="89"/>
      <c r="D566" s="89"/>
      <c r="E566" s="89"/>
      <c r="F566" s="89"/>
      <c r="G566" s="89"/>
      <c r="H566" s="89"/>
      <c r="I566" s="89"/>
      <c r="J566" s="89"/>
      <c r="K566" s="89"/>
      <c r="L566" s="89"/>
    </row>
    <row r="567" spans="2:12" x14ac:dyDescent="0.35">
      <c r="B567" s="88">
        <v>19095</v>
      </c>
      <c r="C567" s="88"/>
      <c r="D567" s="88"/>
      <c r="E567" s="88"/>
      <c r="F567" s="88"/>
      <c r="G567" s="88"/>
      <c r="H567" s="88"/>
      <c r="I567" s="88"/>
      <c r="J567" s="88"/>
      <c r="K567" s="88"/>
      <c r="L567" s="88"/>
    </row>
    <row r="568" spans="2:12" x14ac:dyDescent="0.35">
      <c r="B568" s="89">
        <v>19195</v>
      </c>
      <c r="C568" s="89"/>
      <c r="D568" s="89"/>
      <c r="E568" s="89"/>
      <c r="F568" s="89"/>
      <c r="G568" s="89"/>
      <c r="H568" s="89"/>
      <c r="I568" s="89"/>
      <c r="J568" s="89"/>
      <c r="K568" s="89"/>
      <c r="L568" s="89"/>
    </row>
    <row r="569" spans="2:12" x14ac:dyDescent="0.35">
      <c r="B569" s="88">
        <v>19295</v>
      </c>
      <c r="C569" s="88"/>
      <c r="D569" s="88"/>
      <c r="E569" s="88"/>
      <c r="F569" s="88"/>
      <c r="G569" s="88"/>
      <c r="H569" s="88"/>
      <c r="I569" s="88"/>
      <c r="J569" s="88"/>
      <c r="K569" s="88"/>
      <c r="L569" s="88"/>
    </row>
    <row r="570" spans="2:12" x14ac:dyDescent="0.35">
      <c r="B570" s="89">
        <v>19395</v>
      </c>
      <c r="C570" s="89"/>
      <c r="D570" s="89"/>
      <c r="E570" s="89"/>
      <c r="F570" s="89"/>
      <c r="G570" s="89"/>
      <c r="H570" s="89"/>
      <c r="I570" s="89"/>
      <c r="J570" s="89"/>
      <c r="K570" s="89"/>
      <c r="L570" s="89"/>
    </row>
    <row r="571" spans="2:12" x14ac:dyDescent="0.35">
      <c r="B571" s="88">
        <v>19495</v>
      </c>
      <c r="C571" s="88"/>
      <c r="D571" s="88"/>
      <c r="E571" s="88"/>
      <c r="F571" s="88"/>
      <c r="G571" s="88"/>
      <c r="H571" s="88"/>
      <c r="I571" s="88"/>
      <c r="J571" s="88"/>
      <c r="K571" s="88"/>
      <c r="L571" s="88"/>
    </row>
    <row r="572" spans="2:12" x14ac:dyDescent="0.35">
      <c r="B572" s="89">
        <v>19595</v>
      </c>
      <c r="C572" s="89"/>
      <c r="D572" s="89"/>
      <c r="E572" s="89"/>
      <c r="F572" s="89"/>
      <c r="G572" s="89"/>
      <c r="H572" s="89"/>
      <c r="I572" s="89"/>
      <c r="J572" s="89"/>
      <c r="K572" s="89"/>
      <c r="L572" s="89"/>
    </row>
    <row r="573" spans="2:12" x14ac:dyDescent="0.35">
      <c r="B573" s="88">
        <v>19695</v>
      </c>
      <c r="C573" s="88"/>
      <c r="D573" s="88"/>
      <c r="E573" s="88"/>
      <c r="F573" s="88"/>
      <c r="G573" s="88"/>
      <c r="H573" s="88"/>
      <c r="I573" s="88"/>
      <c r="J573" s="88"/>
      <c r="K573" s="88"/>
      <c r="L573" s="88"/>
    </row>
    <row r="574" spans="2:12" x14ac:dyDescent="0.35">
      <c r="B574" s="89">
        <v>19795</v>
      </c>
      <c r="C574" s="89"/>
      <c r="D574" s="89"/>
      <c r="E574" s="89"/>
      <c r="F574" s="89"/>
      <c r="G574" s="89"/>
      <c r="H574" s="89"/>
      <c r="I574" s="89"/>
      <c r="J574" s="89"/>
      <c r="K574" s="89"/>
      <c r="L574" s="89"/>
    </row>
    <row r="575" spans="2:12" x14ac:dyDescent="0.35">
      <c r="B575" s="88">
        <v>19895</v>
      </c>
      <c r="C575" s="88"/>
      <c r="D575" s="88"/>
      <c r="E575" s="88"/>
      <c r="F575" s="88"/>
      <c r="G575" s="88"/>
      <c r="H575" s="88"/>
      <c r="I575" s="88"/>
      <c r="J575" s="88"/>
      <c r="K575" s="88"/>
      <c r="L575" s="88"/>
    </row>
    <row r="576" spans="2:12" x14ac:dyDescent="0.35">
      <c r="B576" s="89">
        <v>19995</v>
      </c>
      <c r="C576" s="89"/>
      <c r="D576" s="89"/>
      <c r="E576" s="89"/>
      <c r="F576" s="89"/>
      <c r="G576" s="89"/>
      <c r="H576" s="89"/>
      <c r="I576" s="89"/>
      <c r="J576" s="89"/>
      <c r="K576" s="89"/>
      <c r="L576" s="89"/>
    </row>
    <row r="577" spans="2:12" x14ac:dyDescent="0.35">
      <c r="B577" s="88">
        <v>20095</v>
      </c>
      <c r="C577" s="88"/>
      <c r="D577" s="88"/>
      <c r="E577" s="88"/>
      <c r="F577" s="88"/>
      <c r="G577" s="88"/>
      <c r="H577" s="88"/>
      <c r="I577" s="88"/>
      <c r="J577" s="88"/>
      <c r="K577" s="88"/>
      <c r="L577" s="88"/>
    </row>
    <row r="578" spans="2:12" x14ac:dyDescent="0.35">
      <c r="B578" s="89">
        <v>20195</v>
      </c>
      <c r="C578" s="89"/>
      <c r="D578" s="89"/>
      <c r="E578" s="89"/>
      <c r="F578" s="89"/>
      <c r="G578" s="89"/>
      <c r="H578" s="89"/>
      <c r="I578" s="89"/>
      <c r="J578" s="89"/>
      <c r="K578" s="89"/>
      <c r="L578" s="89"/>
    </row>
    <row r="579" spans="2:12" x14ac:dyDescent="0.35">
      <c r="B579" s="88">
        <v>20295</v>
      </c>
      <c r="C579" s="88"/>
      <c r="D579" s="88"/>
      <c r="E579" s="88"/>
      <c r="F579" s="88"/>
      <c r="G579" s="88"/>
      <c r="H579" s="88"/>
      <c r="I579" s="88"/>
      <c r="J579" s="88"/>
      <c r="K579" s="88"/>
      <c r="L579" s="88"/>
    </row>
    <row r="580" spans="2:12" x14ac:dyDescent="0.35">
      <c r="B580" s="89">
        <v>20395</v>
      </c>
      <c r="C580" s="89"/>
      <c r="D580" s="89"/>
      <c r="E580" s="89"/>
      <c r="F580" s="89"/>
      <c r="G580" s="89"/>
      <c r="H580" s="89"/>
      <c r="I580" s="89"/>
      <c r="J580" s="89"/>
      <c r="K580" s="89"/>
      <c r="L580" s="89"/>
    </row>
    <row r="581" spans="2:12" x14ac:dyDescent="0.35">
      <c r="B581" s="88">
        <v>20495</v>
      </c>
      <c r="C581" s="88"/>
      <c r="D581" s="88"/>
      <c r="E581" s="88"/>
      <c r="F581" s="88"/>
      <c r="G581" s="88"/>
      <c r="H581" s="88"/>
      <c r="I581" s="88"/>
      <c r="J581" s="88"/>
      <c r="K581" s="88"/>
      <c r="L581" s="88"/>
    </row>
    <row r="582" spans="2:12" x14ac:dyDescent="0.35">
      <c r="B582" s="89">
        <v>20595</v>
      </c>
      <c r="C582" s="89"/>
      <c r="D582" s="89"/>
      <c r="E582" s="89"/>
      <c r="F582" s="89"/>
      <c r="G582" s="89"/>
      <c r="H582" s="89"/>
      <c r="I582" s="89"/>
      <c r="J582" s="89"/>
      <c r="K582" s="89"/>
      <c r="L582" s="89"/>
    </row>
    <row r="583" spans="2:12" x14ac:dyDescent="0.35">
      <c r="B583" s="88">
        <v>20695</v>
      </c>
      <c r="C583" s="88"/>
      <c r="D583" s="88"/>
      <c r="E583" s="88"/>
      <c r="F583" s="88"/>
      <c r="G583" s="88"/>
      <c r="H583" s="88"/>
      <c r="I583" s="88"/>
      <c r="J583" s="88"/>
      <c r="K583" s="88"/>
      <c r="L583" s="88"/>
    </row>
    <row r="584" spans="2:12" x14ac:dyDescent="0.35">
      <c r="B584" s="89">
        <v>20795</v>
      </c>
      <c r="C584" s="89"/>
      <c r="D584" s="89"/>
      <c r="E584" s="89"/>
      <c r="F584" s="89"/>
      <c r="G584" s="89"/>
      <c r="H584" s="89"/>
      <c r="I584" s="89"/>
      <c r="J584" s="89"/>
      <c r="K584" s="89"/>
      <c r="L584" s="89"/>
    </row>
    <row r="585" spans="2:12" x14ac:dyDescent="0.35">
      <c r="B585" s="88">
        <v>20895</v>
      </c>
      <c r="C585" s="88"/>
      <c r="D585" s="88"/>
      <c r="E585" s="88"/>
      <c r="F585" s="88"/>
      <c r="G585" s="88"/>
      <c r="H585" s="88"/>
      <c r="I585" s="88"/>
      <c r="J585" s="88"/>
      <c r="K585" s="88"/>
      <c r="L585" s="88"/>
    </row>
    <row r="586" spans="2:12" x14ac:dyDescent="0.35">
      <c r="B586" s="89">
        <v>20995</v>
      </c>
      <c r="C586" s="89"/>
      <c r="D586" s="89"/>
      <c r="E586" s="89"/>
      <c r="F586" s="89"/>
      <c r="G586" s="89"/>
      <c r="H586" s="89"/>
      <c r="I586" s="89"/>
      <c r="J586" s="89"/>
      <c r="K586" s="89"/>
      <c r="L586" s="89"/>
    </row>
    <row r="587" spans="2:12" x14ac:dyDescent="0.35">
      <c r="B587" s="88">
        <v>21095</v>
      </c>
      <c r="C587" s="88"/>
      <c r="D587" s="88"/>
      <c r="E587" s="88"/>
      <c r="F587" s="88"/>
      <c r="G587" s="88"/>
      <c r="H587" s="88"/>
      <c r="I587" s="88"/>
      <c r="J587" s="88"/>
      <c r="K587" s="88"/>
      <c r="L587" s="88"/>
    </row>
    <row r="588" spans="2:12" x14ac:dyDescent="0.35">
      <c r="B588" s="89">
        <v>21195</v>
      </c>
      <c r="C588" s="89"/>
      <c r="D588" s="89"/>
      <c r="E588" s="89"/>
      <c r="F588" s="89"/>
      <c r="G588" s="89"/>
      <c r="H588" s="89"/>
      <c r="I588" s="89"/>
      <c r="J588" s="89"/>
      <c r="K588" s="89"/>
      <c r="L588" s="89"/>
    </row>
    <row r="589" spans="2:12" x14ac:dyDescent="0.35">
      <c r="B589" s="88">
        <v>21295</v>
      </c>
      <c r="C589" s="88"/>
      <c r="D589" s="88"/>
      <c r="E589" s="88"/>
      <c r="F589" s="88"/>
      <c r="G589" s="88"/>
      <c r="H589" s="88"/>
      <c r="I589" s="88"/>
      <c r="J589" s="88"/>
      <c r="K589" s="88"/>
      <c r="L589" s="88"/>
    </row>
    <row r="590" spans="2:12" x14ac:dyDescent="0.35">
      <c r="B590" s="89">
        <v>21395</v>
      </c>
      <c r="C590" s="89"/>
      <c r="D590" s="89"/>
      <c r="E590" s="89"/>
      <c r="F590" s="89"/>
      <c r="G590" s="89"/>
      <c r="H590" s="89"/>
      <c r="I590" s="89"/>
      <c r="J590" s="89"/>
      <c r="K590" s="89"/>
      <c r="L590" s="89"/>
    </row>
    <row r="591" spans="2:12" x14ac:dyDescent="0.35">
      <c r="B591" s="88">
        <v>21495</v>
      </c>
      <c r="C591" s="88"/>
      <c r="D591" s="88"/>
      <c r="E591" s="88"/>
      <c r="F591" s="88"/>
      <c r="G591" s="88"/>
      <c r="H591" s="88"/>
      <c r="I591" s="88"/>
      <c r="J591" s="88"/>
      <c r="K591" s="88"/>
      <c r="L591" s="88"/>
    </row>
    <row r="592" spans="2:12" x14ac:dyDescent="0.35">
      <c r="B592" s="89">
        <v>21595</v>
      </c>
      <c r="C592" s="89"/>
      <c r="D592" s="89"/>
      <c r="E592" s="89"/>
      <c r="F592" s="89"/>
      <c r="G592" s="89"/>
      <c r="H592" s="89"/>
      <c r="I592" s="89"/>
      <c r="J592" s="89"/>
      <c r="K592" s="89"/>
      <c r="L592" s="89"/>
    </row>
    <row r="593" spans="2:12" x14ac:dyDescent="0.35">
      <c r="B593" s="88">
        <v>21695</v>
      </c>
      <c r="C593" s="88"/>
      <c r="D593" s="88"/>
      <c r="E593" s="88"/>
      <c r="F593" s="88"/>
      <c r="G593" s="88"/>
      <c r="H593" s="88"/>
      <c r="I593" s="88"/>
      <c r="J593" s="88"/>
      <c r="K593" s="88"/>
      <c r="L593" s="88"/>
    </row>
    <row r="594" spans="2:12" x14ac:dyDescent="0.35">
      <c r="B594" s="89">
        <v>21795</v>
      </c>
      <c r="C594" s="89"/>
      <c r="D594" s="89"/>
      <c r="E594" s="89"/>
      <c r="F594" s="89"/>
      <c r="G594" s="89"/>
      <c r="H594" s="89"/>
      <c r="I594" s="89"/>
      <c r="J594" s="89"/>
      <c r="K594" s="89"/>
      <c r="L594" s="89"/>
    </row>
    <row r="595" spans="2:12" x14ac:dyDescent="0.35">
      <c r="B595" s="88">
        <v>21895</v>
      </c>
      <c r="C595" s="88"/>
      <c r="D595" s="88"/>
      <c r="E595" s="88"/>
      <c r="F595" s="88"/>
      <c r="G595" s="88"/>
      <c r="H595" s="88"/>
      <c r="I595" s="88"/>
      <c r="J595" s="88"/>
      <c r="K595" s="88"/>
      <c r="L595" s="88"/>
    </row>
    <row r="596" spans="2:12" x14ac:dyDescent="0.35">
      <c r="B596" s="89">
        <v>21995</v>
      </c>
      <c r="C596" s="89"/>
      <c r="D596" s="89"/>
      <c r="E596" s="89"/>
      <c r="F596" s="89"/>
      <c r="G596" s="89"/>
      <c r="H596" s="89"/>
      <c r="I596" s="89"/>
      <c r="J596" s="89"/>
      <c r="K596" s="89"/>
      <c r="L596" s="89"/>
    </row>
    <row r="597" spans="2:12" x14ac:dyDescent="0.35">
      <c r="B597" s="88">
        <v>22095</v>
      </c>
      <c r="C597" s="88"/>
      <c r="D597" s="88"/>
      <c r="E597" s="88"/>
      <c r="F597" s="88"/>
      <c r="G597" s="88"/>
      <c r="H597" s="88"/>
      <c r="I597" s="88"/>
      <c r="J597" s="88"/>
      <c r="K597" s="88"/>
      <c r="L597" s="88"/>
    </row>
    <row r="598" spans="2:12" x14ac:dyDescent="0.35">
      <c r="B598" s="89">
        <v>22195</v>
      </c>
      <c r="C598" s="89"/>
      <c r="D598" s="89"/>
      <c r="E598" s="89"/>
      <c r="F598" s="89"/>
      <c r="G598" s="89"/>
      <c r="H598" s="89"/>
      <c r="I598" s="89"/>
      <c r="J598" s="89"/>
      <c r="K598" s="89"/>
      <c r="L598" s="89"/>
    </row>
    <row r="599" spans="2:12" x14ac:dyDescent="0.35">
      <c r="B599" s="88">
        <v>22295</v>
      </c>
      <c r="C599" s="88"/>
      <c r="D599" s="88"/>
      <c r="E599" s="88"/>
      <c r="F599" s="88"/>
      <c r="G599" s="88"/>
      <c r="H599" s="88"/>
      <c r="I599" s="88"/>
      <c r="J599" s="88"/>
      <c r="K599" s="88"/>
      <c r="L599" s="88"/>
    </row>
    <row r="600" spans="2:12" x14ac:dyDescent="0.35">
      <c r="B600" s="89">
        <v>22395</v>
      </c>
      <c r="C600" s="89"/>
      <c r="D600" s="89"/>
      <c r="E600" s="89"/>
      <c r="F600" s="89"/>
      <c r="G600" s="89"/>
      <c r="H600" s="89"/>
      <c r="I600" s="89"/>
      <c r="J600" s="89"/>
      <c r="K600" s="89"/>
      <c r="L600" s="89"/>
    </row>
    <row r="601" spans="2:12" x14ac:dyDescent="0.35">
      <c r="B601" s="88">
        <v>22495</v>
      </c>
      <c r="C601" s="88"/>
      <c r="D601" s="88"/>
      <c r="E601" s="88"/>
      <c r="F601" s="88"/>
      <c r="G601" s="88"/>
      <c r="H601" s="88"/>
      <c r="I601" s="88"/>
      <c r="J601" s="88"/>
      <c r="K601" s="88"/>
      <c r="L601" s="88"/>
    </row>
    <row r="602" spans="2:12" x14ac:dyDescent="0.35">
      <c r="B602" s="89">
        <v>22595</v>
      </c>
      <c r="C602" s="89"/>
      <c r="D602" s="89"/>
      <c r="E602" s="89"/>
      <c r="F602" s="89"/>
      <c r="G602" s="89"/>
      <c r="H602" s="89"/>
      <c r="I602" s="89"/>
      <c r="J602" s="89"/>
      <c r="K602" s="89"/>
      <c r="L602" s="89"/>
    </row>
    <row r="603" spans="2:12" x14ac:dyDescent="0.35">
      <c r="B603" s="88">
        <v>22695</v>
      </c>
      <c r="C603" s="88"/>
      <c r="D603" s="88"/>
      <c r="E603" s="88"/>
      <c r="F603" s="88"/>
      <c r="G603" s="88"/>
      <c r="H603" s="88"/>
      <c r="I603" s="88"/>
      <c r="J603" s="88"/>
      <c r="K603" s="88"/>
      <c r="L603" s="88"/>
    </row>
    <row r="604" spans="2:12" x14ac:dyDescent="0.35">
      <c r="B604" s="89">
        <v>22795</v>
      </c>
      <c r="C604" s="89"/>
      <c r="D604" s="89"/>
      <c r="E604" s="89"/>
      <c r="F604" s="89"/>
      <c r="G604" s="89"/>
      <c r="H604" s="89"/>
      <c r="I604" s="89"/>
      <c r="J604" s="89"/>
      <c r="K604" s="89"/>
      <c r="L604" s="89"/>
    </row>
    <row r="605" spans="2:12" x14ac:dyDescent="0.35">
      <c r="B605" s="88">
        <v>22895</v>
      </c>
      <c r="C605" s="88"/>
      <c r="D605" s="88"/>
      <c r="E605" s="88"/>
      <c r="F605" s="88"/>
      <c r="G605" s="88"/>
      <c r="H605" s="88"/>
      <c r="I605" s="88"/>
      <c r="J605" s="88"/>
      <c r="K605" s="88"/>
      <c r="L605" s="88"/>
    </row>
    <row r="606" spans="2:12" x14ac:dyDescent="0.35">
      <c r="B606" s="89">
        <v>22995</v>
      </c>
      <c r="C606" s="89"/>
      <c r="D606" s="89"/>
      <c r="E606" s="89"/>
      <c r="F606" s="89"/>
      <c r="G606" s="89"/>
      <c r="H606" s="89"/>
      <c r="I606" s="89"/>
      <c r="J606" s="89"/>
      <c r="K606" s="89"/>
      <c r="L606" s="89"/>
    </row>
    <row r="607" spans="2:12" x14ac:dyDescent="0.35">
      <c r="B607" s="88">
        <v>23095</v>
      </c>
      <c r="C607" s="88"/>
      <c r="D607" s="88"/>
      <c r="E607" s="88"/>
      <c r="F607" s="88"/>
      <c r="G607" s="88"/>
      <c r="H607" s="88"/>
      <c r="I607" s="88"/>
      <c r="J607" s="88"/>
      <c r="K607" s="88"/>
      <c r="L607" s="88"/>
    </row>
    <row r="608" spans="2:12" x14ac:dyDescent="0.35">
      <c r="B608" s="89">
        <v>23195</v>
      </c>
      <c r="C608" s="89"/>
      <c r="D608" s="89"/>
      <c r="E608" s="89"/>
      <c r="F608" s="89"/>
      <c r="G608" s="89"/>
      <c r="H608" s="89"/>
      <c r="I608" s="89"/>
      <c r="J608" s="89"/>
      <c r="K608" s="89"/>
      <c r="L608" s="89"/>
    </row>
    <row r="609" spans="2:12" x14ac:dyDescent="0.35">
      <c r="B609" s="88">
        <v>23295</v>
      </c>
      <c r="C609" s="88"/>
      <c r="D609" s="88"/>
      <c r="E609" s="88"/>
      <c r="F609" s="88"/>
      <c r="G609" s="88"/>
      <c r="H609" s="88"/>
      <c r="I609" s="88"/>
      <c r="J609" s="88"/>
      <c r="K609" s="88"/>
      <c r="L609" s="88"/>
    </row>
    <row r="610" spans="2:12" x14ac:dyDescent="0.35">
      <c r="B610" s="89">
        <v>23395</v>
      </c>
      <c r="C610" s="89"/>
      <c r="D610" s="89"/>
      <c r="E610" s="89"/>
      <c r="F610" s="89"/>
      <c r="G610" s="89"/>
      <c r="H610" s="89"/>
      <c r="I610" s="89"/>
      <c r="J610" s="89"/>
      <c r="K610" s="89"/>
      <c r="L610" s="89"/>
    </row>
    <row r="611" spans="2:12" x14ac:dyDescent="0.35">
      <c r="B611" s="88">
        <v>23495</v>
      </c>
      <c r="C611" s="88"/>
      <c r="D611" s="88"/>
      <c r="E611" s="88"/>
      <c r="F611" s="88"/>
      <c r="G611" s="88"/>
      <c r="H611" s="88"/>
      <c r="I611" s="88"/>
      <c r="J611" s="88"/>
      <c r="K611" s="88"/>
      <c r="L611" s="88"/>
    </row>
    <row r="612" spans="2:12" x14ac:dyDescent="0.35">
      <c r="B612" s="89">
        <v>23595</v>
      </c>
      <c r="C612" s="89"/>
      <c r="D612" s="89"/>
      <c r="E612" s="89"/>
      <c r="F612" s="89"/>
      <c r="G612" s="89"/>
      <c r="H612" s="89"/>
      <c r="I612" s="89"/>
      <c r="J612" s="89"/>
      <c r="K612" s="89"/>
      <c r="L612" s="89"/>
    </row>
    <row r="613" spans="2:12" x14ac:dyDescent="0.35">
      <c r="B613" s="88">
        <v>23695</v>
      </c>
      <c r="C613" s="88"/>
      <c r="D613" s="88"/>
      <c r="E613" s="88"/>
      <c r="F613" s="88"/>
      <c r="G613" s="88"/>
      <c r="H613" s="88"/>
      <c r="I613" s="88"/>
      <c r="J613" s="88"/>
      <c r="K613" s="88"/>
      <c r="L613" s="88"/>
    </row>
    <row r="614" spans="2:12" x14ac:dyDescent="0.35">
      <c r="B614" s="89">
        <v>23795</v>
      </c>
      <c r="C614" s="89"/>
      <c r="D614" s="89"/>
      <c r="E614" s="89"/>
      <c r="F614" s="89"/>
      <c r="G614" s="89"/>
      <c r="H614" s="89"/>
      <c r="I614" s="89"/>
      <c r="J614" s="89"/>
      <c r="K614" s="89"/>
      <c r="L614" s="89"/>
    </row>
    <row r="615" spans="2:12" x14ac:dyDescent="0.35">
      <c r="B615" s="88">
        <v>23895</v>
      </c>
      <c r="C615" s="88"/>
      <c r="D615" s="88"/>
      <c r="E615" s="88"/>
      <c r="F615" s="88"/>
      <c r="G615" s="88"/>
      <c r="H615" s="88"/>
      <c r="I615" s="88"/>
      <c r="J615" s="88"/>
      <c r="K615" s="88"/>
      <c r="L615" s="88"/>
    </row>
    <row r="616" spans="2:12" x14ac:dyDescent="0.35">
      <c r="B616" s="89">
        <v>23995</v>
      </c>
      <c r="C616" s="89"/>
      <c r="D616" s="89"/>
      <c r="E616" s="89"/>
      <c r="F616" s="89"/>
      <c r="G616" s="89"/>
      <c r="H616" s="89"/>
      <c r="I616" s="89"/>
      <c r="J616" s="89"/>
      <c r="K616" s="89"/>
      <c r="L616" s="89"/>
    </row>
    <row r="617" spans="2:12" x14ac:dyDescent="0.35">
      <c r="B617" s="88">
        <v>24095</v>
      </c>
      <c r="C617" s="88"/>
      <c r="D617" s="88"/>
      <c r="E617" s="88"/>
      <c r="F617" s="88"/>
      <c r="G617" s="88"/>
      <c r="H617" s="88"/>
      <c r="I617" s="88"/>
      <c r="J617" s="88"/>
      <c r="K617" s="88"/>
      <c r="L617" s="88"/>
    </row>
    <row r="618" spans="2:12" x14ac:dyDescent="0.35">
      <c r="B618" s="89">
        <v>24195</v>
      </c>
      <c r="C618" s="89"/>
      <c r="D618" s="89"/>
      <c r="E618" s="89"/>
      <c r="F618" s="89"/>
      <c r="G618" s="89"/>
      <c r="H618" s="89"/>
      <c r="I618" s="89"/>
      <c r="J618" s="89"/>
      <c r="K618" s="89"/>
      <c r="L618" s="89"/>
    </row>
    <row r="619" spans="2:12" x14ac:dyDescent="0.35">
      <c r="B619" s="88">
        <v>24295</v>
      </c>
      <c r="C619" s="88"/>
      <c r="D619" s="88"/>
      <c r="E619" s="88"/>
      <c r="F619" s="88"/>
      <c r="G619" s="88"/>
      <c r="H619" s="88"/>
      <c r="I619" s="88"/>
      <c r="J619" s="88"/>
      <c r="K619" s="88"/>
      <c r="L619" s="88"/>
    </row>
    <row r="620" spans="2:12" x14ac:dyDescent="0.35">
      <c r="B620" s="89">
        <v>24395</v>
      </c>
      <c r="C620" s="89"/>
      <c r="D620" s="89"/>
      <c r="E620" s="89"/>
      <c r="F620" s="89"/>
      <c r="G620" s="89"/>
      <c r="H620" s="89"/>
      <c r="I620" s="89"/>
      <c r="J620" s="89"/>
      <c r="K620" s="89"/>
      <c r="L620" s="89"/>
    </row>
    <row r="621" spans="2:12" x14ac:dyDescent="0.35">
      <c r="B621" s="88">
        <v>24495</v>
      </c>
      <c r="C621" s="88"/>
      <c r="D621" s="88"/>
      <c r="E621" s="88"/>
      <c r="F621" s="88"/>
      <c r="G621" s="88"/>
      <c r="H621" s="88"/>
      <c r="I621" s="88"/>
      <c r="J621" s="88"/>
      <c r="K621" s="88"/>
      <c r="L621" s="88"/>
    </row>
    <row r="622" spans="2:12" x14ac:dyDescent="0.35">
      <c r="B622" s="89">
        <v>24595</v>
      </c>
      <c r="C622" s="89"/>
      <c r="D622" s="89"/>
      <c r="E622" s="89"/>
      <c r="F622" s="89"/>
      <c r="G622" s="89"/>
      <c r="H622" s="89"/>
      <c r="I622" s="89"/>
      <c r="J622" s="89"/>
      <c r="K622" s="89"/>
      <c r="L622" s="89"/>
    </row>
    <row r="623" spans="2:12" x14ac:dyDescent="0.35">
      <c r="B623" s="88">
        <v>24695</v>
      </c>
      <c r="C623" s="88"/>
      <c r="D623" s="88"/>
      <c r="E623" s="88"/>
      <c r="F623" s="88"/>
      <c r="G623" s="88"/>
      <c r="H623" s="88"/>
      <c r="I623" s="88"/>
      <c r="J623" s="88"/>
      <c r="K623" s="88"/>
      <c r="L623" s="88"/>
    </row>
    <row r="624" spans="2:12" x14ac:dyDescent="0.35">
      <c r="B624" s="89">
        <v>24795</v>
      </c>
      <c r="C624" s="89"/>
      <c r="D624" s="89"/>
      <c r="E624" s="89"/>
      <c r="F624" s="89"/>
      <c r="G624" s="89"/>
      <c r="H624" s="89"/>
      <c r="I624" s="89"/>
      <c r="J624" s="89"/>
      <c r="K624" s="89"/>
      <c r="L624" s="89"/>
    </row>
    <row r="625" spans="2:12" x14ac:dyDescent="0.35">
      <c r="B625" s="88">
        <v>24895</v>
      </c>
      <c r="C625" s="88"/>
      <c r="D625" s="88"/>
      <c r="E625" s="88"/>
      <c r="F625" s="88"/>
      <c r="G625" s="88"/>
      <c r="H625" s="88"/>
      <c r="I625" s="88"/>
      <c r="J625" s="88"/>
      <c r="K625" s="88"/>
      <c r="L625" s="88"/>
    </row>
    <row r="626" spans="2:12" x14ac:dyDescent="0.35">
      <c r="B626" s="89">
        <v>24995</v>
      </c>
      <c r="C626" s="89"/>
      <c r="D626" s="89"/>
      <c r="E626" s="89"/>
      <c r="F626" s="89"/>
      <c r="G626" s="89"/>
      <c r="H626" s="89"/>
      <c r="I626" s="89"/>
      <c r="J626" s="89"/>
      <c r="K626" s="89"/>
      <c r="L626" s="89"/>
    </row>
    <row r="627" spans="2:12" x14ac:dyDescent="0.35">
      <c r="B627" s="88">
        <v>25095</v>
      </c>
      <c r="C627" s="88"/>
      <c r="D627" s="88"/>
      <c r="E627" s="88"/>
      <c r="F627" s="88"/>
      <c r="G627" s="88"/>
      <c r="H627" s="88"/>
      <c r="I627" s="88"/>
      <c r="J627" s="88"/>
      <c r="K627" s="88"/>
      <c r="L627" s="88"/>
    </row>
    <row r="628" spans="2:12" x14ac:dyDescent="0.35">
      <c r="B628" s="89">
        <v>25195</v>
      </c>
      <c r="C628" s="89"/>
      <c r="D628" s="89"/>
      <c r="E628" s="89"/>
      <c r="F628" s="89"/>
      <c r="G628" s="89"/>
      <c r="H628" s="89"/>
      <c r="I628" s="89"/>
      <c r="J628" s="89"/>
      <c r="K628" s="89"/>
      <c r="L628" s="89"/>
    </row>
    <row r="629" spans="2:12" x14ac:dyDescent="0.35">
      <c r="B629" s="88">
        <v>25295</v>
      </c>
      <c r="C629" s="88"/>
      <c r="D629" s="88"/>
      <c r="E629" s="88"/>
      <c r="F629" s="88"/>
      <c r="G629" s="88"/>
      <c r="H629" s="88"/>
      <c r="I629" s="88"/>
      <c r="J629" s="88"/>
      <c r="K629" s="88"/>
      <c r="L629" s="88"/>
    </row>
    <row r="630" spans="2:12" x14ac:dyDescent="0.35">
      <c r="B630" s="89">
        <v>25395</v>
      </c>
      <c r="C630" s="89"/>
      <c r="D630" s="89"/>
      <c r="E630" s="89"/>
      <c r="F630" s="89"/>
      <c r="G630" s="89"/>
      <c r="H630" s="89"/>
      <c r="I630" s="89"/>
      <c r="J630" s="89"/>
      <c r="K630" s="89"/>
      <c r="L630" s="89"/>
    </row>
    <row r="631" spans="2:12" x14ac:dyDescent="0.35">
      <c r="B631" s="88">
        <v>25495</v>
      </c>
      <c r="C631" s="88"/>
      <c r="D631" s="88"/>
      <c r="E631" s="88"/>
      <c r="F631" s="88"/>
      <c r="G631" s="88"/>
      <c r="H631" s="88"/>
      <c r="I631" s="88"/>
      <c r="J631" s="88"/>
      <c r="K631" s="88"/>
      <c r="L631" s="88"/>
    </row>
    <row r="632" spans="2:12" x14ac:dyDescent="0.35">
      <c r="B632" s="89">
        <v>25595</v>
      </c>
      <c r="C632" s="89"/>
      <c r="D632" s="89"/>
      <c r="E632" s="89"/>
      <c r="F632" s="89"/>
      <c r="G632" s="89"/>
      <c r="H632" s="89"/>
      <c r="I632" s="89"/>
      <c r="J632" s="89"/>
      <c r="K632" s="89"/>
      <c r="L632" s="89"/>
    </row>
    <row r="633" spans="2:12" x14ac:dyDescent="0.35">
      <c r="B633" s="88">
        <v>25695</v>
      </c>
      <c r="C633" s="88"/>
      <c r="D633" s="88"/>
      <c r="E633" s="88"/>
      <c r="F633" s="88"/>
      <c r="G633" s="88"/>
      <c r="H633" s="88"/>
      <c r="I633" s="88"/>
      <c r="J633" s="88"/>
      <c r="K633" s="88"/>
      <c r="L633" s="88"/>
    </row>
    <row r="634" spans="2:12" x14ac:dyDescent="0.35">
      <c r="B634" s="89">
        <v>25795</v>
      </c>
      <c r="C634" s="89"/>
      <c r="D634" s="89"/>
      <c r="E634" s="89"/>
      <c r="F634" s="89"/>
      <c r="G634" s="89"/>
      <c r="H634" s="89"/>
      <c r="I634" s="89"/>
      <c r="J634" s="89"/>
      <c r="K634" s="89"/>
      <c r="L634" s="89"/>
    </row>
    <row r="635" spans="2:12" x14ac:dyDescent="0.35">
      <c r="B635" s="88">
        <v>25895</v>
      </c>
      <c r="C635" s="88"/>
      <c r="D635" s="88"/>
      <c r="E635" s="88"/>
      <c r="F635" s="88"/>
      <c r="G635" s="88"/>
      <c r="H635" s="88"/>
      <c r="I635" s="88"/>
      <c r="J635" s="88"/>
      <c r="K635" s="88"/>
      <c r="L635" s="88"/>
    </row>
    <row r="636" spans="2:12" x14ac:dyDescent="0.35">
      <c r="B636" s="89">
        <v>25995</v>
      </c>
      <c r="C636" s="89"/>
      <c r="D636" s="89"/>
      <c r="E636" s="89"/>
      <c r="F636" s="89"/>
      <c r="G636" s="89"/>
      <c r="H636" s="89"/>
      <c r="I636" s="89"/>
      <c r="J636" s="89"/>
      <c r="K636" s="89"/>
      <c r="L636" s="89"/>
    </row>
    <row r="637" spans="2:12" x14ac:dyDescent="0.35">
      <c r="B637" s="88">
        <v>26095</v>
      </c>
      <c r="C637" s="88"/>
      <c r="D637" s="88"/>
      <c r="E637" s="88"/>
      <c r="F637" s="88"/>
      <c r="G637" s="88"/>
      <c r="H637" s="88"/>
      <c r="I637" s="88"/>
      <c r="J637" s="88"/>
      <c r="K637" s="88"/>
      <c r="L637" s="88"/>
    </row>
    <row r="638" spans="2:12" x14ac:dyDescent="0.35">
      <c r="B638" s="89">
        <v>26195</v>
      </c>
      <c r="C638" s="89"/>
      <c r="D638" s="89"/>
      <c r="E638" s="89"/>
      <c r="F638" s="89"/>
      <c r="G638" s="89"/>
      <c r="H638" s="89"/>
      <c r="I638" s="89"/>
      <c r="J638" s="89"/>
      <c r="K638" s="89"/>
      <c r="L638" s="89"/>
    </row>
    <row r="639" spans="2:12" x14ac:dyDescent="0.35">
      <c r="B639" s="88">
        <v>26295</v>
      </c>
      <c r="C639" s="88"/>
      <c r="D639" s="88"/>
      <c r="E639" s="88"/>
      <c r="F639" s="88"/>
      <c r="G639" s="88"/>
      <c r="H639" s="88"/>
      <c r="I639" s="88"/>
      <c r="J639" s="88"/>
      <c r="K639" s="88"/>
      <c r="L639" s="88"/>
    </row>
    <row r="640" spans="2:12" x14ac:dyDescent="0.35">
      <c r="B640" s="89">
        <v>26395</v>
      </c>
      <c r="C640" s="89"/>
      <c r="D640" s="89"/>
      <c r="E640" s="89"/>
      <c r="F640" s="89"/>
      <c r="G640" s="89"/>
      <c r="H640" s="89"/>
      <c r="I640" s="89"/>
      <c r="J640" s="89"/>
      <c r="K640" s="89"/>
      <c r="L640" s="89"/>
    </row>
    <row r="641" spans="2:12" x14ac:dyDescent="0.35">
      <c r="B641" s="88">
        <v>26495</v>
      </c>
      <c r="C641" s="88"/>
      <c r="D641" s="88"/>
      <c r="E641" s="88"/>
      <c r="F641" s="88"/>
      <c r="G641" s="88"/>
      <c r="H641" s="88"/>
      <c r="I641" s="88"/>
      <c r="J641" s="88"/>
      <c r="K641" s="88"/>
      <c r="L641" s="88"/>
    </row>
    <row r="642" spans="2:12" x14ac:dyDescent="0.35">
      <c r="B642" s="89">
        <v>26595</v>
      </c>
      <c r="C642" s="89"/>
      <c r="D642" s="89"/>
      <c r="E642" s="89"/>
      <c r="F642" s="89"/>
      <c r="G642" s="89"/>
      <c r="H642" s="89"/>
      <c r="I642" s="89"/>
      <c r="J642" s="89"/>
      <c r="K642" s="89"/>
      <c r="L642" s="89"/>
    </row>
    <row r="643" spans="2:12" x14ac:dyDescent="0.35">
      <c r="B643" s="88">
        <v>26695</v>
      </c>
      <c r="C643" s="88"/>
      <c r="D643" s="88"/>
      <c r="E643" s="88"/>
      <c r="F643" s="88"/>
      <c r="G643" s="88"/>
      <c r="H643" s="88"/>
      <c r="I643" s="88"/>
      <c r="J643" s="88"/>
      <c r="K643" s="88"/>
      <c r="L643" s="88"/>
    </row>
    <row r="644" spans="2:12" x14ac:dyDescent="0.35">
      <c r="B644" s="89">
        <v>26795</v>
      </c>
      <c r="C644" s="89"/>
      <c r="D644" s="89"/>
      <c r="E644" s="89"/>
      <c r="F644" s="89"/>
      <c r="G644" s="89"/>
      <c r="H644" s="89"/>
      <c r="I644" s="89"/>
      <c r="J644" s="89"/>
      <c r="K644" s="89"/>
      <c r="L644" s="89"/>
    </row>
    <row r="645" spans="2:12" x14ac:dyDescent="0.35">
      <c r="B645" s="88">
        <v>26895</v>
      </c>
      <c r="C645" s="88"/>
      <c r="D645" s="88"/>
      <c r="E645" s="88"/>
      <c r="F645" s="88"/>
      <c r="G645" s="88"/>
      <c r="H645" s="88"/>
      <c r="I645" s="88"/>
      <c r="J645" s="88"/>
      <c r="K645" s="88"/>
      <c r="L645" s="88"/>
    </row>
    <row r="646" spans="2:12" x14ac:dyDescent="0.35">
      <c r="B646" s="89">
        <v>26995</v>
      </c>
      <c r="C646" s="89"/>
      <c r="D646" s="89"/>
      <c r="E646" s="89"/>
      <c r="F646" s="89"/>
      <c r="G646" s="89"/>
      <c r="H646" s="89"/>
      <c r="I646" s="89"/>
      <c r="J646" s="89"/>
      <c r="K646" s="89"/>
      <c r="L646" s="89"/>
    </row>
    <row r="647" spans="2:12" x14ac:dyDescent="0.35">
      <c r="B647" s="88">
        <v>27095</v>
      </c>
      <c r="C647" s="88"/>
      <c r="D647" s="88"/>
      <c r="E647" s="88"/>
      <c r="F647" s="88"/>
      <c r="G647" s="88"/>
      <c r="H647" s="88"/>
      <c r="I647" s="88"/>
      <c r="J647" s="88"/>
      <c r="K647" s="88"/>
      <c r="L647" s="88"/>
    </row>
    <row r="648" spans="2:12" x14ac:dyDescent="0.35">
      <c r="B648" s="89">
        <v>27195</v>
      </c>
      <c r="C648" s="89"/>
      <c r="D648" s="89"/>
      <c r="E648" s="89"/>
      <c r="F648" s="89"/>
      <c r="G648" s="89"/>
      <c r="H648" s="89"/>
      <c r="I648" s="89"/>
      <c r="J648" s="89"/>
      <c r="K648" s="89"/>
      <c r="L648" s="89"/>
    </row>
    <row r="649" spans="2:12" x14ac:dyDescent="0.35">
      <c r="B649" s="88">
        <v>27295</v>
      </c>
      <c r="C649" s="88"/>
      <c r="D649" s="88"/>
      <c r="E649" s="88"/>
      <c r="F649" s="88"/>
      <c r="G649" s="88"/>
      <c r="H649" s="88"/>
      <c r="I649" s="88"/>
      <c r="J649" s="88"/>
      <c r="K649" s="88"/>
      <c r="L649" s="88"/>
    </row>
    <row r="650" spans="2:12" x14ac:dyDescent="0.35">
      <c r="B650" s="89">
        <v>27395</v>
      </c>
      <c r="C650" s="89"/>
      <c r="D650" s="89"/>
      <c r="E650" s="89"/>
      <c r="F650" s="89"/>
      <c r="G650" s="89"/>
      <c r="H650" s="89"/>
      <c r="I650" s="89"/>
      <c r="J650" s="89"/>
      <c r="K650" s="89"/>
      <c r="L650" s="89"/>
    </row>
    <row r="651" spans="2:12" x14ac:dyDescent="0.35">
      <c r="B651" s="88">
        <v>27495</v>
      </c>
      <c r="C651" s="88"/>
      <c r="D651" s="88"/>
      <c r="E651" s="88"/>
      <c r="F651" s="88"/>
      <c r="G651" s="88"/>
      <c r="H651" s="88"/>
      <c r="I651" s="88"/>
      <c r="J651" s="88"/>
      <c r="K651" s="88"/>
      <c r="L651" s="88"/>
    </row>
    <row r="652" spans="2:12" x14ac:dyDescent="0.35">
      <c r="B652" s="89">
        <v>27595</v>
      </c>
      <c r="C652" s="89"/>
      <c r="D652" s="89"/>
      <c r="E652" s="89"/>
      <c r="F652" s="89"/>
      <c r="G652" s="89"/>
      <c r="H652" s="89"/>
      <c r="I652" s="89"/>
      <c r="J652" s="89"/>
      <c r="K652" s="89"/>
      <c r="L652" s="89"/>
    </row>
    <row r="653" spans="2:12" x14ac:dyDescent="0.35">
      <c r="B653" s="88">
        <v>27695</v>
      </c>
      <c r="C653" s="88"/>
      <c r="D653" s="88"/>
      <c r="E653" s="88"/>
      <c r="F653" s="88"/>
      <c r="G653" s="88"/>
      <c r="H653" s="88"/>
      <c r="I653" s="88"/>
      <c r="J653" s="88"/>
      <c r="K653" s="88"/>
      <c r="L653" s="88"/>
    </row>
    <row r="654" spans="2:12" x14ac:dyDescent="0.35">
      <c r="B654" s="89">
        <v>27795</v>
      </c>
      <c r="C654" s="89"/>
      <c r="D654" s="89"/>
      <c r="E654" s="89"/>
      <c r="F654" s="89"/>
      <c r="G654" s="89"/>
      <c r="H654" s="89"/>
      <c r="I654" s="89"/>
      <c r="J654" s="89"/>
      <c r="K654" s="89"/>
      <c r="L654" s="89"/>
    </row>
    <row r="655" spans="2:12" x14ac:dyDescent="0.35">
      <c r="B655" s="88">
        <v>27895</v>
      </c>
      <c r="C655" s="88"/>
      <c r="D655" s="88"/>
      <c r="E655" s="88"/>
      <c r="F655" s="88"/>
      <c r="G655" s="88"/>
      <c r="H655" s="88"/>
      <c r="I655" s="88"/>
      <c r="J655" s="88"/>
      <c r="K655" s="88"/>
      <c r="L655" s="88"/>
    </row>
    <row r="656" spans="2:12" x14ac:dyDescent="0.35">
      <c r="B656" s="89">
        <v>27995</v>
      </c>
      <c r="C656" s="89"/>
      <c r="D656" s="89"/>
      <c r="E656" s="89"/>
      <c r="F656" s="89"/>
      <c r="G656" s="89"/>
      <c r="H656" s="89"/>
      <c r="I656" s="89"/>
      <c r="J656" s="89"/>
      <c r="K656" s="89"/>
      <c r="L656" s="89"/>
    </row>
    <row r="657" spans="2:12" x14ac:dyDescent="0.35">
      <c r="B657" s="88">
        <v>28095</v>
      </c>
      <c r="C657" s="88"/>
      <c r="D657" s="88"/>
      <c r="E657" s="88"/>
      <c r="F657" s="88"/>
      <c r="G657" s="88"/>
      <c r="H657" s="88"/>
      <c r="I657" s="88"/>
      <c r="J657" s="88"/>
      <c r="K657" s="88"/>
      <c r="L657" s="88"/>
    </row>
    <row r="658" spans="2:12" x14ac:dyDescent="0.35">
      <c r="B658" s="89">
        <v>28195</v>
      </c>
      <c r="C658" s="89"/>
      <c r="D658" s="89"/>
      <c r="E658" s="89"/>
      <c r="F658" s="89"/>
      <c r="G658" s="89"/>
      <c r="H658" s="89"/>
      <c r="I658" s="89"/>
      <c r="J658" s="89"/>
      <c r="K658" s="89"/>
      <c r="L658" s="89"/>
    </row>
    <row r="659" spans="2:12" x14ac:dyDescent="0.35">
      <c r="B659" s="88">
        <v>28295</v>
      </c>
      <c r="C659" s="88"/>
      <c r="D659" s="88"/>
      <c r="E659" s="88"/>
      <c r="F659" s="88"/>
      <c r="G659" s="88"/>
      <c r="H659" s="88"/>
      <c r="I659" s="88"/>
      <c r="J659" s="88"/>
      <c r="K659" s="88"/>
      <c r="L659" s="88"/>
    </row>
    <row r="660" spans="2:12" x14ac:dyDescent="0.35">
      <c r="B660" s="89">
        <v>28395</v>
      </c>
      <c r="C660" s="89"/>
      <c r="D660" s="89"/>
      <c r="E660" s="89"/>
      <c r="F660" s="89"/>
      <c r="G660" s="89"/>
      <c r="H660" s="89"/>
      <c r="I660" s="89"/>
      <c r="J660" s="89"/>
      <c r="K660" s="89"/>
      <c r="L660" s="89"/>
    </row>
    <row r="661" spans="2:12" x14ac:dyDescent="0.35">
      <c r="B661" s="88">
        <v>28495</v>
      </c>
      <c r="C661" s="88"/>
      <c r="D661" s="88"/>
      <c r="E661" s="88"/>
      <c r="F661" s="88"/>
      <c r="G661" s="88"/>
      <c r="H661" s="88"/>
      <c r="I661" s="88"/>
      <c r="J661" s="88"/>
      <c r="K661" s="88"/>
      <c r="L661" s="88"/>
    </row>
    <row r="662" spans="2:12" x14ac:dyDescent="0.35">
      <c r="B662" s="89">
        <v>28595</v>
      </c>
      <c r="C662" s="89"/>
      <c r="D662" s="89"/>
      <c r="E662" s="89"/>
      <c r="F662" s="89"/>
      <c r="G662" s="89"/>
      <c r="H662" s="89"/>
      <c r="I662" s="89"/>
      <c r="J662" s="89"/>
      <c r="K662" s="89"/>
      <c r="L662" s="89"/>
    </row>
    <row r="663" spans="2:12" x14ac:dyDescent="0.35">
      <c r="B663" s="88">
        <v>28695</v>
      </c>
      <c r="C663" s="88"/>
      <c r="D663" s="88"/>
      <c r="E663" s="88"/>
      <c r="F663" s="88"/>
      <c r="G663" s="88"/>
      <c r="H663" s="88"/>
      <c r="I663" s="88"/>
      <c r="J663" s="88"/>
      <c r="K663" s="88"/>
      <c r="L663" s="88"/>
    </row>
    <row r="664" spans="2:12" x14ac:dyDescent="0.35">
      <c r="B664" s="89">
        <v>28795</v>
      </c>
      <c r="C664" s="89"/>
      <c r="D664" s="89"/>
      <c r="E664" s="89"/>
      <c r="F664" s="89"/>
      <c r="G664" s="89"/>
      <c r="H664" s="89"/>
      <c r="I664" s="89"/>
      <c r="J664" s="89"/>
      <c r="K664" s="89"/>
      <c r="L664" s="89"/>
    </row>
    <row r="665" spans="2:12" x14ac:dyDescent="0.35">
      <c r="B665" s="88">
        <v>28895</v>
      </c>
      <c r="C665" s="88"/>
      <c r="D665" s="88"/>
      <c r="E665" s="88"/>
      <c r="F665" s="88"/>
      <c r="G665" s="88"/>
      <c r="H665" s="88"/>
      <c r="I665" s="88"/>
      <c r="J665" s="88"/>
      <c r="K665" s="88"/>
      <c r="L665" s="88"/>
    </row>
    <row r="666" spans="2:12" x14ac:dyDescent="0.35">
      <c r="B666" s="89">
        <v>28995</v>
      </c>
      <c r="C666" s="89"/>
      <c r="D666" s="89"/>
      <c r="E666" s="89"/>
      <c r="F666" s="89"/>
      <c r="G666" s="89"/>
      <c r="H666" s="89"/>
      <c r="I666" s="89"/>
      <c r="J666" s="89"/>
      <c r="K666" s="89"/>
      <c r="L666" s="89"/>
    </row>
    <row r="667" spans="2:12" x14ac:dyDescent="0.35">
      <c r="B667" s="88">
        <v>29095</v>
      </c>
      <c r="C667" s="88"/>
      <c r="D667" s="88"/>
      <c r="E667" s="88"/>
      <c r="F667" s="88"/>
      <c r="G667" s="88"/>
      <c r="H667" s="88"/>
      <c r="I667" s="88"/>
      <c r="J667" s="88"/>
      <c r="K667" s="88"/>
      <c r="L667" s="88"/>
    </row>
    <row r="668" spans="2:12" x14ac:dyDescent="0.35">
      <c r="B668" s="89">
        <v>29195</v>
      </c>
      <c r="C668" s="89"/>
      <c r="D668" s="89"/>
      <c r="E668" s="89"/>
      <c r="F668" s="89"/>
      <c r="G668" s="89"/>
      <c r="H668" s="89"/>
      <c r="I668" s="89"/>
      <c r="J668" s="89"/>
      <c r="K668" s="89"/>
      <c r="L668" s="89"/>
    </row>
    <row r="669" spans="2:12" x14ac:dyDescent="0.35">
      <c r="B669" s="88">
        <v>29295</v>
      </c>
      <c r="C669" s="88"/>
      <c r="D669" s="88"/>
      <c r="E669" s="88"/>
      <c r="F669" s="88"/>
      <c r="G669" s="88"/>
      <c r="H669" s="88"/>
      <c r="I669" s="88"/>
      <c r="J669" s="88"/>
      <c r="K669" s="88"/>
      <c r="L669" s="88"/>
    </row>
    <row r="670" spans="2:12" x14ac:dyDescent="0.35">
      <c r="B670" s="89">
        <v>29395</v>
      </c>
      <c r="C670" s="89"/>
      <c r="D670" s="89"/>
      <c r="E670" s="89"/>
      <c r="F670" s="89"/>
      <c r="G670" s="89"/>
      <c r="H670" s="89"/>
      <c r="I670" s="89"/>
      <c r="J670" s="89"/>
      <c r="K670" s="89"/>
      <c r="L670" s="89"/>
    </row>
    <row r="671" spans="2:12" x14ac:dyDescent="0.35">
      <c r="B671" s="88">
        <v>29495</v>
      </c>
      <c r="C671" s="88"/>
      <c r="D671" s="88"/>
      <c r="E671" s="88"/>
      <c r="F671" s="88"/>
      <c r="G671" s="88"/>
      <c r="H671" s="88"/>
      <c r="I671" s="88"/>
      <c r="J671" s="88"/>
      <c r="K671" s="88"/>
      <c r="L671" s="88"/>
    </row>
    <row r="672" spans="2:12" x14ac:dyDescent="0.35">
      <c r="B672" s="89">
        <v>29595</v>
      </c>
      <c r="C672" s="89"/>
      <c r="D672" s="89"/>
      <c r="E672" s="89"/>
      <c r="F672" s="89"/>
      <c r="G672" s="89"/>
      <c r="H672" s="89"/>
      <c r="I672" s="89"/>
      <c r="J672" s="89"/>
      <c r="K672" s="89"/>
      <c r="L672" s="89"/>
    </row>
    <row r="673" spans="2:12" x14ac:dyDescent="0.35">
      <c r="B673" s="88">
        <v>29695</v>
      </c>
      <c r="C673" s="88"/>
      <c r="D673" s="88"/>
      <c r="E673" s="88"/>
      <c r="F673" s="88"/>
      <c r="G673" s="88"/>
      <c r="H673" s="88"/>
      <c r="I673" s="88"/>
      <c r="J673" s="88"/>
      <c r="K673" s="88"/>
      <c r="L673" s="88"/>
    </row>
    <row r="674" spans="2:12" x14ac:dyDescent="0.35">
      <c r="B674" s="89">
        <v>29795</v>
      </c>
      <c r="C674" s="89"/>
      <c r="D674" s="89"/>
      <c r="E674" s="89"/>
      <c r="F674" s="89"/>
      <c r="G674" s="89"/>
      <c r="H674" s="89"/>
      <c r="I674" s="89"/>
      <c r="J674" s="89"/>
      <c r="K674" s="89"/>
      <c r="L674" s="89"/>
    </row>
    <row r="675" spans="2:12" x14ac:dyDescent="0.35">
      <c r="B675" s="88">
        <v>29895</v>
      </c>
      <c r="C675" s="88"/>
      <c r="D675" s="88"/>
      <c r="E675" s="88"/>
      <c r="F675" s="88"/>
      <c r="G675" s="88"/>
      <c r="H675" s="88"/>
      <c r="I675" s="88"/>
      <c r="J675" s="88"/>
      <c r="K675" s="88"/>
      <c r="L675" s="88"/>
    </row>
    <row r="676" spans="2:12" x14ac:dyDescent="0.35">
      <c r="B676" s="89">
        <v>29995</v>
      </c>
      <c r="C676" s="89"/>
      <c r="D676" s="89"/>
      <c r="E676" s="89"/>
      <c r="F676" s="89"/>
      <c r="G676" s="89"/>
      <c r="H676" s="89"/>
      <c r="I676" s="89"/>
      <c r="J676" s="89"/>
      <c r="K676" s="89"/>
      <c r="L676" s="89"/>
    </row>
    <row r="677" spans="2:12" x14ac:dyDescent="0.35">
      <c r="B677" s="88">
        <v>30095</v>
      </c>
      <c r="C677" s="88"/>
      <c r="D677" s="88"/>
      <c r="E677" s="88"/>
      <c r="F677" s="88"/>
      <c r="G677" s="88"/>
      <c r="H677" s="88"/>
      <c r="I677" s="88"/>
      <c r="J677" s="88"/>
      <c r="K677" s="88"/>
      <c r="L677" s="88"/>
    </row>
    <row r="678" spans="2:12" x14ac:dyDescent="0.35">
      <c r="B678" s="89">
        <v>30195</v>
      </c>
      <c r="C678" s="89"/>
      <c r="D678" s="89"/>
      <c r="E678" s="89"/>
      <c r="F678" s="89"/>
      <c r="G678" s="89"/>
      <c r="H678" s="89"/>
      <c r="I678" s="89"/>
      <c r="J678" s="89"/>
      <c r="K678" s="89"/>
      <c r="L678" s="89"/>
    </row>
    <row r="679" spans="2:12" x14ac:dyDescent="0.35">
      <c r="B679" s="88">
        <v>30295</v>
      </c>
      <c r="C679" s="88"/>
      <c r="D679" s="88"/>
      <c r="E679" s="88"/>
      <c r="F679" s="88"/>
      <c r="G679" s="88"/>
      <c r="H679" s="88"/>
      <c r="I679" s="88"/>
      <c r="J679" s="88"/>
      <c r="K679" s="88"/>
      <c r="L679" s="88"/>
    </row>
    <row r="680" spans="2:12" x14ac:dyDescent="0.35">
      <c r="B680" s="89">
        <v>30395</v>
      </c>
      <c r="C680" s="89"/>
      <c r="D680" s="89"/>
      <c r="E680" s="89"/>
      <c r="F680" s="89"/>
      <c r="G680" s="89"/>
      <c r="H680" s="89"/>
      <c r="I680" s="89"/>
      <c r="J680" s="89"/>
      <c r="K680" s="89"/>
      <c r="L680" s="89"/>
    </row>
    <row r="681" spans="2:12" x14ac:dyDescent="0.35">
      <c r="B681" s="88">
        <v>30495</v>
      </c>
      <c r="C681" s="88"/>
      <c r="D681" s="88"/>
      <c r="E681" s="88"/>
      <c r="F681" s="88"/>
      <c r="G681" s="88"/>
      <c r="H681" s="88"/>
      <c r="I681" s="88"/>
      <c r="J681" s="88"/>
      <c r="K681" s="88"/>
      <c r="L681" s="88"/>
    </row>
    <row r="682" spans="2:12" x14ac:dyDescent="0.35">
      <c r="B682" s="89">
        <v>30595</v>
      </c>
      <c r="C682" s="89"/>
      <c r="D682" s="89"/>
      <c r="E682" s="89"/>
      <c r="F682" s="89"/>
      <c r="G682" s="89"/>
      <c r="H682" s="89"/>
      <c r="I682" s="89"/>
      <c r="J682" s="89"/>
      <c r="K682" s="89"/>
      <c r="L682" s="89"/>
    </row>
    <row r="683" spans="2:12" x14ac:dyDescent="0.35">
      <c r="B683" s="88">
        <v>30695</v>
      </c>
      <c r="C683" s="88"/>
      <c r="D683" s="88"/>
      <c r="E683" s="88"/>
      <c r="F683" s="88"/>
      <c r="G683" s="88"/>
      <c r="H683" s="88"/>
      <c r="I683" s="88"/>
      <c r="J683" s="88"/>
      <c r="K683" s="88"/>
      <c r="L683" s="88"/>
    </row>
    <row r="684" spans="2:12" x14ac:dyDescent="0.35">
      <c r="B684" s="89">
        <v>30795</v>
      </c>
      <c r="C684" s="89"/>
      <c r="D684" s="89"/>
      <c r="E684" s="89"/>
      <c r="F684" s="89"/>
      <c r="G684" s="89"/>
      <c r="H684" s="89"/>
      <c r="I684" s="89"/>
      <c r="J684" s="89"/>
      <c r="K684" s="89"/>
      <c r="L684" s="89"/>
    </row>
    <row r="685" spans="2:12" x14ac:dyDescent="0.35">
      <c r="B685" s="88">
        <v>30895</v>
      </c>
      <c r="C685" s="88"/>
      <c r="D685" s="88"/>
      <c r="E685" s="88"/>
      <c r="F685" s="88"/>
      <c r="G685" s="88"/>
      <c r="H685" s="88"/>
      <c r="I685" s="88"/>
      <c r="J685" s="88"/>
      <c r="K685" s="88"/>
      <c r="L685" s="88"/>
    </row>
    <row r="686" spans="2:12" x14ac:dyDescent="0.35">
      <c r="B686" s="89">
        <v>30995</v>
      </c>
      <c r="C686" s="89"/>
      <c r="D686" s="89"/>
      <c r="E686" s="89"/>
      <c r="F686" s="89"/>
      <c r="G686" s="89"/>
      <c r="H686" s="89"/>
      <c r="I686" s="89"/>
      <c r="J686" s="89"/>
      <c r="K686" s="89"/>
      <c r="L686" s="89"/>
    </row>
    <row r="687" spans="2:12" x14ac:dyDescent="0.35">
      <c r="B687" s="88">
        <v>31095</v>
      </c>
      <c r="C687" s="88"/>
      <c r="D687" s="88"/>
      <c r="E687" s="88"/>
      <c r="F687" s="88"/>
      <c r="G687" s="88"/>
      <c r="H687" s="88"/>
      <c r="I687" s="88"/>
      <c r="J687" s="88"/>
      <c r="K687" s="88"/>
      <c r="L687" s="88"/>
    </row>
    <row r="688" spans="2:12" x14ac:dyDescent="0.35">
      <c r="B688" s="89">
        <v>31195</v>
      </c>
      <c r="C688" s="89"/>
      <c r="D688" s="89"/>
      <c r="E688" s="89"/>
      <c r="F688" s="89"/>
      <c r="G688" s="89"/>
      <c r="H688" s="89"/>
      <c r="I688" s="89"/>
      <c r="J688" s="89"/>
      <c r="K688" s="89"/>
      <c r="L688" s="89"/>
    </row>
    <row r="689" spans="2:12" x14ac:dyDescent="0.35">
      <c r="B689" s="88">
        <v>31295</v>
      </c>
      <c r="C689" s="88"/>
      <c r="D689" s="88"/>
      <c r="E689" s="88"/>
      <c r="F689" s="88"/>
      <c r="G689" s="88"/>
      <c r="H689" s="88"/>
      <c r="I689" s="88"/>
      <c r="J689" s="88"/>
      <c r="K689" s="88"/>
      <c r="L689" s="88"/>
    </row>
    <row r="690" spans="2:12" x14ac:dyDescent="0.35">
      <c r="B690" s="89">
        <v>31395</v>
      </c>
      <c r="C690" s="89"/>
      <c r="D690" s="89"/>
      <c r="E690" s="89"/>
      <c r="F690" s="89"/>
      <c r="G690" s="89"/>
      <c r="H690" s="89"/>
      <c r="I690" s="89"/>
      <c r="J690" s="89"/>
      <c r="K690" s="89"/>
      <c r="L690" s="89"/>
    </row>
    <row r="691" spans="2:12" x14ac:dyDescent="0.35">
      <c r="B691" s="88">
        <v>31495</v>
      </c>
      <c r="C691" s="88"/>
      <c r="D691" s="88"/>
      <c r="E691" s="88"/>
      <c r="F691" s="88"/>
      <c r="G691" s="88"/>
      <c r="H691" s="88"/>
      <c r="I691" s="88"/>
      <c r="J691" s="88"/>
      <c r="K691" s="88"/>
      <c r="L691" s="88"/>
    </row>
    <row r="692" spans="2:12" x14ac:dyDescent="0.35">
      <c r="B692" s="89">
        <v>31595</v>
      </c>
      <c r="C692" s="89"/>
      <c r="D692" s="89"/>
      <c r="E692" s="89"/>
      <c r="F692" s="89"/>
      <c r="G692" s="89"/>
      <c r="H692" s="89"/>
      <c r="I692" s="89"/>
      <c r="J692" s="89"/>
      <c r="K692" s="89"/>
      <c r="L692" s="89"/>
    </row>
    <row r="693" spans="2:12" x14ac:dyDescent="0.35">
      <c r="B693" s="88">
        <v>31695</v>
      </c>
      <c r="C693" s="88"/>
      <c r="D693" s="88"/>
      <c r="E693" s="88"/>
      <c r="F693" s="88"/>
      <c r="G693" s="88"/>
      <c r="H693" s="88"/>
      <c r="I693" s="88"/>
      <c r="J693" s="88"/>
      <c r="K693" s="88"/>
      <c r="L693" s="88"/>
    </row>
    <row r="694" spans="2:12" x14ac:dyDescent="0.35">
      <c r="B694" s="89">
        <v>31795</v>
      </c>
      <c r="C694" s="89"/>
      <c r="D694" s="89"/>
      <c r="E694" s="89"/>
      <c r="F694" s="89"/>
      <c r="G694" s="89"/>
      <c r="H694" s="89"/>
      <c r="I694" s="89"/>
      <c r="J694" s="89"/>
      <c r="K694" s="89"/>
      <c r="L694" s="89"/>
    </row>
    <row r="695" spans="2:12" x14ac:dyDescent="0.35">
      <c r="B695" s="88">
        <v>31895</v>
      </c>
      <c r="C695" s="88"/>
      <c r="D695" s="88"/>
      <c r="E695" s="88"/>
      <c r="F695" s="88"/>
      <c r="G695" s="88"/>
      <c r="H695" s="88"/>
      <c r="I695" s="88"/>
      <c r="J695" s="88"/>
      <c r="K695" s="88"/>
      <c r="L695" s="88"/>
    </row>
    <row r="696" spans="2:12" x14ac:dyDescent="0.35">
      <c r="B696" s="89">
        <v>31995</v>
      </c>
      <c r="C696" s="89"/>
      <c r="D696" s="89"/>
      <c r="E696" s="89"/>
      <c r="F696" s="89"/>
      <c r="G696" s="89"/>
      <c r="H696" s="89"/>
      <c r="I696" s="89"/>
      <c r="J696" s="89"/>
      <c r="K696" s="89"/>
      <c r="L696" s="89"/>
    </row>
    <row r="697" spans="2:12" x14ac:dyDescent="0.35">
      <c r="B697" s="88">
        <v>32095</v>
      </c>
      <c r="C697" s="88"/>
      <c r="D697" s="88"/>
      <c r="E697" s="88"/>
      <c r="F697" s="88"/>
      <c r="G697" s="88"/>
      <c r="H697" s="88"/>
      <c r="I697" s="88"/>
      <c r="J697" s="88"/>
      <c r="K697" s="88"/>
      <c r="L697" s="88"/>
    </row>
    <row r="698" spans="2:12" x14ac:dyDescent="0.35">
      <c r="B698" s="89">
        <v>32195</v>
      </c>
      <c r="C698" s="89"/>
      <c r="D698" s="89"/>
      <c r="E698" s="89"/>
      <c r="F698" s="89"/>
      <c r="G698" s="89"/>
      <c r="H698" s="89"/>
      <c r="I698" s="89"/>
      <c r="J698" s="89"/>
      <c r="K698" s="89"/>
      <c r="L698" s="89"/>
    </row>
    <row r="699" spans="2:12" x14ac:dyDescent="0.35">
      <c r="B699" s="88">
        <v>32295</v>
      </c>
      <c r="C699" s="88"/>
      <c r="D699" s="88"/>
      <c r="E699" s="88"/>
      <c r="F699" s="88"/>
      <c r="G699" s="88"/>
      <c r="H699" s="88"/>
      <c r="I699" s="88"/>
      <c r="J699" s="88"/>
      <c r="K699" s="88"/>
      <c r="L699" s="88"/>
    </row>
    <row r="700" spans="2:12" x14ac:dyDescent="0.35">
      <c r="B700" s="89">
        <v>32395</v>
      </c>
      <c r="C700" s="89"/>
      <c r="D700" s="89"/>
      <c r="E700" s="89"/>
      <c r="F700" s="89"/>
      <c r="G700" s="89"/>
      <c r="H700" s="89"/>
      <c r="I700" s="89"/>
      <c r="J700" s="89"/>
      <c r="K700" s="89"/>
      <c r="L700" s="89"/>
    </row>
    <row r="701" spans="2:12" x14ac:dyDescent="0.35">
      <c r="B701" s="88">
        <v>32495</v>
      </c>
      <c r="C701" s="88"/>
      <c r="D701" s="88"/>
      <c r="E701" s="88"/>
      <c r="F701" s="88"/>
      <c r="G701" s="88"/>
      <c r="H701" s="88"/>
      <c r="I701" s="88"/>
      <c r="J701" s="88"/>
      <c r="K701" s="88"/>
      <c r="L701" s="88"/>
    </row>
    <row r="702" spans="2:12" x14ac:dyDescent="0.35">
      <c r="B702" s="89">
        <v>32595</v>
      </c>
      <c r="C702" s="89"/>
      <c r="D702" s="89"/>
      <c r="E702" s="89"/>
      <c r="F702" s="89"/>
      <c r="G702" s="89"/>
      <c r="H702" s="89"/>
      <c r="I702" s="89"/>
      <c r="J702" s="89"/>
      <c r="K702" s="89"/>
      <c r="L702" s="89"/>
    </row>
    <row r="703" spans="2:12" x14ac:dyDescent="0.35">
      <c r="B703" s="88">
        <v>32695</v>
      </c>
      <c r="C703" s="88"/>
      <c r="D703" s="88"/>
      <c r="E703" s="88"/>
      <c r="F703" s="88"/>
      <c r="G703" s="88"/>
      <c r="H703" s="88"/>
      <c r="I703" s="88"/>
      <c r="J703" s="88"/>
      <c r="K703" s="88"/>
      <c r="L703" s="88"/>
    </row>
    <row r="704" spans="2:12" x14ac:dyDescent="0.35">
      <c r="B704" s="89">
        <v>32795</v>
      </c>
      <c r="C704" s="89"/>
      <c r="D704" s="89"/>
      <c r="E704" s="89"/>
      <c r="F704" s="89"/>
      <c r="G704" s="89"/>
      <c r="H704" s="89"/>
      <c r="I704" s="89"/>
      <c r="J704" s="89"/>
      <c r="K704" s="89"/>
      <c r="L704" s="89"/>
    </row>
    <row r="705" spans="2:12" x14ac:dyDescent="0.35">
      <c r="B705" s="88">
        <v>32895</v>
      </c>
      <c r="C705" s="88"/>
      <c r="D705" s="88"/>
      <c r="E705" s="88"/>
      <c r="F705" s="88"/>
      <c r="G705" s="88"/>
      <c r="H705" s="88"/>
      <c r="I705" s="88"/>
      <c r="J705" s="88"/>
      <c r="K705" s="88"/>
      <c r="L705" s="88"/>
    </row>
    <row r="706" spans="2:12" x14ac:dyDescent="0.35">
      <c r="B706" s="89">
        <v>32995</v>
      </c>
      <c r="C706" s="89"/>
      <c r="D706" s="89"/>
      <c r="E706" s="89"/>
      <c r="F706" s="89"/>
      <c r="G706" s="89"/>
      <c r="H706" s="89"/>
      <c r="I706" s="89"/>
      <c r="J706" s="89"/>
      <c r="K706" s="89"/>
      <c r="L706" s="89"/>
    </row>
    <row r="707" spans="2:12" x14ac:dyDescent="0.35">
      <c r="B707" s="88">
        <v>33095</v>
      </c>
      <c r="C707" s="88"/>
      <c r="D707" s="88"/>
      <c r="E707" s="88"/>
      <c r="F707" s="88"/>
      <c r="G707" s="88"/>
      <c r="H707" s="88"/>
      <c r="I707" s="88"/>
      <c r="J707" s="88"/>
      <c r="K707" s="88"/>
      <c r="L707" s="88"/>
    </row>
    <row r="708" spans="2:12" x14ac:dyDescent="0.35">
      <c r="B708" s="89">
        <v>33195</v>
      </c>
      <c r="C708" s="89"/>
      <c r="D708" s="89"/>
      <c r="E708" s="89"/>
      <c r="F708" s="89"/>
      <c r="G708" s="89"/>
      <c r="H708" s="89"/>
      <c r="I708" s="89"/>
      <c r="J708" s="89"/>
      <c r="K708" s="89"/>
      <c r="L708" s="89"/>
    </row>
    <row r="709" spans="2:12" x14ac:dyDescent="0.35">
      <c r="B709" s="88">
        <v>33295</v>
      </c>
      <c r="C709" s="88"/>
      <c r="D709" s="88"/>
      <c r="E709" s="88"/>
      <c r="F709" s="88"/>
      <c r="G709" s="88"/>
      <c r="H709" s="88"/>
      <c r="I709" s="88"/>
      <c r="J709" s="88"/>
      <c r="K709" s="88"/>
      <c r="L709" s="88"/>
    </row>
    <row r="710" spans="2:12" x14ac:dyDescent="0.35">
      <c r="B710" s="89">
        <v>33395</v>
      </c>
      <c r="C710" s="89"/>
      <c r="D710" s="89"/>
      <c r="E710" s="89"/>
      <c r="F710" s="89"/>
      <c r="G710" s="89"/>
      <c r="H710" s="89"/>
      <c r="I710" s="89"/>
      <c r="J710" s="89"/>
      <c r="K710" s="89"/>
      <c r="L710" s="89"/>
    </row>
    <row r="711" spans="2:12" x14ac:dyDescent="0.35">
      <c r="B711" s="88">
        <v>33495</v>
      </c>
      <c r="C711" s="88"/>
      <c r="D711" s="88"/>
      <c r="E711" s="88"/>
      <c r="F711" s="88"/>
      <c r="G711" s="88"/>
      <c r="H711" s="88"/>
      <c r="I711" s="88"/>
      <c r="J711" s="88"/>
      <c r="K711" s="88"/>
      <c r="L711" s="88"/>
    </row>
    <row r="712" spans="2:12" x14ac:dyDescent="0.35">
      <c r="B712" s="89">
        <v>33595</v>
      </c>
      <c r="C712" s="89"/>
      <c r="D712" s="89"/>
      <c r="E712" s="89"/>
      <c r="F712" s="89"/>
      <c r="G712" s="89"/>
      <c r="H712" s="89"/>
      <c r="I712" s="89"/>
      <c r="J712" s="89"/>
      <c r="K712" s="89"/>
      <c r="L712" s="89"/>
    </row>
    <row r="713" spans="2:12" x14ac:dyDescent="0.35">
      <c r="B713" s="88">
        <v>33695</v>
      </c>
      <c r="C713" s="88"/>
      <c r="D713" s="88"/>
      <c r="E713" s="88"/>
      <c r="F713" s="88"/>
      <c r="G713" s="88"/>
      <c r="H713" s="88"/>
      <c r="I713" s="88"/>
      <c r="J713" s="88"/>
      <c r="K713" s="88"/>
      <c r="L713" s="88"/>
    </row>
    <row r="714" spans="2:12" x14ac:dyDescent="0.35">
      <c r="B714" s="89">
        <v>33795</v>
      </c>
      <c r="C714" s="89"/>
      <c r="D714" s="89"/>
      <c r="E714" s="89"/>
      <c r="F714" s="89"/>
      <c r="G714" s="89"/>
      <c r="H714" s="89"/>
      <c r="I714" s="89"/>
      <c r="J714" s="89"/>
      <c r="K714" s="89"/>
      <c r="L714" s="89"/>
    </row>
    <row r="715" spans="2:12" x14ac:dyDescent="0.35">
      <c r="B715" s="88">
        <v>33895</v>
      </c>
      <c r="C715" s="88"/>
      <c r="D715" s="88"/>
      <c r="E715" s="88"/>
      <c r="F715" s="88"/>
      <c r="G715" s="88"/>
      <c r="H715" s="88"/>
      <c r="I715" s="88"/>
      <c r="J715" s="88"/>
      <c r="K715" s="88"/>
      <c r="L715" s="88"/>
    </row>
    <row r="716" spans="2:12" x14ac:dyDescent="0.35">
      <c r="B716" s="89">
        <v>33995</v>
      </c>
      <c r="C716" s="89"/>
      <c r="D716" s="89"/>
      <c r="E716" s="89"/>
      <c r="F716" s="89"/>
      <c r="G716" s="89"/>
      <c r="H716" s="89"/>
      <c r="I716" s="89"/>
      <c r="J716" s="89"/>
      <c r="K716" s="89"/>
      <c r="L716" s="89"/>
    </row>
    <row r="717" spans="2:12" x14ac:dyDescent="0.35">
      <c r="B717" s="88">
        <v>34095</v>
      </c>
      <c r="C717" s="88"/>
      <c r="D717" s="88"/>
      <c r="E717" s="88"/>
      <c r="F717" s="88"/>
      <c r="G717" s="88"/>
      <c r="H717" s="88"/>
      <c r="I717" s="88"/>
      <c r="J717" s="88"/>
      <c r="K717" s="88"/>
      <c r="L717" s="88"/>
    </row>
    <row r="718" spans="2:12" x14ac:dyDescent="0.35">
      <c r="B718" s="89">
        <v>34195</v>
      </c>
      <c r="C718" s="89"/>
      <c r="D718" s="89"/>
      <c r="E718" s="89"/>
      <c r="F718" s="89"/>
      <c r="G718" s="89"/>
      <c r="H718" s="89"/>
      <c r="I718" s="89"/>
      <c r="J718" s="89"/>
      <c r="K718" s="89"/>
      <c r="L718" s="89"/>
    </row>
    <row r="719" spans="2:12" x14ac:dyDescent="0.35">
      <c r="B719" s="88">
        <v>34295</v>
      </c>
      <c r="C719" s="88"/>
      <c r="D719" s="88"/>
      <c r="E719" s="88"/>
      <c r="F719" s="88"/>
      <c r="G719" s="88"/>
      <c r="H719" s="88"/>
      <c r="I719" s="88"/>
      <c r="J719" s="88"/>
      <c r="K719" s="88"/>
      <c r="L719" s="88"/>
    </row>
    <row r="720" spans="2:12" x14ac:dyDescent="0.35">
      <c r="B720" s="89">
        <v>34395</v>
      </c>
      <c r="C720" s="89"/>
      <c r="D720" s="89"/>
      <c r="E720" s="89"/>
      <c r="F720" s="89"/>
      <c r="G720" s="89"/>
      <c r="H720" s="89"/>
      <c r="I720" s="89"/>
      <c r="J720" s="89"/>
      <c r="K720" s="89"/>
      <c r="L720" s="89"/>
    </row>
    <row r="721" spans="2:12" x14ac:dyDescent="0.35">
      <c r="B721" s="88">
        <v>34495</v>
      </c>
      <c r="C721" s="88"/>
      <c r="D721" s="88"/>
      <c r="E721" s="88"/>
      <c r="F721" s="88"/>
      <c r="G721" s="88"/>
      <c r="H721" s="88"/>
      <c r="I721" s="88"/>
      <c r="J721" s="88"/>
      <c r="K721" s="88"/>
      <c r="L721" s="88"/>
    </row>
    <row r="722" spans="2:12" x14ac:dyDescent="0.35">
      <c r="B722" s="89">
        <v>34595</v>
      </c>
      <c r="C722" s="89"/>
      <c r="D722" s="89"/>
      <c r="E722" s="89"/>
      <c r="F722" s="89"/>
      <c r="G722" s="89"/>
      <c r="H722" s="89"/>
      <c r="I722" s="89"/>
      <c r="J722" s="89"/>
      <c r="K722" s="89"/>
      <c r="L722" s="89"/>
    </row>
    <row r="723" spans="2:12" x14ac:dyDescent="0.35">
      <c r="B723" s="88">
        <v>34695</v>
      </c>
      <c r="C723" s="88"/>
      <c r="D723" s="88"/>
      <c r="E723" s="88"/>
      <c r="F723" s="88"/>
      <c r="G723" s="88"/>
      <c r="H723" s="88"/>
      <c r="I723" s="88"/>
      <c r="J723" s="88"/>
      <c r="K723" s="88"/>
      <c r="L723" s="88"/>
    </row>
    <row r="724" spans="2:12" x14ac:dyDescent="0.35">
      <c r="B724" s="89">
        <v>34795</v>
      </c>
      <c r="C724" s="89"/>
      <c r="D724" s="89"/>
      <c r="E724" s="89"/>
      <c r="F724" s="89"/>
      <c r="G724" s="89"/>
      <c r="H724" s="89"/>
      <c r="I724" s="89"/>
      <c r="J724" s="89"/>
      <c r="K724" s="89"/>
      <c r="L724" s="89"/>
    </row>
    <row r="725" spans="2:12" x14ac:dyDescent="0.35">
      <c r="B725" s="88">
        <v>34895</v>
      </c>
      <c r="C725" s="88"/>
      <c r="D725" s="88"/>
      <c r="E725" s="88"/>
      <c r="F725" s="88"/>
      <c r="G725" s="88"/>
      <c r="H725" s="88"/>
      <c r="I725" s="88"/>
      <c r="J725" s="88"/>
      <c r="K725" s="88"/>
      <c r="L725" s="88"/>
    </row>
    <row r="726" spans="2:12" x14ac:dyDescent="0.35">
      <c r="B726" s="89">
        <v>34995</v>
      </c>
      <c r="C726" s="89"/>
      <c r="D726" s="89"/>
      <c r="E726" s="89"/>
      <c r="F726" s="89"/>
      <c r="G726" s="89"/>
      <c r="H726" s="89"/>
      <c r="I726" s="89"/>
      <c r="J726" s="89"/>
      <c r="K726" s="89"/>
      <c r="L726" s="89"/>
    </row>
    <row r="727" spans="2:12" x14ac:dyDescent="0.35">
      <c r="B727" s="88">
        <v>35095</v>
      </c>
      <c r="C727" s="88"/>
      <c r="D727" s="88"/>
      <c r="E727" s="88"/>
      <c r="F727" s="88"/>
      <c r="G727" s="88"/>
      <c r="H727" s="88"/>
      <c r="I727" s="88"/>
      <c r="J727" s="88"/>
      <c r="K727" s="88"/>
      <c r="L727" s="88"/>
    </row>
    <row r="728" spans="2:12" x14ac:dyDescent="0.35">
      <c r="B728" s="89">
        <v>35195</v>
      </c>
      <c r="C728" s="89"/>
      <c r="D728" s="89"/>
      <c r="E728" s="89"/>
      <c r="F728" s="89"/>
      <c r="G728" s="89"/>
      <c r="H728" s="89"/>
      <c r="I728" s="89"/>
      <c r="J728" s="89"/>
      <c r="K728" s="89"/>
      <c r="L728" s="89"/>
    </row>
    <row r="729" spans="2:12" x14ac:dyDescent="0.35">
      <c r="B729" s="88">
        <v>35295</v>
      </c>
      <c r="C729" s="88"/>
      <c r="D729" s="88"/>
      <c r="E729" s="88"/>
      <c r="F729" s="88"/>
      <c r="G729" s="88"/>
      <c r="H729" s="88"/>
      <c r="I729" s="88"/>
      <c r="J729" s="88"/>
      <c r="K729" s="88"/>
      <c r="L729" s="88"/>
    </row>
    <row r="730" spans="2:12" x14ac:dyDescent="0.35">
      <c r="B730" s="89">
        <v>35395</v>
      </c>
      <c r="C730" s="89"/>
      <c r="D730" s="89"/>
      <c r="E730" s="89"/>
      <c r="F730" s="89"/>
      <c r="G730" s="89"/>
      <c r="H730" s="89"/>
      <c r="I730" s="89"/>
      <c r="J730" s="89"/>
      <c r="K730" s="89"/>
      <c r="L730" s="89"/>
    </row>
    <row r="731" spans="2:12" x14ac:dyDescent="0.35">
      <c r="B731" s="88">
        <v>35495</v>
      </c>
      <c r="C731" s="88"/>
      <c r="D731" s="88"/>
      <c r="E731" s="88"/>
      <c r="F731" s="88"/>
      <c r="G731" s="88"/>
      <c r="H731" s="88"/>
      <c r="I731" s="88"/>
      <c r="J731" s="88"/>
      <c r="K731" s="88"/>
      <c r="L731" s="88"/>
    </row>
    <row r="732" spans="2:12" x14ac:dyDescent="0.35">
      <c r="B732" s="89">
        <v>35595</v>
      </c>
      <c r="C732" s="89"/>
      <c r="D732" s="89"/>
      <c r="E732" s="89"/>
      <c r="F732" s="89"/>
      <c r="G732" s="89"/>
      <c r="H732" s="89"/>
      <c r="I732" s="89"/>
      <c r="J732" s="89"/>
      <c r="K732" s="89"/>
      <c r="L732" s="89"/>
    </row>
    <row r="733" spans="2:12" x14ac:dyDescent="0.35">
      <c r="B733" s="88">
        <v>35695</v>
      </c>
      <c r="C733" s="88"/>
      <c r="D733" s="88"/>
      <c r="E733" s="88"/>
      <c r="F733" s="88"/>
      <c r="G733" s="88"/>
      <c r="H733" s="88"/>
      <c r="I733" s="88"/>
      <c r="J733" s="88"/>
      <c r="K733" s="88"/>
      <c r="L733" s="88"/>
    </row>
    <row r="734" spans="2:12" x14ac:dyDescent="0.35">
      <c r="B734" s="89">
        <v>35795</v>
      </c>
      <c r="C734" s="89"/>
      <c r="D734" s="89"/>
      <c r="E734" s="89"/>
      <c r="F734" s="89"/>
      <c r="G734" s="89"/>
      <c r="H734" s="89"/>
      <c r="I734" s="89"/>
      <c r="J734" s="89"/>
      <c r="K734" s="89"/>
      <c r="L734" s="89"/>
    </row>
    <row r="735" spans="2:12" x14ac:dyDescent="0.35">
      <c r="B735" s="88">
        <v>35895</v>
      </c>
      <c r="C735" s="88"/>
      <c r="D735" s="88"/>
      <c r="E735" s="88"/>
      <c r="F735" s="88"/>
      <c r="G735" s="88"/>
      <c r="H735" s="88"/>
      <c r="I735" s="88"/>
      <c r="J735" s="88"/>
      <c r="K735" s="88"/>
      <c r="L735" s="88"/>
    </row>
    <row r="736" spans="2:12" x14ac:dyDescent="0.35">
      <c r="B736" s="89">
        <v>35995</v>
      </c>
      <c r="C736" s="89"/>
      <c r="D736" s="89"/>
      <c r="E736" s="89"/>
      <c r="F736" s="89"/>
      <c r="G736" s="89"/>
      <c r="H736" s="89"/>
      <c r="I736" s="89"/>
      <c r="J736" s="89"/>
      <c r="K736" s="89"/>
      <c r="L736" s="89"/>
    </row>
    <row r="737" spans="2:12" x14ac:dyDescent="0.35">
      <c r="B737" s="88">
        <v>36095</v>
      </c>
      <c r="C737" s="88"/>
      <c r="D737" s="88"/>
      <c r="E737" s="88"/>
      <c r="F737" s="88"/>
      <c r="G737" s="88"/>
      <c r="H737" s="88"/>
      <c r="I737" s="88"/>
      <c r="J737" s="88"/>
      <c r="K737" s="88"/>
      <c r="L737" s="88"/>
    </row>
    <row r="738" spans="2:12" x14ac:dyDescent="0.35">
      <c r="B738" s="89">
        <v>36195</v>
      </c>
      <c r="C738" s="89"/>
      <c r="D738" s="89"/>
      <c r="E738" s="89"/>
      <c r="F738" s="89"/>
      <c r="G738" s="89"/>
      <c r="H738" s="89"/>
      <c r="I738" s="89"/>
      <c r="J738" s="89"/>
      <c r="K738" s="89"/>
      <c r="L738" s="89"/>
    </row>
    <row r="739" spans="2:12" x14ac:dyDescent="0.35">
      <c r="B739" s="88">
        <v>36295</v>
      </c>
      <c r="C739" s="88"/>
      <c r="D739" s="88"/>
      <c r="E739" s="88"/>
      <c r="F739" s="88"/>
      <c r="G739" s="88"/>
      <c r="H739" s="88"/>
      <c r="I739" s="88"/>
      <c r="J739" s="88"/>
      <c r="K739" s="88"/>
      <c r="L739" s="88"/>
    </row>
    <row r="740" spans="2:12" x14ac:dyDescent="0.35">
      <c r="B740" s="89">
        <v>36395</v>
      </c>
      <c r="C740" s="89"/>
      <c r="D740" s="89"/>
      <c r="E740" s="89"/>
      <c r="F740" s="89"/>
      <c r="G740" s="89"/>
      <c r="H740" s="89"/>
      <c r="I740" s="89"/>
      <c r="J740" s="89"/>
      <c r="K740" s="89"/>
      <c r="L740" s="89"/>
    </row>
    <row r="741" spans="2:12" x14ac:dyDescent="0.35">
      <c r="B741" s="88">
        <v>36495</v>
      </c>
      <c r="C741" s="88"/>
      <c r="D741" s="88"/>
      <c r="E741" s="88"/>
      <c r="F741" s="88"/>
      <c r="G741" s="88"/>
      <c r="H741" s="88"/>
      <c r="I741" s="88"/>
      <c r="J741" s="88"/>
      <c r="K741" s="88"/>
      <c r="L741" s="88"/>
    </row>
    <row r="742" spans="2:12" x14ac:dyDescent="0.35">
      <c r="B742" s="89">
        <v>36595</v>
      </c>
      <c r="C742" s="89"/>
      <c r="D742" s="89"/>
      <c r="E742" s="89"/>
      <c r="F742" s="89"/>
      <c r="G742" s="89"/>
      <c r="H742" s="89"/>
      <c r="I742" s="89"/>
      <c r="J742" s="89"/>
      <c r="K742" s="89"/>
      <c r="L742" s="89"/>
    </row>
    <row r="743" spans="2:12" x14ac:dyDescent="0.35">
      <c r="B743" s="88">
        <v>36695</v>
      </c>
      <c r="C743" s="88"/>
      <c r="D743" s="88"/>
      <c r="E743" s="88"/>
      <c r="F743" s="88"/>
      <c r="G743" s="88"/>
      <c r="H743" s="88"/>
      <c r="I743" s="88"/>
      <c r="J743" s="88"/>
      <c r="K743" s="88"/>
      <c r="L743" s="88"/>
    </row>
    <row r="744" spans="2:12" x14ac:dyDescent="0.35">
      <c r="B744" s="89">
        <v>36795</v>
      </c>
      <c r="C744" s="89"/>
      <c r="D744" s="89"/>
      <c r="E744" s="89"/>
      <c r="F744" s="89"/>
      <c r="G744" s="89"/>
      <c r="H744" s="89"/>
      <c r="I744" s="89"/>
      <c r="J744" s="89"/>
      <c r="K744" s="89"/>
      <c r="L744" s="89"/>
    </row>
    <row r="745" spans="2:12" x14ac:dyDescent="0.35">
      <c r="B745" s="88">
        <v>36895</v>
      </c>
      <c r="C745" s="88"/>
      <c r="D745" s="88"/>
      <c r="E745" s="88"/>
      <c r="F745" s="88"/>
      <c r="G745" s="88"/>
      <c r="H745" s="88"/>
      <c r="I745" s="88"/>
      <c r="J745" s="88"/>
      <c r="K745" s="88"/>
      <c r="L745" s="88"/>
    </row>
    <row r="746" spans="2:12" x14ac:dyDescent="0.35">
      <c r="B746" s="89">
        <v>36995</v>
      </c>
      <c r="C746" s="89"/>
      <c r="D746" s="89"/>
      <c r="E746" s="89"/>
      <c r="F746" s="89"/>
      <c r="G746" s="89"/>
      <c r="H746" s="89"/>
      <c r="I746" s="89"/>
      <c r="J746" s="89"/>
      <c r="K746" s="89"/>
      <c r="L746" s="89"/>
    </row>
    <row r="747" spans="2:12" x14ac:dyDescent="0.35">
      <c r="B747" s="88">
        <v>37095</v>
      </c>
      <c r="C747" s="88"/>
      <c r="D747" s="88"/>
      <c r="E747" s="88"/>
      <c r="F747" s="88"/>
      <c r="G747" s="88"/>
      <c r="H747" s="88"/>
      <c r="I747" s="88"/>
      <c r="J747" s="88"/>
      <c r="K747" s="88"/>
      <c r="L747" s="88"/>
    </row>
    <row r="748" spans="2:12" x14ac:dyDescent="0.35">
      <c r="B748" s="89">
        <v>37195</v>
      </c>
      <c r="C748" s="89"/>
      <c r="D748" s="89"/>
      <c r="E748" s="89"/>
      <c r="F748" s="89"/>
      <c r="G748" s="89"/>
      <c r="H748" s="89"/>
      <c r="I748" s="89"/>
      <c r="J748" s="89"/>
      <c r="K748" s="89"/>
      <c r="L748" s="89"/>
    </row>
    <row r="749" spans="2:12" x14ac:dyDescent="0.35">
      <c r="B749" s="88">
        <v>37295</v>
      </c>
      <c r="C749" s="88"/>
      <c r="D749" s="88"/>
      <c r="E749" s="88"/>
      <c r="F749" s="88"/>
      <c r="G749" s="88"/>
      <c r="H749" s="88"/>
      <c r="I749" s="88"/>
      <c r="J749" s="88"/>
      <c r="K749" s="88"/>
      <c r="L749" s="88"/>
    </row>
    <row r="750" spans="2:12" x14ac:dyDescent="0.35">
      <c r="B750" s="89">
        <v>37395</v>
      </c>
      <c r="C750" s="89"/>
      <c r="D750" s="89"/>
      <c r="E750" s="89"/>
      <c r="F750" s="89"/>
      <c r="G750" s="89"/>
      <c r="H750" s="89"/>
      <c r="I750" s="89"/>
      <c r="J750" s="89"/>
      <c r="K750" s="89"/>
      <c r="L750" s="89"/>
    </row>
    <row r="751" spans="2:12" x14ac:dyDescent="0.35">
      <c r="B751" s="88">
        <v>37495</v>
      </c>
      <c r="C751" s="88"/>
      <c r="D751" s="88"/>
      <c r="E751" s="88"/>
      <c r="F751" s="88"/>
      <c r="G751" s="88"/>
      <c r="H751" s="88"/>
      <c r="I751" s="88"/>
      <c r="J751" s="88"/>
      <c r="K751" s="88"/>
      <c r="L751" s="88"/>
    </row>
    <row r="752" spans="2:12" x14ac:dyDescent="0.35">
      <c r="B752" s="89">
        <v>37595</v>
      </c>
      <c r="C752" s="89"/>
      <c r="D752" s="89"/>
      <c r="E752" s="89"/>
      <c r="F752" s="89"/>
      <c r="G752" s="89"/>
      <c r="H752" s="89"/>
      <c r="I752" s="89"/>
      <c r="J752" s="89"/>
      <c r="K752" s="89"/>
      <c r="L752" s="89"/>
    </row>
    <row r="753" spans="2:12" x14ac:dyDescent="0.35">
      <c r="B753" s="88">
        <v>37695</v>
      </c>
      <c r="C753" s="88"/>
      <c r="D753" s="88"/>
      <c r="E753" s="88"/>
      <c r="F753" s="88"/>
      <c r="G753" s="88"/>
      <c r="H753" s="88"/>
      <c r="I753" s="88"/>
      <c r="J753" s="88"/>
      <c r="K753" s="88"/>
      <c r="L753" s="88"/>
    </row>
    <row r="754" spans="2:12" x14ac:dyDescent="0.35">
      <c r="B754" s="89">
        <v>37795</v>
      </c>
      <c r="C754" s="89"/>
      <c r="D754" s="89"/>
      <c r="E754" s="89"/>
      <c r="F754" s="89"/>
      <c r="G754" s="89"/>
      <c r="H754" s="89"/>
      <c r="I754" s="89"/>
      <c r="J754" s="89"/>
      <c r="K754" s="89"/>
      <c r="L754" s="89"/>
    </row>
    <row r="755" spans="2:12" x14ac:dyDescent="0.35">
      <c r="B755" s="88">
        <v>37895</v>
      </c>
      <c r="C755" s="88"/>
      <c r="D755" s="88"/>
      <c r="E755" s="88"/>
      <c r="F755" s="88"/>
      <c r="G755" s="88"/>
      <c r="H755" s="88"/>
      <c r="I755" s="88"/>
      <c r="J755" s="88"/>
      <c r="K755" s="88"/>
      <c r="L755" s="88"/>
    </row>
    <row r="756" spans="2:12" x14ac:dyDescent="0.35">
      <c r="B756" s="89">
        <v>37995</v>
      </c>
      <c r="C756" s="89"/>
      <c r="D756" s="89"/>
      <c r="E756" s="89"/>
      <c r="F756" s="89"/>
      <c r="G756" s="89"/>
      <c r="H756" s="89"/>
      <c r="I756" s="89"/>
      <c r="J756" s="89"/>
      <c r="K756" s="89"/>
      <c r="L756" s="89"/>
    </row>
    <row r="757" spans="2:12" x14ac:dyDescent="0.35">
      <c r="B757" s="88">
        <v>38095</v>
      </c>
      <c r="C757" s="88"/>
      <c r="D757" s="88"/>
      <c r="E757" s="88"/>
      <c r="F757" s="88"/>
      <c r="G757" s="88"/>
      <c r="H757" s="88"/>
      <c r="I757" s="88"/>
      <c r="J757" s="88"/>
      <c r="K757" s="88"/>
      <c r="L757" s="88"/>
    </row>
    <row r="758" spans="2:12" x14ac:dyDescent="0.35">
      <c r="B758" s="89">
        <v>38195</v>
      </c>
      <c r="C758" s="89"/>
      <c r="D758" s="89"/>
      <c r="E758" s="89"/>
      <c r="F758" s="89"/>
      <c r="G758" s="89"/>
      <c r="H758" s="89"/>
      <c r="I758" s="89"/>
      <c r="J758" s="89"/>
      <c r="K758" s="89"/>
      <c r="L758" s="89"/>
    </row>
    <row r="759" spans="2:12" x14ac:dyDescent="0.35">
      <c r="B759" s="88">
        <v>38295</v>
      </c>
      <c r="C759" s="88"/>
      <c r="D759" s="88"/>
      <c r="E759" s="88"/>
      <c r="F759" s="88"/>
      <c r="G759" s="88"/>
      <c r="H759" s="88"/>
      <c r="I759" s="88"/>
      <c r="J759" s="88"/>
      <c r="K759" s="88"/>
      <c r="L759" s="88"/>
    </row>
    <row r="760" spans="2:12" x14ac:dyDescent="0.35">
      <c r="B760" s="89">
        <v>38395</v>
      </c>
      <c r="C760" s="89"/>
      <c r="D760" s="89"/>
      <c r="E760" s="89"/>
      <c r="F760" s="89"/>
      <c r="G760" s="89"/>
      <c r="H760" s="89"/>
      <c r="I760" s="89"/>
      <c r="J760" s="89"/>
      <c r="K760" s="89"/>
      <c r="L760" s="89"/>
    </row>
    <row r="761" spans="2:12" x14ac:dyDescent="0.35">
      <c r="B761" s="88">
        <v>38495</v>
      </c>
      <c r="C761" s="88"/>
      <c r="D761" s="88"/>
      <c r="E761" s="88"/>
      <c r="F761" s="88"/>
      <c r="G761" s="88"/>
      <c r="H761" s="88"/>
      <c r="I761" s="88"/>
      <c r="J761" s="88"/>
      <c r="K761" s="88"/>
      <c r="L761" s="88"/>
    </row>
    <row r="762" spans="2:12" x14ac:dyDescent="0.35">
      <c r="B762" s="89">
        <v>38595</v>
      </c>
      <c r="C762" s="89"/>
      <c r="D762" s="89"/>
      <c r="E762" s="89"/>
      <c r="F762" s="89"/>
      <c r="G762" s="89"/>
      <c r="H762" s="89"/>
      <c r="I762" s="89"/>
      <c r="J762" s="89"/>
      <c r="K762" s="89"/>
      <c r="L762" s="89"/>
    </row>
    <row r="763" spans="2:12" x14ac:dyDescent="0.35">
      <c r="B763" s="88">
        <v>38695</v>
      </c>
      <c r="C763" s="88"/>
      <c r="D763" s="88"/>
      <c r="E763" s="88"/>
      <c r="F763" s="88"/>
      <c r="G763" s="88"/>
      <c r="H763" s="88"/>
      <c r="I763" s="88"/>
      <c r="J763" s="88"/>
      <c r="K763" s="88"/>
      <c r="L763" s="88"/>
    </row>
    <row r="764" spans="2:12" x14ac:dyDescent="0.35">
      <c r="B764" s="89">
        <v>38795</v>
      </c>
      <c r="C764" s="89"/>
      <c r="D764" s="89"/>
      <c r="E764" s="89"/>
      <c r="F764" s="89"/>
      <c r="G764" s="89"/>
      <c r="H764" s="89"/>
      <c r="I764" s="89"/>
      <c r="J764" s="89"/>
      <c r="K764" s="89"/>
      <c r="L764" s="89"/>
    </row>
    <row r="765" spans="2:12" x14ac:dyDescent="0.35">
      <c r="B765" s="88">
        <v>38895</v>
      </c>
      <c r="C765" s="88"/>
      <c r="D765" s="88"/>
      <c r="E765" s="88"/>
      <c r="F765" s="88"/>
      <c r="G765" s="88"/>
      <c r="H765" s="88"/>
      <c r="I765" s="88"/>
      <c r="J765" s="88"/>
      <c r="K765" s="88"/>
      <c r="L765" s="88"/>
    </row>
    <row r="766" spans="2:12" x14ac:dyDescent="0.35">
      <c r="B766" s="89">
        <v>38995</v>
      </c>
      <c r="C766" s="89"/>
      <c r="D766" s="89"/>
      <c r="E766" s="89"/>
      <c r="F766" s="89"/>
      <c r="G766" s="89"/>
      <c r="H766" s="89"/>
      <c r="I766" s="89"/>
      <c r="J766" s="89"/>
      <c r="K766" s="89"/>
      <c r="L766" s="89"/>
    </row>
    <row r="767" spans="2:12" x14ac:dyDescent="0.35">
      <c r="B767" s="88">
        <v>39095</v>
      </c>
      <c r="C767" s="88"/>
      <c r="D767" s="88"/>
      <c r="E767" s="88"/>
      <c r="F767" s="88"/>
      <c r="G767" s="88"/>
      <c r="H767" s="88"/>
      <c r="I767" s="88"/>
      <c r="J767" s="88"/>
      <c r="K767" s="88"/>
      <c r="L767" s="88"/>
    </row>
    <row r="768" spans="2:12" x14ac:dyDescent="0.35">
      <c r="B768" s="89">
        <v>39195</v>
      </c>
      <c r="C768" s="89"/>
      <c r="D768" s="89"/>
      <c r="E768" s="89"/>
      <c r="F768" s="89"/>
      <c r="G768" s="89"/>
      <c r="H768" s="89"/>
      <c r="I768" s="89"/>
      <c r="J768" s="89"/>
      <c r="K768" s="89"/>
      <c r="L768" s="89"/>
    </row>
    <row r="769" spans="2:12" x14ac:dyDescent="0.35">
      <c r="B769" s="88">
        <v>39295</v>
      </c>
      <c r="C769" s="88"/>
      <c r="D769" s="88"/>
      <c r="E769" s="88"/>
      <c r="F769" s="88"/>
      <c r="G769" s="88"/>
      <c r="H769" s="88"/>
      <c r="I769" s="88"/>
      <c r="J769" s="88"/>
      <c r="K769" s="88"/>
      <c r="L769" s="88"/>
    </row>
    <row r="770" spans="2:12" x14ac:dyDescent="0.35">
      <c r="B770" s="89">
        <v>39395</v>
      </c>
      <c r="C770" s="89"/>
      <c r="D770" s="89"/>
      <c r="E770" s="89"/>
      <c r="F770" s="89"/>
      <c r="G770" s="89"/>
      <c r="H770" s="89"/>
      <c r="I770" s="89"/>
      <c r="J770" s="89"/>
      <c r="K770" s="89"/>
      <c r="L770" s="89"/>
    </row>
    <row r="771" spans="2:12" x14ac:dyDescent="0.35">
      <c r="B771" s="88">
        <v>39495</v>
      </c>
      <c r="C771" s="88"/>
      <c r="D771" s="88"/>
      <c r="E771" s="88"/>
      <c r="F771" s="88"/>
      <c r="G771" s="88"/>
      <c r="H771" s="88"/>
      <c r="I771" s="88"/>
      <c r="J771" s="88"/>
      <c r="K771" s="88"/>
      <c r="L771" s="88"/>
    </row>
    <row r="772" spans="2:12" x14ac:dyDescent="0.35">
      <c r="B772" s="89">
        <v>39595</v>
      </c>
      <c r="C772" s="89"/>
      <c r="D772" s="89"/>
      <c r="E772" s="89"/>
      <c r="F772" s="89"/>
      <c r="G772" s="89"/>
      <c r="H772" s="89"/>
      <c r="I772" s="89"/>
      <c r="J772" s="89"/>
      <c r="K772" s="89"/>
      <c r="L772" s="89"/>
    </row>
    <row r="773" spans="2:12" x14ac:dyDescent="0.35">
      <c r="B773" s="88">
        <v>39695</v>
      </c>
      <c r="C773" s="88"/>
      <c r="D773" s="88"/>
      <c r="E773" s="88"/>
      <c r="F773" s="88"/>
      <c r="G773" s="88"/>
      <c r="H773" s="88"/>
      <c r="I773" s="88"/>
      <c r="J773" s="88"/>
      <c r="K773" s="88"/>
      <c r="L773" s="88"/>
    </row>
    <row r="774" spans="2:12" x14ac:dyDescent="0.35">
      <c r="B774" s="89">
        <v>39795</v>
      </c>
      <c r="C774" s="89"/>
      <c r="D774" s="89"/>
      <c r="E774" s="89"/>
      <c r="F774" s="89"/>
      <c r="G774" s="89"/>
      <c r="H774" s="89"/>
      <c r="I774" s="89"/>
      <c r="J774" s="89"/>
      <c r="K774" s="89"/>
      <c r="L774" s="89"/>
    </row>
    <row r="775" spans="2:12" x14ac:dyDescent="0.35">
      <c r="B775" s="88">
        <v>39895</v>
      </c>
      <c r="C775" s="88"/>
      <c r="D775" s="88"/>
      <c r="E775" s="88"/>
      <c r="F775" s="88"/>
      <c r="G775" s="88"/>
      <c r="H775" s="88"/>
      <c r="I775" s="88"/>
      <c r="J775" s="88"/>
      <c r="K775" s="88"/>
      <c r="L775" s="88"/>
    </row>
    <row r="776" spans="2:12" x14ac:dyDescent="0.35">
      <c r="B776" s="89">
        <v>39995</v>
      </c>
      <c r="C776" s="89"/>
      <c r="D776" s="89"/>
      <c r="E776" s="89"/>
      <c r="F776" s="89"/>
      <c r="G776" s="89"/>
      <c r="H776" s="89"/>
      <c r="I776" s="89"/>
      <c r="J776" s="89"/>
      <c r="K776" s="89"/>
      <c r="L776" s="89"/>
    </row>
    <row r="777" spans="2:12" x14ac:dyDescent="0.35">
      <c r="B777" s="88">
        <v>40095</v>
      </c>
      <c r="C777" s="88"/>
      <c r="D777" s="88"/>
      <c r="E777" s="88"/>
      <c r="F777" s="88"/>
      <c r="G777" s="88"/>
      <c r="H777" s="88"/>
      <c r="I777" s="88"/>
      <c r="J777" s="88"/>
      <c r="K777" s="88"/>
      <c r="L777" s="88"/>
    </row>
    <row r="778" spans="2:12" x14ac:dyDescent="0.35">
      <c r="B778" s="89">
        <v>40195</v>
      </c>
      <c r="C778" s="89"/>
      <c r="D778" s="89"/>
      <c r="E778" s="89"/>
      <c r="F778" s="89"/>
      <c r="G778" s="89"/>
      <c r="H778" s="89"/>
      <c r="I778" s="89"/>
      <c r="J778" s="89"/>
      <c r="K778" s="89"/>
      <c r="L778" s="89"/>
    </row>
    <row r="779" spans="2:12" x14ac:dyDescent="0.35">
      <c r="B779" s="88">
        <v>40295</v>
      </c>
      <c r="C779" s="88"/>
      <c r="D779" s="88"/>
      <c r="E779" s="88"/>
      <c r="F779" s="88"/>
      <c r="G779" s="88"/>
      <c r="H779" s="88"/>
      <c r="I779" s="88"/>
      <c r="J779" s="88"/>
      <c r="K779" s="88"/>
      <c r="L779" s="88"/>
    </row>
    <row r="780" spans="2:12" x14ac:dyDescent="0.35">
      <c r="B780" s="89">
        <v>40395</v>
      </c>
      <c r="C780" s="89"/>
      <c r="D780" s="89"/>
      <c r="E780" s="89"/>
      <c r="F780" s="89"/>
      <c r="G780" s="89"/>
      <c r="H780" s="89"/>
      <c r="I780" s="89"/>
      <c r="J780" s="89"/>
      <c r="K780" s="89"/>
      <c r="L780" s="89"/>
    </row>
    <row r="781" spans="2:12" x14ac:dyDescent="0.35">
      <c r="B781" s="88">
        <v>40495</v>
      </c>
      <c r="C781" s="88"/>
      <c r="D781" s="88"/>
      <c r="E781" s="88"/>
      <c r="F781" s="88"/>
      <c r="G781" s="88"/>
      <c r="H781" s="88"/>
      <c r="I781" s="88"/>
      <c r="J781" s="88"/>
      <c r="K781" s="88"/>
      <c r="L781" s="88"/>
    </row>
    <row r="782" spans="2:12" x14ac:dyDescent="0.35">
      <c r="B782" s="89">
        <v>40595</v>
      </c>
      <c r="C782" s="89"/>
      <c r="D782" s="89"/>
      <c r="E782" s="89"/>
      <c r="F782" s="89"/>
      <c r="G782" s="89"/>
      <c r="H782" s="89"/>
      <c r="I782" s="89"/>
      <c r="J782" s="89"/>
      <c r="K782" s="89"/>
      <c r="L782" s="89"/>
    </row>
    <row r="783" spans="2:12" x14ac:dyDescent="0.35">
      <c r="B783" s="88">
        <v>40695</v>
      </c>
      <c r="C783" s="88"/>
      <c r="D783" s="88"/>
      <c r="E783" s="88"/>
      <c r="F783" s="88"/>
      <c r="G783" s="88"/>
      <c r="H783" s="88"/>
      <c r="I783" s="88"/>
      <c r="J783" s="88"/>
      <c r="K783" s="88"/>
      <c r="L783" s="88"/>
    </row>
    <row r="784" spans="2:12" x14ac:dyDescent="0.35">
      <c r="B784" s="89">
        <v>40795</v>
      </c>
      <c r="C784" s="89"/>
      <c r="D784" s="89"/>
      <c r="E784" s="89"/>
      <c r="F784" s="89"/>
      <c r="G784" s="89"/>
      <c r="H784" s="89"/>
      <c r="I784" s="89"/>
      <c r="J784" s="89"/>
      <c r="K784" s="89"/>
      <c r="L784" s="89"/>
    </row>
    <row r="785" spans="2:12" x14ac:dyDescent="0.35">
      <c r="B785" s="88">
        <v>40895</v>
      </c>
      <c r="C785" s="88"/>
      <c r="D785" s="88"/>
      <c r="E785" s="88"/>
      <c r="F785" s="88"/>
      <c r="G785" s="88"/>
      <c r="H785" s="88"/>
      <c r="I785" s="88"/>
      <c r="J785" s="88"/>
      <c r="K785" s="88"/>
      <c r="L785" s="88"/>
    </row>
    <row r="786" spans="2:12" x14ac:dyDescent="0.35">
      <c r="B786" s="89">
        <v>40995</v>
      </c>
      <c r="C786" s="89"/>
      <c r="D786" s="89"/>
      <c r="E786" s="89"/>
      <c r="F786" s="89"/>
      <c r="G786" s="89"/>
      <c r="H786" s="89"/>
      <c r="I786" s="89"/>
      <c r="J786" s="89"/>
      <c r="K786" s="89"/>
      <c r="L786" s="89"/>
    </row>
    <row r="787" spans="2:12" x14ac:dyDescent="0.35">
      <c r="B787" s="88">
        <v>41095</v>
      </c>
      <c r="C787" s="88"/>
      <c r="D787" s="88"/>
      <c r="E787" s="88"/>
      <c r="F787" s="88"/>
      <c r="G787" s="88"/>
      <c r="H787" s="88"/>
      <c r="I787" s="88"/>
      <c r="J787" s="88"/>
      <c r="K787" s="88"/>
      <c r="L787" s="88"/>
    </row>
    <row r="788" spans="2:12" x14ac:dyDescent="0.35">
      <c r="B788" s="89">
        <v>41195</v>
      </c>
      <c r="C788" s="89"/>
      <c r="D788" s="89"/>
      <c r="E788" s="89"/>
      <c r="F788" s="89"/>
      <c r="G788" s="89"/>
      <c r="H788" s="89"/>
      <c r="I788" s="89"/>
      <c r="J788" s="89"/>
      <c r="K788" s="89"/>
      <c r="L788" s="89"/>
    </row>
    <row r="789" spans="2:12" x14ac:dyDescent="0.35">
      <c r="B789" s="88">
        <v>41295</v>
      </c>
      <c r="C789" s="88"/>
      <c r="D789" s="88"/>
      <c r="E789" s="88"/>
      <c r="F789" s="88"/>
      <c r="G789" s="88"/>
      <c r="H789" s="88"/>
      <c r="I789" s="88"/>
      <c r="J789" s="88"/>
      <c r="K789" s="88"/>
      <c r="L789" s="88"/>
    </row>
    <row r="790" spans="2:12" x14ac:dyDescent="0.35">
      <c r="B790" s="89">
        <v>41395</v>
      </c>
      <c r="C790" s="89"/>
      <c r="D790" s="89"/>
      <c r="E790" s="89"/>
      <c r="F790" s="89"/>
      <c r="G790" s="89"/>
      <c r="H790" s="89"/>
      <c r="I790" s="89"/>
      <c r="J790" s="89"/>
      <c r="K790" s="89"/>
      <c r="L790" s="89"/>
    </row>
    <row r="791" spans="2:12" x14ac:dyDescent="0.35">
      <c r="B791" s="88">
        <v>41495</v>
      </c>
      <c r="C791" s="88"/>
      <c r="D791" s="88"/>
      <c r="E791" s="88"/>
      <c r="F791" s="88"/>
      <c r="G791" s="88"/>
      <c r="H791" s="88"/>
      <c r="I791" s="88"/>
      <c r="J791" s="88"/>
      <c r="K791" s="88"/>
      <c r="L791" s="88"/>
    </row>
    <row r="792" spans="2:12" x14ac:dyDescent="0.35">
      <c r="B792" s="89">
        <v>41595</v>
      </c>
      <c r="C792" s="89"/>
      <c r="D792" s="89"/>
      <c r="E792" s="89"/>
      <c r="F792" s="89"/>
      <c r="G792" s="89"/>
      <c r="H792" s="89"/>
      <c r="I792" s="89"/>
      <c r="J792" s="89"/>
      <c r="K792" s="89"/>
      <c r="L792" s="89"/>
    </row>
    <row r="793" spans="2:12" x14ac:dyDescent="0.35">
      <c r="B793" s="88">
        <v>41695</v>
      </c>
      <c r="C793" s="88"/>
      <c r="D793" s="88"/>
      <c r="E793" s="88"/>
      <c r="F793" s="88"/>
      <c r="G793" s="88"/>
      <c r="H793" s="88"/>
      <c r="I793" s="88"/>
      <c r="J793" s="88"/>
      <c r="K793" s="88"/>
      <c r="L793" s="88"/>
    </row>
    <row r="794" spans="2:12" x14ac:dyDescent="0.35">
      <c r="B794" s="89">
        <v>41795</v>
      </c>
      <c r="C794" s="89"/>
      <c r="D794" s="89"/>
      <c r="E794" s="89"/>
      <c r="F794" s="89"/>
      <c r="G794" s="89"/>
      <c r="H794" s="89"/>
      <c r="I794" s="89"/>
      <c r="J794" s="89"/>
      <c r="K794" s="89"/>
      <c r="L794" s="89"/>
    </row>
    <row r="795" spans="2:12" x14ac:dyDescent="0.35">
      <c r="B795" s="88">
        <v>41895</v>
      </c>
      <c r="C795" s="88"/>
      <c r="D795" s="88"/>
      <c r="E795" s="88"/>
      <c r="F795" s="88"/>
      <c r="G795" s="88"/>
      <c r="H795" s="88"/>
      <c r="I795" s="88"/>
      <c r="J795" s="88"/>
      <c r="K795" s="88"/>
      <c r="L795" s="88"/>
    </row>
    <row r="796" spans="2:12" x14ac:dyDescent="0.35">
      <c r="B796" s="89">
        <v>41995</v>
      </c>
      <c r="C796" s="89"/>
      <c r="D796" s="89"/>
      <c r="E796" s="89"/>
      <c r="F796" s="89"/>
      <c r="G796" s="89"/>
      <c r="H796" s="89"/>
      <c r="I796" s="89"/>
      <c r="J796" s="89"/>
      <c r="K796" s="89"/>
      <c r="L796" s="89"/>
    </row>
    <row r="797" spans="2:12" x14ac:dyDescent="0.35">
      <c r="B797" s="88">
        <v>42095</v>
      </c>
      <c r="C797" s="88"/>
      <c r="D797" s="88"/>
      <c r="E797" s="88"/>
      <c r="F797" s="88"/>
      <c r="G797" s="88"/>
      <c r="H797" s="88"/>
      <c r="I797" s="88"/>
      <c r="J797" s="88"/>
      <c r="K797" s="88"/>
      <c r="L797" s="88"/>
    </row>
    <row r="798" spans="2:12" x14ac:dyDescent="0.35">
      <c r="B798" s="89">
        <v>42195</v>
      </c>
      <c r="C798" s="89"/>
      <c r="D798" s="89"/>
      <c r="E798" s="89"/>
      <c r="F798" s="89"/>
      <c r="G798" s="89"/>
      <c r="H798" s="89"/>
      <c r="I798" s="89"/>
      <c r="J798" s="89"/>
      <c r="K798" s="89"/>
      <c r="L798" s="89"/>
    </row>
    <row r="799" spans="2:12" x14ac:dyDescent="0.35">
      <c r="B799" s="88">
        <v>42295</v>
      </c>
      <c r="C799" s="88"/>
      <c r="D799" s="88"/>
      <c r="E799" s="88"/>
      <c r="F799" s="88"/>
      <c r="G799" s="88"/>
      <c r="H799" s="88"/>
      <c r="I799" s="88"/>
      <c r="J799" s="88"/>
      <c r="K799" s="88"/>
      <c r="L799" s="88"/>
    </row>
    <row r="800" spans="2:12" x14ac:dyDescent="0.35">
      <c r="B800" s="89">
        <v>42395</v>
      </c>
      <c r="C800" s="89"/>
      <c r="D800" s="89"/>
      <c r="E800" s="89"/>
      <c r="F800" s="89"/>
      <c r="G800" s="89"/>
      <c r="H800" s="89"/>
      <c r="I800" s="89"/>
      <c r="J800" s="89"/>
      <c r="K800" s="89"/>
      <c r="L800" s="89"/>
    </row>
    <row r="801" spans="2:12" x14ac:dyDescent="0.35">
      <c r="B801" s="88">
        <v>42495</v>
      </c>
      <c r="C801" s="88"/>
      <c r="D801" s="88"/>
      <c r="E801" s="88"/>
      <c r="F801" s="88"/>
      <c r="G801" s="88"/>
      <c r="H801" s="88"/>
      <c r="I801" s="88"/>
      <c r="J801" s="88"/>
      <c r="K801" s="88"/>
      <c r="L801" s="88"/>
    </row>
    <row r="802" spans="2:12" x14ac:dyDescent="0.35">
      <c r="B802" s="89">
        <v>42595</v>
      </c>
      <c r="C802" s="89"/>
      <c r="D802" s="89"/>
      <c r="E802" s="89"/>
      <c r="F802" s="89"/>
      <c r="G802" s="89"/>
      <c r="H802" s="89"/>
      <c r="I802" s="89"/>
      <c r="J802" s="89"/>
      <c r="K802" s="89"/>
      <c r="L802" s="89"/>
    </row>
    <row r="803" spans="2:12" x14ac:dyDescent="0.35">
      <c r="B803" s="88">
        <v>42695</v>
      </c>
      <c r="C803" s="88"/>
      <c r="D803" s="88"/>
      <c r="E803" s="88"/>
      <c r="F803" s="88"/>
      <c r="G803" s="88"/>
      <c r="H803" s="88"/>
      <c r="I803" s="88"/>
      <c r="J803" s="88"/>
      <c r="K803" s="88"/>
      <c r="L803" s="88"/>
    </row>
    <row r="804" spans="2:12" x14ac:dyDescent="0.35">
      <c r="B804" s="89">
        <v>42795</v>
      </c>
      <c r="C804" s="89"/>
      <c r="D804" s="89"/>
      <c r="E804" s="89"/>
      <c r="F804" s="89"/>
      <c r="G804" s="89"/>
      <c r="H804" s="89"/>
      <c r="I804" s="89"/>
      <c r="J804" s="89"/>
      <c r="K804" s="89"/>
      <c r="L804" s="89"/>
    </row>
    <row r="805" spans="2:12" x14ac:dyDescent="0.35">
      <c r="B805" s="88">
        <v>42895</v>
      </c>
      <c r="C805" s="88"/>
      <c r="D805" s="88"/>
      <c r="E805" s="88"/>
      <c r="F805" s="88"/>
      <c r="G805" s="88"/>
      <c r="H805" s="88"/>
      <c r="I805" s="88"/>
      <c r="J805" s="88"/>
      <c r="K805" s="88"/>
      <c r="L805" s="88"/>
    </row>
    <row r="806" spans="2:12" x14ac:dyDescent="0.35">
      <c r="B806" s="89">
        <v>42995</v>
      </c>
      <c r="C806" s="89"/>
      <c r="D806" s="89"/>
      <c r="E806" s="89"/>
      <c r="F806" s="89"/>
      <c r="G806" s="89"/>
      <c r="H806" s="89"/>
      <c r="I806" s="89"/>
      <c r="J806" s="89"/>
      <c r="K806" s="89"/>
      <c r="L806" s="89"/>
    </row>
    <row r="807" spans="2:12" x14ac:dyDescent="0.35">
      <c r="B807" s="88">
        <v>43095</v>
      </c>
      <c r="C807" s="88"/>
      <c r="D807" s="88"/>
      <c r="E807" s="88"/>
      <c r="F807" s="88"/>
      <c r="G807" s="88"/>
      <c r="H807" s="88"/>
      <c r="I807" s="88"/>
      <c r="J807" s="88"/>
      <c r="K807" s="88"/>
      <c r="L807" s="88"/>
    </row>
    <row r="808" spans="2:12" x14ac:dyDescent="0.35">
      <c r="B808" s="89">
        <v>43195</v>
      </c>
      <c r="C808" s="89"/>
      <c r="D808" s="89"/>
      <c r="E808" s="89"/>
      <c r="F808" s="89"/>
      <c r="G808" s="89"/>
      <c r="H808" s="89"/>
      <c r="I808" s="89"/>
      <c r="J808" s="89"/>
      <c r="K808" s="89"/>
      <c r="L808" s="89"/>
    </row>
    <row r="809" spans="2:12" x14ac:dyDescent="0.35">
      <c r="B809" s="88">
        <v>43295</v>
      </c>
      <c r="C809" s="88"/>
      <c r="D809" s="88"/>
      <c r="E809" s="88"/>
      <c r="F809" s="88"/>
      <c r="G809" s="88"/>
      <c r="H809" s="88"/>
      <c r="I809" s="88"/>
      <c r="J809" s="88"/>
      <c r="K809" s="88"/>
      <c r="L809" s="88"/>
    </row>
    <row r="810" spans="2:12" x14ac:dyDescent="0.35">
      <c r="B810" s="89">
        <v>43395</v>
      </c>
      <c r="C810" s="89"/>
      <c r="D810" s="89"/>
      <c r="E810" s="89"/>
      <c r="F810" s="89"/>
      <c r="G810" s="89"/>
      <c r="H810" s="89"/>
      <c r="I810" s="89"/>
      <c r="J810" s="89"/>
      <c r="K810" s="89"/>
      <c r="L810" s="89"/>
    </row>
    <row r="811" spans="2:12" x14ac:dyDescent="0.35">
      <c r="B811" s="88">
        <v>43495</v>
      </c>
      <c r="C811" s="88"/>
      <c r="D811" s="88"/>
      <c r="E811" s="88"/>
      <c r="F811" s="88"/>
      <c r="G811" s="88"/>
      <c r="H811" s="88"/>
      <c r="I811" s="88"/>
      <c r="J811" s="88"/>
      <c r="K811" s="88"/>
      <c r="L811" s="88"/>
    </row>
    <row r="812" spans="2:12" x14ac:dyDescent="0.35">
      <c r="B812" s="89">
        <v>43595</v>
      </c>
      <c r="C812" s="89"/>
      <c r="D812" s="89"/>
      <c r="E812" s="89"/>
      <c r="F812" s="89"/>
      <c r="G812" s="89"/>
      <c r="H812" s="89"/>
      <c r="I812" s="89"/>
      <c r="J812" s="89"/>
      <c r="K812" s="89"/>
      <c r="L812" s="89"/>
    </row>
    <row r="813" spans="2:12" x14ac:dyDescent="0.35">
      <c r="B813" s="88">
        <v>43695</v>
      </c>
      <c r="C813" s="88"/>
      <c r="D813" s="88"/>
      <c r="E813" s="88"/>
      <c r="F813" s="88"/>
      <c r="G813" s="88"/>
      <c r="H813" s="88"/>
      <c r="I813" s="88"/>
      <c r="J813" s="88"/>
      <c r="K813" s="88"/>
      <c r="L813" s="88"/>
    </row>
    <row r="814" spans="2:12" x14ac:dyDescent="0.35">
      <c r="B814" s="89">
        <v>43795</v>
      </c>
      <c r="C814" s="89"/>
      <c r="D814" s="89"/>
      <c r="E814" s="89"/>
      <c r="F814" s="89"/>
      <c r="G814" s="89"/>
      <c r="H814" s="89"/>
      <c r="I814" s="89"/>
      <c r="J814" s="89"/>
      <c r="K814" s="89"/>
      <c r="L814" s="89"/>
    </row>
    <row r="815" spans="2:12" x14ac:dyDescent="0.35">
      <c r="B815" s="88">
        <v>43895</v>
      </c>
      <c r="C815" s="88"/>
      <c r="D815" s="88"/>
      <c r="E815" s="88"/>
      <c r="F815" s="88"/>
      <c r="G815" s="88"/>
      <c r="H815" s="88"/>
      <c r="I815" s="88"/>
      <c r="J815" s="88"/>
      <c r="K815" s="88"/>
      <c r="L815" s="88"/>
    </row>
    <row r="816" spans="2:12" x14ac:dyDescent="0.35">
      <c r="B816" s="89">
        <v>43995</v>
      </c>
      <c r="C816" s="89"/>
      <c r="D816" s="89"/>
      <c r="E816" s="89"/>
      <c r="F816" s="89"/>
      <c r="G816" s="89"/>
      <c r="H816" s="89"/>
      <c r="I816" s="89"/>
      <c r="J816" s="89"/>
      <c r="K816" s="89"/>
      <c r="L816" s="89"/>
    </row>
    <row r="817" spans="2:12" x14ac:dyDescent="0.35">
      <c r="B817" s="88">
        <v>44095</v>
      </c>
      <c r="C817" s="88"/>
      <c r="D817" s="88"/>
      <c r="E817" s="88"/>
      <c r="F817" s="88"/>
      <c r="G817" s="88"/>
      <c r="H817" s="88"/>
      <c r="I817" s="88"/>
      <c r="J817" s="88"/>
      <c r="K817" s="88"/>
      <c r="L817" s="88"/>
    </row>
    <row r="818" spans="2:12" x14ac:dyDescent="0.35">
      <c r="B818" s="89">
        <v>44195</v>
      </c>
      <c r="C818" s="89"/>
      <c r="D818" s="89"/>
      <c r="E818" s="89"/>
      <c r="F818" s="89"/>
      <c r="G818" s="89"/>
      <c r="H818" s="89"/>
      <c r="I818" s="89"/>
      <c r="J818" s="89"/>
      <c r="K818" s="89"/>
      <c r="L818" s="89"/>
    </row>
    <row r="819" spans="2:12" x14ac:dyDescent="0.35">
      <c r="B819" s="88">
        <v>44295</v>
      </c>
      <c r="C819" s="88"/>
      <c r="D819" s="88"/>
      <c r="E819" s="88"/>
      <c r="F819" s="88"/>
      <c r="G819" s="88"/>
      <c r="H819" s="88"/>
      <c r="I819" s="88"/>
      <c r="J819" s="88"/>
      <c r="K819" s="88"/>
      <c r="L819" s="88"/>
    </row>
    <row r="820" spans="2:12" x14ac:dyDescent="0.35">
      <c r="B820" s="89">
        <v>44395</v>
      </c>
      <c r="C820" s="89"/>
      <c r="D820" s="89"/>
      <c r="E820" s="89"/>
      <c r="F820" s="89"/>
      <c r="G820" s="89"/>
      <c r="H820" s="89"/>
      <c r="I820" s="89"/>
      <c r="J820" s="89"/>
      <c r="K820" s="89"/>
      <c r="L820" s="89"/>
    </row>
    <row r="821" spans="2:12" x14ac:dyDescent="0.35">
      <c r="B821" s="88">
        <v>44495</v>
      </c>
      <c r="C821" s="88"/>
      <c r="D821" s="88"/>
      <c r="E821" s="88"/>
      <c r="F821" s="88"/>
      <c r="G821" s="88"/>
      <c r="H821" s="88"/>
      <c r="I821" s="88"/>
      <c r="J821" s="88"/>
      <c r="K821" s="88"/>
      <c r="L821" s="88"/>
    </row>
    <row r="822" spans="2:12" x14ac:dyDescent="0.35">
      <c r="B822" s="89">
        <v>44595</v>
      </c>
      <c r="C822" s="89"/>
      <c r="D822" s="89"/>
      <c r="E822" s="89"/>
      <c r="F822" s="89"/>
      <c r="G822" s="89"/>
      <c r="H822" s="89"/>
      <c r="I822" s="89"/>
      <c r="J822" s="89"/>
      <c r="K822" s="89"/>
      <c r="L822" s="89"/>
    </row>
    <row r="823" spans="2:12" x14ac:dyDescent="0.35">
      <c r="B823" s="88">
        <v>44695</v>
      </c>
      <c r="C823" s="88"/>
      <c r="D823" s="88"/>
      <c r="E823" s="88"/>
      <c r="F823" s="88"/>
      <c r="G823" s="88"/>
      <c r="H823" s="88"/>
      <c r="I823" s="88"/>
      <c r="J823" s="88"/>
      <c r="K823" s="88"/>
      <c r="L823" s="88"/>
    </row>
    <row r="824" spans="2:12" x14ac:dyDescent="0.35">
      <c r="B824" s="89">
        <v>44795</v>
      </c>
      <c r="C824" s="89"/>
      <c r="D824" s="89"/>
      <c r="E824" s="89"/>
      <c r="F824" s="89"/>
      <c r="G824" s="89"/>
      <c r="H824" s="89"/>
      <c r="I824" s="89"/>
      <c r="J824" s="89"/>
      <c r="K824" s="89"/>
      <c r="L824" s="89"/>
    </row>
    <row r="825" spans="2:12" x14ac:dyDescent="0.35">
      <c r="B825" s="88">
        <v>44895</v>
      </c>
      <c r="C825" s="88"/>
      <c r="D825" s="88"/>
      <c r="E825" s="88"/>
      <c r="F825" s="88"/>
      <c r="G825" s="88"/>
      <c r="H825" s="88"/>
      <c r="I825" s="88"/>
      <c r="J825" s="88"/>
      <c r="K825" s="88"/>
      <c r="L825" s="88"/>
    </row>
    <row r="826" spans="2:12" x14ac:dyDescent="0.35">
      <c r="B826" s="89">
        <v>44995</v>
      </c>
      <c r="C826" s="89"/>
      <c r="D826" s="89"/>
      <c r="E826" s="89"/>
      <c r="F826" s="89"/>
      <c r="G826" s="89"/>
      <c r="H826" s="89"/>
      <c r="I826" s="89"/>
      <c r="J826" s="89"/>
      <c r="K826" s="89"/>
      <c r="L826" s="89"/>
    </row>
    <row r="827" spans="2:12" x14ac:dyDescent="0.35">
      <c r="B827" s="88">
        <v>45095</v>
      </c>
      <c r="C827" s="88"/>
      <c r="D827" s="88"/>
      <c r="E827" s="88"/>
      <c r="F827" s="88"/>
      <c r="G827" s="88"/>
      <c r="H827" s="88"/>
      <c r="I827" s="88"/>
      <c r="J827" s="88"/>
      <c r="K827" s="88"/>
      <c r="L827" s="88"/>
    </row>
    <row r="828" spans="2:12" x14ac:dyDescent="0.35">
      <c r="B828" s="89">
        <v>45195</v>
      </c>
      <c r="C828" s="89"/>
      <c r="D828" s="89"/>
      <c r="E828" s="89"/>
      <c r="F828" s="89"/>
      <c r="G828" s="89"/>
      <c r="H828" s="89"/>
      <c r="I828" s="89"/>
      <c r="J828" s="89"/>
      <c r="K828" s="89"/>
      <c r="L828" s="89"/>
    </row>
    <row r="829" spans="2:12" x14ac:dyDescent="0.35">
      <c r="B829" s="88">
        <v>45295</v>
      </c>
      <c r="C829" s="88"/>
      <c r="D829" s="88"/>
      <c r="E829" s="88"/>
      <c r="F829" s="88"/>
      <c r="G829" s="88"/>
      <c r="H829" s="88"/>
      <c r="I829" s="88"/>
      <c r="J829" s="88"/>
      <c r="K829" s="88"/>
      <c r="L829" s="88"/>
    </row>
    <row r="830" spans="2:12" x14ac:dyDescent="0.35">
      <c r="B830" s="89">
        <v>45395</v>
      </c>
      <c r="C830" s="89"/>
      <c r="D830" s="89"/>
      <c r="E830" s="89"/>
      <c r="F830" s="89"/>
      <c r="G830" s="89"/>
      <c r="H830" s="89"/>
      <c r="I830" s="89"/>
      <c r="J830" s="89"/>
      <c r="K830" s="89"/>
      <c r="L830" s="89"/>
    </row>
    <row r="831" spans="2:12" x14ac:dyDescent="0.35">
      <c r="B831" s="88">
        <v>45495</v>
      </c>
      <c r="C831" s="88"/>
      <c r="D831" s="88"/>
      <c r="E831" s="88"/>
      <c r="F831" s="88"/>
      <c r="G831" s="88"/>
      <c r="H831" s="88"/>
      <c r="I831" s="88"/>
      <c r="J831" s="88"/>
      <c r="K831" s="88"/>
      <c r="L831" s="88"/>
    </row>
    <row r="832" spans="2:12" x14ac:dyDescent="0.35">
      <c r="B832" s="89">
        <v>45595</v>
      </c>
      <c r="C832" s="89"/>
      <c r="D832" s="89"/>
      <c r="E832" s="89"/>
      <c r="F832" s="89"/>
      <c r="G832" s="89"/>
      <c r="H832" s="89"/>
      <c r="I832" s="89"/>
      <c r="J832" s="89"/>
      <c r="K832" s="89"/>
      <c r="L832" s="89"/>
    </row>
    <row r="833" spans="2:12" x14ac:dyDescent="0.35">
      <c r="B833" s="88">
        <v>45695</v>
      </c>
      <c r="C833" s="88"/>
      <c r="D833" s="88"/>
      <c r="E833" s="88"/>
      <c r="F833" s="88"/>
      <c r="G833" s="88"/>
      <c r="H833" s="88"/>
      <c r="I833" s="88"/>
      <c r="J833" s="88"/>
      <c r="K833" s="88"/>
      <c r="L833" s="88"/>
    </row>
    <row r="834" spans="2:12" x14ac:dyDescent="0.35">
      <c r="B834" s="89">
        <v>45795</v>
      </c>
      <c r="C834" s="89"/>
      <c r="D834" s="89"/>
      <c r="E834" s="89"/>
      <c r="F834" s="89"/>
      <c r="G834" s="89"/>
      <c r="H834" s="89"/>
      <c r="I834" s="89"/>
      <c r="J834" s="89"/>
      <c r="K834" s="89"/>
      <c r="L834" s="89"/>
    </row>
    <row r="835" spans="2:12" x14ac:dyDescent="0.35">
      <c r="B835" s="88">
        <v>45895</v>
      </c>
      <c r="C835" s="88"/>
      <c r="D835" s="88"/>
      <c r="E835" s="88"/>
      <c r="F835" s="88"/>
      <c r="G835" s="88"/>
      <c r="H835" s="88"/>
      <c r="I835" s="88"/>
      <c r="J835" s="88"/>
      <c r="K835" s="88"/>
      <c r="L835" s="88"/>
    </row>
    <row r="836" spans="2:12" x14ac:dyDescent="0.35">
      <c r="B836" s="89">
        <v>45995</v>
      </c>
      <c r="C836" s="89"/>
      <c r="D836" s="89"/>
      <c r="E836" s="89"/>
      <c r="F836" s="89"/>
      <c r="G836" s="89"/>
      <c r="H836" s="89"/>
      <c r="I836" s="89"/>
      <c r="J836" s="89"/>
      <c r="K836" s="89"/>
      <c r="L836" s="89"/>
    </row>
    <row r="837" spans="2:12" x14ac:dyDescent="0.35">
      <c r="B837" s="88">
        <v>46095</v>
      </c>
      <c r="C837" s="88"/>
      <c r="D837" s="88"/>
      <c r="E837" s="88"/>
      <c r="F837" s="88"/>
      <c r="G837" s="88"/>
      <c r="H837" s="88"/>
      <c r="I837" s="88"/>
      <c r="J837" s="88"/>
      <c r="K837" s="88"/>
      <c r="L837" s="88"/>
    </row>
    <row r="838" spans="2:12" x14ac:dyDescent="0.35">
      <c r="B838" s="89">
        <v>46195</v>
      </c>
      <c r="C838" s="89"/>
      <c r="D838" s="89"/>
      <c r="E838" s="89"/>
      <c r="F838" s="89"/>
      <c r="G838" s="89"/>
      <c r="H838" s="89"/>
      <c r="I838" s="89"/>
      <c r="J838" s="89"/>
      <c r="K838" s="89"/>
      <c r="L838" s="89"/>
    </row>
    <row r="839" spans="2:12" x14ac:dyDescent="0.35">
      <c r="B839" s="88">
        <v>46295</v>
      </c>
      <c r="C839" s="88"/>
      <c r="D839" s="88"/>
      <c r="E839" s="88"/>
      <c r="F839" s="88"/>
      <c r="G839" s="88"/>
      <c r="H839" s="88"/>
      <c r="I839" s="88"/>
      <c r="J839" s="88"/>
      <c r="K839" s="88"/>
      <c r="L839" s="88"/>
    </row>
    <row r="840" spans="2:12" x14ac:dyDescent="0.35">
      <c r="B840" s="89">
        <v>46395</v>
      </c>
      <c r="C840" s="89"/>
      <c r="D840" s="89"/>
      <c r="E840" s="89"/>
      <c r="F840" s="89"/>
      <c r="G840" s="89"/>
      <c r="H840" s="89"/>
      <c r="I840" s="89"/>
      <c r="J840" s="89"/>
      <c r="K840" s="89"/>
      <c r="L840" s="89"/>
    </row>
    <row r="841" spans="2:12" x14ac:dyDescent="0.35">
      <c r="B841" s="88">
        <v>46495</v>
      </c>
      <c r="C841" s="88"/>
      <c r="D841" s="88"/>
      <c r="E841" s="88"/>
      <c r="F841" s="88"/>
      <c r="G841" s="88"/>
      <c r="H841" s="88"/>
      <c r="I841" s="88"/>
      <c r="J841" s="88"/>
      <c r="K841" s="88"/>
      <c r="L841" s="88"/>
    </row>
    <row r="842" spans="2:12" x14ac:dyDescent="0.35">
      <c r="B842" s="89">
        <v>46595</v>
      </c>
      <c r="C842" s="89"/>
      <c r="D842" s="89"/>
      <c r="E842" s="89"/>
      <c r="F842" s="89"/>
      <c r="G842" s="89"/>
      <c r="H842" s="89"/>
      <c r="I842" s="89"/>
      <c r="J842" s="89"/>
      <c r="K842" s="89"/>
      <c r="L842" s="89"/>
    </row>
    <row r="843" spans="2:12" x14ac:dyDescent="0.35">
      <c r="B843" s="88">
        <v>46695</v>
      </c>
      <c r="C843" s="88"/>
      <c r="D843" s="88"/>
      <c r="E843" s="88"/>
      <c r="F843" s="88"/>
      <c r="G843" s="88"/>
      <c r="H843" s="88"/>
      <c r="I843" s="88"/>
      <c r="J843" s="88"/>
      <c r="K843" s="88"/>
      <c r="L843" s="88"/>
    </row>
    <row r="844" spans="2:12" x14ac:dyDescent="0.35">
      <c r="B844" s="89">
        <v>46795</v>
      </c>
      <c r="C844" s="89"/>
      <c r="D844" s="89"/>
      <c r="E844" s="89"/>
      <c r="F844" s="89"/>
      <c r="G844" s="89"/>
      <c r="H844" s="89"/>
      <c r="I844" s="89"/>
      <c r="J844" s="89"/>
      <c r="K844" s="89"/>
      <c r="L844" s="89"/>
    </row>
    <row r="845" spans="2:12" x14ac:dyDescent="0.35">
      <c r="B845" s="88">
        <v>46895</v>
      </c>
      <c r="C845" s="88"/>
      <c r="D845" s="88"/>
      <c r="E845" s="88"/>
      <c r="F845" s="88"/>
      <c r="G845" s="88"/>
      <c r="H845" s="88"/>
      <c r="I845" s="88"/>
      <c r="J845" s="88"/>
      <c r="K845" s="88"/>
      <c r="L845" s="88"/>
    </row>
    <row r="846" spans="2:12" x14ac:dyDescent="0.35">
      <c r="B846" s="89">
        <v>46995</v>
      </c>
      <c r="C846" s="89"/>
      <c r="D846" s="89"/>
      <c r="E846" s="89"/>
      <c r="F846" s="89"/>
      <c r="G846" s="89"/>
      <c r="H846" s="89"/>
      <c r="I846" s="89"/>
      <c r="J846" s="89"/>
      <c r="K846" s="89"/>
      <c r="L846" s="89"/>
    </row>
    <row r="847" spans="2:12" x14ac:dyDescent="0.35">
      <c r="B847" s="88">
        <v>47095</v>
      </c>
      <c r="C847" s="88"/>
      <c r="D847" s="88"/>
      <c r="E847" s="88"/>
      <c r="F847" s="88"/>
      <c r="G847" s="88"/>
      <c r="H847" s="88"/>
      <c r="I847" s="88"/>
      <c r="J847" s="88"/>
      <c r="K847" s="88"/>
      <c r="L847" s="88"/>
    </row>
    <row r="848" spans="2:12" x14ac:dyDescent="0.35">
      <c r="B848" s="89">
        <v>47195</v>
      </c>
      <c r="C848" s="89"/>
      <c r="D848" s="89"/>
      <c r="E848" s="89"/>
      <c r="F848" s="89"/>
      <c r="G848" s="89"/>
      <c r="H848" s="89"/>
      <c r="I848" s="89"/>
      <c r="J848" s="89"/>
      <c r="K848" s="89"/>
      <c r="L848" s="89"/>
    </row>
    <row r="849" spans="2:12" x14ac:dyDescent="0.35">
      <c r="B849" s="88">
        <v>47295</v>
      </c>
      <c r="C849" s="88"/>
      <c r="D849" s="88"/>
      <c r="E849" s="88"/>
      <c r="F849" s="88"/>
      <c r="G849" s="88"/>
      <c r="H849" s="88"/>
      <c r="I849" s="88"/>
      <c r="J849" s="88"/>
      <c r="K849" s="88"/>
      <c r="L849" s="88"/>
    </row>
    <row r="850" spans="2:12" x14ac:dyDescent="0.35">
      <c r="B850" s="89">
        <v>47395</v>
      </c>
      <c r="C850" s="89"/>
      <c r="D850" s="89"/>
      <c r="E850" s="89"/>
      <c r="F850" s="89"/>
      <c r="G850" s="89"/>
      <c r="H850" s="89"/>
      <c r="I850" s="89"/>
      <c r="J850" s="89"/>
      <c r="K850" s="89"/>
      <c r="L850" s="89"/>
    </row>
    <row r="851" spans="2:12" x14ac:dyDescent="0.35">
      <c r="B851" s="88">
        <v>47495</v>
      </c>
      <c r="C851" s="88"/>
      <c r="D851" s="88"/>
      <c r="E851" s="88"/>
      <c r="F851" s="88"/>
      <c r="G851" s="88"/>
      <c r="H851" s="88"/>
      <c r="I851" s="88"/>
      <c r="J851" s="88"/>
      <c r="K851" s="88"/>
      <c r="L851" s="88"/>
    </row>
    <row r="852" spans="2:12" x14ac:dyDescent="0.35">
      <c r="B852" s="89">
        <v>47595</v>
      </c>
      <c r="C852" s="89"/>
      <c r="D852" s="89"/>
      <c r="E852" s="89"/>
      <c r="F852" s="89"/>
      <c r="G852" s="89"/>
      <c r="H852" s="89"/>
      <c r="I852" s="89"/>
      <c r="J852" s="89"/>
      <c r="K852" s="89"/>
      <c r="L852" s="89"/>
    </row>
    <row r="853" spans="2:12" x14ac:dyDescent="0.35">
      <c r="B853" s="88">
        <v>47695</v>
      </c>
      <c r="C853" s="88"/>
      <c r="D853" s="88"/>
      <c r="E853" s="88"/>
      <c r="F853" s="88"/>
      <c r="G853" s="88"/>
      <c r="H853" s="88"/>
      <c r="I853" s="88"/>
      <c r="J853" s="88"/>
      <c r="K853" s="88"/>
      <c r="L853" s="88"/>
    </row>
    <row r="854" spans="2:12" x14ac:dyDescent="0.35">
      <c r="B854" s="89">
        <v>47795</v>
      </c>
      <c r="C854" s="89"/>
      <c r="D854" s="89"/>
      <c r="E854" s="89"/>
      <c r="F854" s="89"/>
      <c r="G854" s="89"/>
      <c r="H854" s="89"/>
      <c r="I854" s="89"/>
      <c r="J854" s="89"/>
      <c r="K854" s="89"/>
      <c r="L854" s="89"/>
    </row>
    <row r="855" spans="2:12" x14ac:dyDescent="0.35">
      <c r="B855" s="88">
        <v>47895</v>
      </c>
      <c r="C855" s="88"/>
      <c r="D855" s="88"/>
      <c r="E855" s="88"/>
      <c r="F855" s="88"/>
      <c r="G855" s="88"/>
      <c r="H855" s="88"/>
      <c r="I855" s="88"/>
      <c r="J855" s="88"/>
      <c r="K855" s="88"/>
      <c r="L855" s="88"/>
    </row>
    <row r="856" spans="2:12" x14ac:dyDescent="0.35">
      <c r="B856" s="89">
        <v>47995</v>
      </c>
      <c r="C856" s="89"/>
      <c r="D856" s="89"/>
      <c r="E856" s="89"/>
      <c r="F856" s="89"/>
      <c r="G856" s="89"/>
      <c r="H856" s="89"/>
      <c r="I856" s="89"/>
      <c r="J856" s="89"/>
      <c r="K856" s="89"/>
      <c r="L856" s="89"/>
    </row>
    <row r="857" spans="2:12" x14ac:dyDescent="0.35">
      <c r="B857" s="88">
        <v>48095</v>
      </c>
      <c r="C857" s="88"/>
      <c r="D857" s="88"/>
      <c r="E857" s="88"/>
      <c r="F857" s="88"/>
      <c r="G857" s="88"/>
      <c r="H857" s="88"/>
      <c r="I857" s="88"/>
      <c r="J857" s="88"/>
      <c r="K857" s="88"/>
      <c r="L857" s="88"/>
    </row>
    <row r="858" spans="2:12" x14ac:dyDescent="0.35">
      <c r="B858" s="89">
        <v>48195</v>
      </c>
      <c r="C858" s="89"/>
      <c r="D858" s="89"/>
      <c r="E858" s="89"/>
      <c r="F858" s="89"/>
      <c r="G858" s="89"/>
      <c r="H858" s="89"/>
      <c r="I858" s="89"/>
      <c r="J858" s="89"/>
      <c r="K858" s="89"/>
      <c r="L858" s="89"/>
    </row>
    <row r="859" spans="2:12" x14ac:dyDescent="0.35">
      <c r="B859" s="88">
        <v>48295</v>
      </c>
      <c r="C859" s="88"/>
      <c r="D859" s="88"/>
      <c r="E859" s="88"/>
      <c r="F859" s="88"/>
      <c r="G859" s="88"/>
      <c r="H859" s="88"/>
      <c r="I859" s="88"/>
      <c r="J859" s="88"/>
      <c r="K859" s="88"/>
      <c r="L859" s="88"/>
    </row>
    <row r="860" spans="2:12" x14ac:dyDescent="0.35">
      <c r="B860" s="89">
        <v>48395</v>
      </c>
      <c r="C860" s="89"/>
      <c r="D860" s="89"/>
      <c r="E860" s="89"/>
      <c r="F860" s="89"/>
      <c r="G860" s="89"/>
      <c r="H860" s="89"/>
      <c r="I860" s="89"/>
      <c r="J860" s="89"/>
      <c r="K860" s="89"/>
      <c r="L860" s="89"/>
    </row>
    <row r="861" spans="2:12" x14ac:dyDescent="0.35">
      <c r="B861" s="88">
        <v>48495</v>
      </c>
      <c r="C861" s="88"/>
      <c r="D861" s="88"/>
      <c r="E861" s="88"/>
      <c r="F861" s="88"/>
      <c r="G861" s="88"/>
      <c r="H861" s="88"/>
      <c r="I861" s="88"/>
      <c r="J861" s="88"/>
      <c r="K861" s="88"/>
      <c r="L861" s="88"/>
    </row>
    <row r="862" spans="2:12" x14ac:dyDescent="0.35">
      <c r="B862" s="89">
        <v>48595</v>
      </c>
      <c r="C862" s="89"/>
      <c r="D862" s="89"/>
      <c r="E862" s="89"/>
      <c r="F862" s="89"/>
      <c r="G862" s="89"/>
      <c r="H862" s="89"/>
      <c r="I862" s="89"/>
      <c r="J862" s="89"/>
      <c r="K862" s="89"/>
      <c r="L862" s="89"/>
    </row>
    <row r="863" spans="2:12" x14ac:dyDescent="0.35">
      <c r="B863" s="88">
        <v>48695</v>
      </c>
      <c r="C863" s="88"/>
      <c r="D863" s="88"/>
      <c r="E863" s="88"/>
      <c r="F863" s="88"/>
      <c r="G863" s="88"/>
      <c r="H863" s="88"/>
      <c r="I863" s="88"/>
      <c r="J863" s="88"/>
      <c r="K863" s="88"/>
      <c r="L863" s="88"/>
    </row>
    <row r="864" spans="2:12" x14ac:dyDescent="0.35">
      <c r="B864" s="89">
        <v>48795</v>
      </c>
      <c r="C864" s="89"/>
      <c r="D864" s="89"/>
      <c r="E864" s="89"/>
      <c r="F864" s="89"/>
      <c r="G864" s="89"/>
      <c r="H864" s="89"/>
      <c r="I864" s="89"/>
      <c r="J864" s="89"/>
      <c r="K864" s="89"/>
      <c r="L864" s="89"/>
    </row>
    <row r="865" spans="2:12" x14ac:dyDescent="0.35">
      <c r="B865" s="88">
        <v>48895</v>
      </c>
      <c r="C865" s="88"/>
      <c r="D865" s="88"/>
      <c r="E865" s="88"/>
      <c r="F865" s="88"/>
      <c r="G865" s="88"/>
      <c r="H865" s="88"/>
      <c r="I865" s="88"/>
      <c r="J865" s="88"/>
      <c r="K865" s="88"/>
      <c r="L865" s="88"/>
    </row>
    <row r="866" spans="2:12" x14ac:dyDescent="0.35">
      <c r="B866" s="89">
        <v>48995</v>
      </c>
      <c r="C866" s="89"/>
      <c r="D866" s="89"/>
      <c r="E866" s="89"/>
      <c r="F866" s="89"/>
      <c r="G866" s="89"/>
      <c r="H866" s="89"/>
      <c r="I866" s="89"/>
      <c r="J866" s="89"/>
      <c r="K866" s="89"/>
      <c r="L866" s="89"/>
    </row>
    <row r="867" spans="2:12" x14ac:dyDescent="0.35">
      <c r="B867" s="88">
        <v>49095</v>
      </c>
      <c r="C867" s="88"/>
      <c r="D867" s="88"/>
      <c r="E867" s="88"/>
      <c r="F867" s="88"/>
      <c r="G867" s="88"/>
      <c r="H867" s="88"/>
      <c r="I867" s="88"/>
      <c r="J867" s="88"/>
      <c r="K867" s="88"/>
      <c r="L867" s="88"/>
    </row>
    <row r="868" spans="2:12" x14ac:dyDescent="0.35">
      <c r="B868" s="89">
        <v>49195</v>
      </c>
      <c r="C868" s="89"/>
      <c r="D868" s="89"/>
      <c r="E868" s="89"/>
      <c r="F868" s="89"/>
      <c r="G868" s="89"/>
      <c r="H868" s="89"/>
      <c r="I868" s="89"/>
      <c r="J868" s="89"/>
      <c r="K868" s="89"/>
      <c r="L868" s="89"/>
    </row>
    <row r="869" spans="2:12" x14ac:dyDescent="0.35">
      <c r="B869" s="88">
        <v>49295</v>
      </c>
      <c r="C869" s="88"/>
      <c r="D869" s="88"/>
      <c r="E869" s="88"/>
      <c r="F869" s="88"/>
      <c r="G869" s="88"/>
      <c r="H869" s="88"/>
      <c r="I869" s="88"/>
      <c r="J869" s="88"/>
      <c r="K869" s="88"/>
      <c r="L869" s="88"/>
    </row>
    <row r="870" spans="2:12" x14ac:dyDescent="0.35">
      <c r="B870" s="89">
        <v>49395</v>
      </c>
      <c r="C870" s="89"/>
      <c r="D870" s="89"/>
      <c r="E870" s="89"/>
      <c r="F870" s="89"/>
      <c r="G870" s="89"/>
      <c r="H870" s="89"/>
      <c r="I870" s="89"/>
      <c r="J870" s="89"/>
      <c r="K870" s="89"/>
      <c r="L870" s="89"/>
    </row>
    <row r="871" spans="2:12" x14ac:dyDescent="0.35">
      <c r="B871" s="88">
        <v>49495</v>
      </c>
      <c r="C871" s="88"/>
      <c r="D871" s="88"/>
      <c r="E871" s="88"/>
      <c r="F871" s="88"/>
      <c r="G871" s="88"/>
      <c r="H871" s="88"/>
      <c r="I871" s="88"/>
      <c r="J871" s="88"/>
      <c r="K871" s="88"/>
      <c r="L871" s="88"/>
    </row>
    <row r="872" spans="2:12" x14ac:dyDescent="0.35">
      <c r="B872" s="89">
        <v>49595</v>
      </c>
      <c r="C872" s="89"/>
      <c r="D872" s="89"/>
      <c r="E872" s="89"/>
      <c r="F872" s="89"/>
      <c r="G872" s="89"/>
      <c r="H872" s="89"/>
      <c r="I872" s="89"/>
      <c r="J872" s="89"/>
      <c r="K872" s="89"/>
      <c r="L872" s="89"/>
    </row>
    <row r="873" spans="2:12" x14ac:dyDescent="0.35">
      <c r="B873" s="88">
        <v>49695</v>
      </c>
      <c r="C873" s="88"/>
      <c r="D873" s="88"/>
      <c r="E873" s="88"/>
      <c r="F873" s="88"/>
      <c r="G873" s="88"/>
      <c r="H873" s="88"/>
      <c r="I873" s="88"/>
      <c r="J873" s="88"/>
      <c r="K873" s="88"/>
      <c r="L873" s="88"/>
    </row>
    <row r="874" spans="2:12" x14ac:dyDescent="0.35">
      <c r="B874" s="89">
        <v>49795</v>
      </c>
      <c r="C874" s="89"/>
      <c r="D874" s="89"/>
      <c r="E874" s="89"/>
      <c r="F874" s="89"/>
      <c r="G874" s="89"/>
      <c r="H874" s="89"/>
      <c r="I874" s="89"/>
      <c r="J874" s="89"/>
      <c r="K874" s="89"/>
      <c r="L874" s="89"/>
    </row>
    <row r="875" spans="2:12" x14ac:dyDescent="0.35">
      <c r="B875" s="88">
        <v>49895</v>
      </c>
      <c r="C875" s="88"/>
      <c r="D875" s="88"/>
      <c r="E875" s="88"/>
      <c r="F875" s="88"/>
      <c r="G875" s="88"/>
      <c r="H875" s="88"/>
      <c r="I875" s="88"/>
      <c r="J875" s="88"/>
      <c r="K875" s="88"/>
      <c r="L875" s="88"/>
    </row>
    <row r="876" spans="2:12" x14ac:dyDescent="0.35">
      <c r="B876" s="89">
        <v>49995</v>
      </c>
      <c r="C876" s="89"/>
      <c r="D876" s="89"/>
      <c r="E876" s="89"/>
      <c r="F876" s="89"/>
      <c r="G876" s="89"/>
      <c r="H876" s="89"/>
      <c r="I876" s="89"/>
      <c r="J876" s="89"/>
      <c r="K876" s="89"/>
      <c r="L876" s="89"/>
    </row>
    <row r="877" spans="2:12" x14ac:dyDescent="0.35">
      <c r="B877" s="88">
        <v>50095</v>
      </c>
      <c r="C877" s="88"/>
      <c r="D877" s="88"/>
      <c r="E877" s="88"/>
      <c r="F877" s="88"/>
      <c r="G877" s="88"/>
      <c r="H877" s="88"/>
      <c r="I877" s="88"/>
      <c r="J877" s="88"/>
      <c r="K877" s="88"/>
      <c r="L877" s="88"/>
    </row>
    <row r="878" spans="2:12" x14ac:dyDescent="0.35">
      <c r="B878" s="89">
        <v>50195</v>
      </c>
      <c r="C878" s="89"/>
      <c r="D878" s="89"/>
      <c r="E878" s="89"/>
      <c r="F878" s="89"/>
      <c r="G878" s="89"/>
      <c r="H878" s="89"/>
      <c r="I878" s="89"/>
      <c r="J878" s="89"/>
      <c r="K878" s="89"/>
      <c r="L878" s="89"/>
    </row>
    <row r="879" spans="2:12" x14ac:dyDescent="0.35">
      <c r="B879" s="88">
        <v>50295</v>
      </c>
      <c r="C879" s="88"/>
      <c r="D879" s="88"/>
      <c r="E879" s="88"/>
      <c r="F879" s="88"/>
      <c r="G879" s="88"/>
      <c r="H879" s="88"/>
      <c r="I879" s="88"/>
      <c r="J879" s="88"/>
      <c r="K879" s="88"/>
      <c r="L879" s="88"/>
    </row>
    <row r="880" spans="2:12" x14ac:dyDescent="0.35">
      <c r="B880" s="89">
        <v>50395</v>
      </c>
      <c r="C880" s="89"/>
      <c r="D880" s="89"/>
      <c r="E880" s="89"/>
      <c r="F880" s="89"/>
      <c r="G880" s="89"/>
      <c r="H880" s="89"/>
      <c r="I880" s="89"/>
      <c r="J880" s="89"/>
      <c r="K880" s="89"/>
      <c r="L880" s="89"/>
    </row>
    <row r="881" spans="2:12" x14ac:dyDescent="0.35">
      <c r="B881" s="88">
        <v>50495</v>
      </c>
      <c r="C881" s="88"/>
      <c r="D881" s="88"/>
      <c r="E881" s="88"/>
      <c r="F881" s="88"/>
      <c r="G881" s="88"/>
      <c r="H881" s="88"/>
      <c r="I881" s="88"/>
      <c r="J881" s="88"/>
      <c r="K881" s="88"/>
      <c r="L881" s="88"/>
    </row>
    <row r="882" spans="2:12" x14ac:dyDescent="0.35">
      <c r="B882" s="89">
        <v>50595</v>
      </c>
      <c r="C882" s="89"/>
      <c r="D882" s="89"/>
      <c r="E882" s="89"/>
      <c r="F882" s="89"/>
      <c r="G882" s="89"/>
      <c r="H882" s="89"/>
      <c r="I882" s="89"/>
      <c r="J882" s="89"/>
      <c r="K882" s="89"/>
      <c r="L882" s="89"/>
    </row>
    <row r="883" spans="2:12" x14ac:dyDescent="0.35">
      <c r="B883" s="88">
        <v>50695</v>
      </c>
      <c r="C883" s="88"/>
      <c r="D883" s="88"/>
      <c r="E883" s="88"/>
      <c r="F883" s="88"/>
      <c r="G883" s="88"/>
      <c r="H883" s="88"/>
      <c r="I883" s="88"/>
      <c r="J883" s="88"/>
      <c r="K883" s="88"/>
      <c r="L883" s="88"/>
    </row>
    <row r="884" spans="2:12" x14ac:dyDescent="0.35">
      <c r="B884" s="89">
        <v>50795</v>
      </c>
      <c r="C884" s="89"/>
      <c r="D884" s="89"/>
      <c r="E884" s="89"/>
      <c r="F884" s="89"/>
      <c r="G884" s="89"/>
      <c r="H884" s="89"/>
      <c r="I884" s="89"/>
      <c r="J884" s="89"/>
      <c r="K884" s="89"/>
      <c r="L884" s="89"/>
    </row>
    <row r="885" spans="2:12" x14ac:dyDescent="0.35">
      <c r="B885" s="88">
        <v>50895</v>
      </c>
      <c r="C885" s="88"/>
      <c r="D885" s="88"/>
      <c r="E885" s="88"/>
      <c r="F885" s="88"/>
      <c r="G885" s="88"/>
      <c r="H885" s="88"/>
      <c r="I885" s="88"/>
      <c r="J885" s="88"/>
      <c r="K885" s="88"/>
      <c r="L885" s="88"/>
    </row>
    <row r="886" spans="2:12" x14ac:dyDescent="0.35">
      <c r="B886" s="89">
        <v>50995</v>
      </c>
      <c r="C886" s="89"/>
      <c r="D886" s="89"/>
      <c r="E886" s="89"/>
      <c r="F886" s="89"/>
      <c r="G886" s="89"/>
      <c r="H886" s="89"/>
      <c r="I886" s="89"/>
      <c r="J886" s="89"/>
      <c r="K886" s="89"/>
      <c r="L886" s="89"/>
    </row>
    <row r="887" spans="2:12" x14ac:dyDescent="0.35">
      <c r="B887" s="88">
        <v>51095</v>
      </c>
      <c r="C887" s="88"/>
      <c r="D887" s="88"/>
      <c r="E887" s="88"/>
      <c r="F887" s="88"/>
      <c r="G887" s="88"/>
      <c r="H887" s="88"/>
      <c r="I887" s="88"/>
      <c r="J887" s="88"/>
      <c r="K887" s="88"/>
      <c r="L887" s="88"/>
    </row>
    <row r="888" spans="2:12" x14ac:dyDescent="0.35">
      <c r="B888" s="89">
        <v>51195</v>
      </c>
      <c r="C888" s="89"/>
      <c r="D888" s="89"/>
      <c r="E888" s="89"/>
      <c r="F888" s="89"/>
      <c r="G888" s="89"/>
      <c r="H888" s="89"/>
      <c r="I888" s="89"/>
      <c r="J888" s="89"/>
      <c r="K888" s="89"/>
      <c r="L888" s="89"/>
    </row>
    <row r="889" spans="2:12" x14ac:dyDescent="0.35">
      <c r="B889" s="88">
        <v>51295</v>
      </c>
      <c r="C889" s="88"/>
      <c r="D889" s="88"/>
      <c r="E889" s="88"/>
      <c r="F889" s="88"/>
      <c r="G889" s="88"/>
      <c r="H889" s="88"/>
      <c r="I889" s="88"/>
      <c r="J889" s="88"/>
      <c r="K889" s="88"/>
      <c r="L889" s="88"/>
    </row>
    <row r="890" spans="2:12" x14ac:dyDescent="0.35">
      <c r="B890" s="89">
        <v>51395</v>
      </c>
      <c r="C890" s="89"/>
      <c r="D890" s="89"/>
      <c r="E890" s="89"/>
      <c r="F890" s="89"/>
      <c r="G890" s="89"/>
      <c r="H890" s="89"/>
      <c r="I890" s="89"/>
      <c r="J890" s="89"/>
      <c r="K890" s="89"/>
      <c r="L890" s="89"/>
    </row>
    <row r="891" spans="2:12" x14ac:dyDescent="0.35">
      <c r="B891" s="88">
        <v>51495</v>
      </c>
      <c r="C891" s="88"/>
      <c r="D891" s="88"/>
      <c r="E891" s="88"/>
      <c r="F891" s="88"/>
      <c r="G891" s="88"/>
      <c r="H891" s="88"/>
      <c r="I891" s="88"/>
      <c r="J891" s="88"/>
      <c r="K891" s="88"/>
      <c r="L891" s="88"/>
    </row>
    <row r="892" spans="2:12" x14ac:dyDescent="0.35">
      <c r="B892" s="89">
        <v>51595</v>
      </c>
      <c r="C892" s="89"/>
      <c r="D892" s="89"/>
      <c r="E892" s="89"/>
      <c r="F892" s="89"/>
      <c r="G892" s="89"/>
      <c r="H892" s="89"/>
      <c r="I892" s="89"/>
      <c r="J892" s="89"/>
      <c r="K892" s="89"/>
      <c r="L892" s="89"/>
    </row>
    <row r="893" spans="2:12" x14ac:dyDescent="0.35">
      <c r="B893" s="88">
        <v>51695</v>
      </c>
      <c r="C893" s="88"/>
      <c r="D893" s="88"/>
      <c r="E893" s="88"/>
      <c r="F893" s="88"/>
      <c r="G893" s="88"/>
      <c r="H893" s="88"/>
      <c r="I893" s="88"/>
      <c r="J893" s="88"/>
      <c r="K893" s="88"/>
      <c r="L893" s="88"/>
    </row>
    <row r="894" spans="2:12" x14ac:dyDescent="0.35">
      <c r="B894" s="89">
        <v>51795</v>
      </c>
      <c r="C894" s="89"/>
      <c r="D894" s="89"/>
      <c r="E894" s="89"/>
      <c r="F894" s="89"/>
      <c r="G894" s="89"/>
      <c r="H894" s="89"/>
      <c r="I894" s="89"/>
      <c r="J894" s="89"/>
      <c r="K894" s="89"/>
      <c r="L894" s="89"/>
    </row>
    <row r="895" spans="2:12" x14ac:dyDescent="0.35">
      <c r="B895" s="88">
        <v>51895</v>
      </c>
      <c r="C895" s="88"/>
      <c r="D895" s="88"/>
      <c r="E895" s="88"/>
      <c r="F895" s="88"/>
      <c r="G895" s="88"/>
      <c r="H895" s="88"/>
      <c r="I895" s="88"/>
      <c r="J895" s="88"/>
      <c r="K895" s="88"/>
      <c r="L895" s="88"/>
    </row>
    <row r="896" spans="2:12" x14ac:dyDescent="0.35">
      <c r="B896" s="89">
        <v>51995</v>
      </c>
      <c r="C896" s="89"/>
      <c r="D896" s="89"/>
      <c r="E896" s="89"/>
      <c r="F896" s="89"/>
      <c r="G896" s="89"/>
      <c r="H896" s="89"/>
      <c r="I896" s="89"/>
      <c r="J896" s="89"/>
      <c r="K896" s="89"/>
      <c r="L896" s="89"/>
    </row>
    <row r="897" spans="2:12" x14ac:dyDescent="0.35">
      <c r="B897" s="88">
        <v>52095</v>
      </c>
      <c r="C897" s="88"/>
      <c r="D897" s="88"/>
      <c r="E897" s="88"/>
      <c r="F897" s="88"/>
      <c r="G897" s="88"/>
      <c r="H897" s="88"/>
      <c r="I897" s="88"/>
      <c r="J897" s="88"/>
      <c r="K897" s="88"/>
      <c r="L897" s="88"/>
    </row>
    <row r="898" spans="2:12" x14ac:dyDescent="0.35">
      <c r="B898" s="89">
        <v>52195</v>
      </c>
      <c r="C898" s="89"/>
      <c r="D898" s="89"/>
      <c r="E898" s="89"/>
      <c r="F898" s="89"/>
      <c r="G898" s="89"/>
      <c r="H898" s="89"/>
      <c r="I898" s="89"/>
      <c r="J898" s="89"/>
      <c r="K898" s="89"/>
      <c r="L898" s="89"/>
    </row>
    <row r="899" spans="2:12" x14ac:dyDescent="0.35">
      <c r="B899" s="88">
        <v>52295</v>
      </c>
      <c r="C899" s="88"/>
      <c r="D899" s="88"/>
      <c r="E899" s="88"/>
      <c r="F899" s="88"/>
      <c r="G899" s="88"/>
      <c r="H899" s="88"/>
      <c r="I899" s="88"/>
      <c r="J899" s="88"/>
      <c r="K899" s="88"/>
      <c r="L899" s="88"/>
    </row>
    <row r="900" spans="2:12" x14ac:dyDescent="0.35">
      <c r="B900" s="89">
        <v>52395</v>
      </c>
      <c r="C900" s="89"/>
      <c r="D900" s="89"/>
      <c r="E900" s="89"/>
      <c r="F900" s="89"/>
      <c r="G900" s="89"/>
      <c r="H900" s="89"/>
      <c r="I900" s="89"/>
      <c r="J900" s="89"/>
      <c r="K900" s="89"/>
      <c r="L900" s="89"/>
    </row>
    <row r="901" spans="2:12" x14ac:dyDescent="0.35">
      <c r="B901" s="88">
        <v>52495</v>
      </c>
      <c r="C901" s="88"/>
      <c r="D901" s="88"/>
      <c r="E901" s="88"/>
      <c r="F901" s="88"/>
      <c r="G901" s="88"/>
      <c r="H901" s="88"/>
      <c r="I901" s="88"/>
      <c r="J901" s="88"/>
      <c r="K901" s="88"/>
      <c r="L901" s="88"/>
    </row>
    <row r="902" spans="2:12" x14ac:dyDescent="0.35">
      <c r="B902" s="89">
        <v>52595</v>
      </c>
      <c r="C902" s="89"/>
      <c r="D902" s="89"/>
      <c r="E902" s="89"/>
      <c r="F902" s="89"/>
      <c r="G902" s="89"/>
      <c r="H902" s="89"/>
      <c r="I902" s="89"/>
      <c r="J902" s="89"/>
      <c r="K902" s="89"/>
      <c r="L902" s="89"/>
    </row>
    <row r="903" spans="2:12" x14ac:dyDescent="0.35">
      <c r="B903" s="88">
        <v>52695</v>
      </c>
      <c r="C903" s="88"/>
      <c r="D903" s="88"/>
      <c r="E903" s="88"/>
      <c r="F903" s="88"/>
      <c r="G903" s="88"/>
      <c r="H903" s="88"/>
      <c r="I903" s="88"/>
      <c r="J903" s="88"/>
      <c r="K903" s="88"/>
      <c r="L903" s="88"/>
    </row>
    <row r="904" spans="2:12" x14ac:dyDescent="0.35">
      <c r="B904" s="89">
        <v>52795</v>
      </c>
      <c r="C904" s="89"/>
      <c r="D904" s="89"/>
      <c r="E904" s="89"/>
      <c r="F904" s="89"/>
      <c r="G904" s="89"/>
      <c r="H904" s="89"/>
      <c r="I904" s="89"/>
      <c r="J904" s="89"/>
      <c r="K904" s="89"/>
      <c r="L904" s="89"/>
    </row>
    <row r="905" spans="2:12" x14ac:dyDescent="0.35">
      <c r="B905" s="88">
        <v>52895</v>
      </c>
      <c r="C905" s="88"/>
      <c r="D905" s="88"/>
      <c r="E905" s="88"/>
      <c r="F905" s="88"/>
      <c r="G905" s="88"/>
      <c r="H905" s="88"/>
      <c r="I905" s="88"/>
      <c r="J905" s="88"/>
      <c r="K905" s="88"/>
      <c r="L905" s="88"/>
    </row>
    <row r="906" spans="2:12" x14ac:dyDescent="0.35">
      <c r="B906" s="89">
        <v>52995</v>
      </c>
      <c r="C906" s="89"/>
      <c r="D906" s="89"/>
      <c r="E906" s="89"/>
      <c r="F906" s="89"/>
      <c r="G906" s="89"/>
      <c r="H906" s="89"/>
      <c r="I906" s="89"/>
      <c r="J906" s="89"/>
      <c r="K906" s="89"/>
      <c r="L906" s="89"/>
    </row>
    <row r="907" spans="2:12" x14ac:dyDescent="0.35">
      <c r="B907" s="88">
        <v>53095</v>
      </c>
      <c r="C907" s="88"/>
      <c r="D907" s="88"/>
      <c r="E907" s="88"/>
      <c r="F907" s="88"/>
      <c r="G907" s="88"/>
      <c r="H907" s="88"/>
      <c r="I907" s="88"/>
      <c r="J907" s="88"/>
      <c r="K907" s="88"/>
      <c r="L907" s="88"/>
    </row>
    <row r="908" spans="2:12" x14ac:dyDescent="0.35">
      <c r="B908" s="89">
        <v>53195</v>
      </c>
      <c r="C908" s="89"/>
      <c r="D908" s="89"/>
      <c r="E908" s="89"/>
      <c r="F908" s="89"/>
      <c r="G908" s="89"/>
      <c r="H908" s="89"/>
      <c r="I908" s="89"/>
      <c r="J908" s="89"/>
      <c r="K908" s="89"/>
      <c r="L908" s="89"/>
    </row>
    <row r="909" spans="2:12" x14ac:dyDescent="0.35">
      <c r="B909" s="88">
        <v>53295</v>
      </c>
      <c r="C909" s="88"/>
      <c r="D909" s="88"/>
      <c r="E909" s="88"/>
      <c r="F909" s="88"/>
      <c r="G909" s="88"/>
      <c r="H909" s="88"/>
      <c r="I909" s="88"/>
      <c r="J909" s="88"/>
      <c r="K909" s="88"/>
      <c r="L909" s="88"/>
    </row>
    <row r="910" spans="2:12" x14ac:dyDescent="0.35">
      <c r="B910" s="89">
        <v>53395</v>
      </c>
      <c r="C910" s="89"/>
      <c r="D910" s="89"/>
      <c r="E910" s="89"/>
      <c r="F910" s="89"/>
      <c r="G910" s="89"/>
      <c r="H910" s="89"/>
      <c r="I910" s="89"/>
      <c r="J910" s="89"/>
      <c r="K910" s="89"/>
      <c r="L910" s="89"/>
    </row>
    <row r="911" spans="2:12" x14ac:dyDescent="0.35">
      <c r="B911" s="88">
        <v>53495</v>
      </c>
      <c r="C911" s="88"/>
      <c r="D911" s="88"/>
      <c r="E911" s="88"/>
      <c r="F911" s="88"/>
      <c r="G911" s="88"/>
      <c r="H911" s="88"/>
      <c r="I911" s="88"/>
      <c r="J911" s="88"/>
      <c r="K911" s="88"/>
      <c r="L911" s="88"/>
    </row>
    <row r="912" spans="2:12" x14ac:dyDescent="0.35">
      <c r="B912" s="89">
        <v>53595</v>
      </c>
      <c r="C912" s="89"/>
      <c r="D912" s="89"/>
      <c r="E912" s="89"/>
      <c r="F912" s="89"/>
      <c r="G912" s="89"/>
      <c r="H912" s="89"/>
      <c r="I912" s="89"/>
      <c r="J912" s="89"/>
      <c r="K912" s="89"/>
      <c r="L912" s="89"/>
    </row>
    <row r="913" spans="2:12" x14ac:dyDescent="0.35">
      <c r="B913" s="88">
        <v>53695</v>
      </c>
      <c r="C913" s="88"/>
      <c r="D913" s="88"/>
      <c r="E913" s="88"/>
      <c r="F913" s="88"/>
      <c r="G913" s="88"/>
      <c r="H913" s="88"/>
      <c r="I913" s="88"/>
      <c r="J913" s="88"/>
      <c r="K913" s="88"/>
      <c r="L913" s="88"/>
    </row>
    <row r="914" spans="2:12" x14ac:dyDescent="0.35">
      <c r="B914" s="89">
        <v>53795</v>
      </c>
      <c r="C914" s="89"/>
      <c r="D914" s="89"/>
      <c r="E914" s="89"/>
      <c r="F914" s="89"/>
      <c r="G914" s="89"/>
      <c r="H914" s="89"/>
      <c r="I914" s="89"/>
      <c r="J914" s="89"/>
      <c r="K914" s="89"/>
      <c r="L914" s="89"/>
    </row>
    <row r="915" spans="2:12" x14ac:dyDescent="0.35">
      <c r="B915" s="88">
        <v>53895</v>
      </c>
      <c r="C915" s="88"/>
      <c r="D915" s="88"/>
      <c r="E915" s="88"/>
      <c r="F915" s="88"/>
      <c r="G915" s="88"/>
      <c r="H915" s="88"/>
      <c r="I915" s="88"/>
      <c r="J915" s="88"/>
      <c r="K915" s="88"/>
      <c r="L915" s="88"/>
    </row>
    <row r="916" spans="2:12" x14ac:dyDescent="0.35">
      <c r="B916" s="89">
        <v>53995</v>
      </c>
      <c r="C916" s="89"/>
      <c r="D916" s="89"/>
      <c r="E916" s="89"/>
      <c r="F916" s="89"/>
      <c r="G916" s="89"/>
      <c r="H916" s="89"/>
      <c r="I916" s="89"/>
      <c r="J916" s="89"/>
      <c r="K916" s="89"/>
      <c r="L916" s="89"/>
    </row>
    <row r="917" spans="2:12" x14ac:dyDescent="0.35">
      <c r="B917" s="88">
        <v>54095</v>
      </c>
      <c r="C917" s="88"/>
      <c r="D917" s="88"/>
      <c r="E917" s="88"/>
      <c r="F917" s="88"/>
      <c r="G917" s="88"/>
      <c r="H917" s="88"/>
      <c r="I917" s="88"/>
      <c r="J917" s="88"/>
      <c r="K917" s="88"/>
      <c r="L917" s="88"/>
    </row>
    <row r="918" spans="2:12" x14ac:dyDescent="0.35">
      <c r="B918" s="89">
        <v>54195</v>
      </c>
      <c r="C918" s="89"/>
      <c r="D918" s="89"/>
      <c r="E918" s="89"/>
      <c r="F918" s="89"/>
      <c r="G918" s="89"/>
      <c r="H918" s="89"/>
      <c r="I918" s="89"/>
      <c r="J918" s="89"/>
      <c r="K918" s="89"/>
      <c r="L918" s="89"/>
    </row>
    <row r="919" spans="2:12" x14ac:dyDescent="0.35">
      <c r="B919" s="88">
        <v>54295</v>
      </c>
      <c r="C919" s="88"/>
      <c r="D919" s="88"/>
      <c r="E919" s="88"/>
      <c r="F919" s="88"/>
      <c r="G919" s="88"/>
      <c r="H919" s="88"/>
      <c r="I919" s="88"/>
      <c r="J919" s="88"/>
      <c r="K919" s="88"/>
      <c r="L919" s="88"/>
    </row>
    <row r="920" spans="2:12" x14ac:dyDescent="0.35">
      <c r="B920" s="89">
        <v>54395</v>
      </c>
      <c r="C920" s="89"/>
      <c r="D920" s="89"/>
      <c r="E920" s="89"/>
      <c r="F920" s="89"/>
      <c r="G920" s="89"/>
      <c r="H920" s="89"/>
      <c r="I920" s="89"/>
      <c r="J920" s="89"/>
      <c r="K920" s="89"/>
      <c r="L920" s="89"/>
    </row>
    <row r="921" spans="2:12" x14ac:dyDescent="0.35">
      <c r="B921" s="88">
        <v>54495</v>
      </c>
      <c r="C921" s="88"/>
      <c r="D921" s="88"/>
      <c r="E921" s="88"/>
      <c r="F921" s="88"/>
      <c r="G921" s="88"/>
      <c r="H921" s="88"/>
      <c r="I921" s="88"/>
      <c r="J921" s="88"/>
      <c r="K921" s="88"/>
      <c r="L921" s="88"/>
    </row>
    <row r="922" spans="2:12" x14ac:dyDescent="0.35">
      <c r="B922" s="89">
        <v>54595</v>
      </c>
      <c r="C922" s="89"/>
      <c r="D922" s="89"/>
      <c r="E922" s="89"/>
      <c r="F922" s="89"/>
      <c r="G922" s="89"/>
      <c r="H922" s="89"/>
      <c r="I922" s="89"/>
      <c r="J922" s="89"/>
      <c r="K922" s="89"/>
      <c r="L922" s="89"/>
    </row>
    <row r="923" spans="2:12" x14ac:dyDescent="0.35">
      <c r="B923" s="88">
        <v>54695</v>
      </c>
      <c r="C923" s="88"/>
      <c r="D923" s="88"/>
      <c r="E923" s="88"/>
      <c r="F923" s="88"/>
      <c r="G923" s="88"/>
      <c r="H923" s="88"/>
      <c r="I923" s="88"/>
      <c r="J923" s="88"/>
      <c r="K923" s="88"/>
      <c r="L923" s="88"/>
    </row>
    <row r="924" spans="2:12" x14ac:dyDescent="0.35">
      <c r="B924" s="89">
        <v>54795</v>
      </c>
      <c r="C924" s="89"/>
      <c r="D924" s="89"/>
      <c r="E924" s="89"/>
      <c r="F924" s="89"/>
      <c r="G924" s="89"/>
      <c r="H924" s="89"/>
      <c r="I924" s="89"/>
      <c r="J924" s="89"/>
      <c r="K924" s="89"/>
      <c r="L924" s="89"/>
    </row>
    <row r="925" spans="2:12" x14ac:dyDescent="0.35">
      <c r="B925" s="88">
        <v>54895</v>
      </c>
      <c r="C925" s="88"/>
      <c r="D925" s="88"/>
      <c r="E925" s="88"/>
      <c r="F925" s="88"/>
      <c r="G925" s="88"/>
      <c r="H925" s="88"/>
      <c r="I925" s="88"/>
      <c r="J925" s="88"/>
      <c r="K925" s="88"/>
      <c r="L925" s="88"/>
    </row>
    <row r="926" spans="2:12" x14ac:dyDescent="0.35">
      <c r="B926" s="89">
        <v>54995</v>
      </c>
      <c r="C926" s="89"/>
      <c r="D926" s="89"/>
      <c r="E926" s="89"/>
      <c r="F926" s="89"/>
      <c r="G926" s="89"/>
      <c r="H926" s="89"/>
      <c r="I926" s="89"/>
      <c r="J926" s="89"/>
      <c r="K926" s="89"/>
      <c r="L926" s="89"/>
    </row>
    <row r="927" spans="2:12" x14ac:dyDescent="0.35">
      <c r="B927" s="88">
        <v>55095</v>
      </c>
      <c r="C927" s="88"/>
      <c r="D927" s="88"/>
      <c r="E927" s="88"/>
      <c r="F927" s="88"/>
      <c r="G927" s="88"/>
      <c r="H927" s="88"/>
      <c r="I927" s="88"/>
      <c r="J927" s="88"/>
      <c r="K927" s="88"/>
      <c r="L927" s="88"/>
    </row>
    <row r="928" spans="2:12" x14ac:dyDescent="0.35">
      <c r="B928" s="89">
        <v>55195</v>
      </c>
      <c r="C928" s="89"/>
      <c r="D928" s="89"/>
      <c r="E928" s="89"/>
      <c r="F928" s="89"/>
      <c r="G928" s="89"/>
      <c r="H928" s="89"/>
      <c r="I928" s="89"/>
      <c r="J928" s="89"/>
      <c r="K928" s="89"/>
      <c r="L928" s="89"/>
    </row>
    <row r="929" spans="2:12" x14ac:dyDescent="0.35">
      <c r="B929" s="88">
        <v>55295</v>
      </c>
      <c r="C929" s="88"/>
      <c r="D929" s="88"/>
      <c r="E929" s="88"/>
      <c r="F929" s="88"/>
      <c r="G929" s="88"/>
      <c r="H929" s="88"/>
      <c r="I929" s="88"/>
      <c r="J929" s="88"/>
      <c r="K929" s="88"/>
      <c r="L929" s="88"/>
    </row>
    <row r="930" spans="2:12" x14ac:dyDescent="0.35">
      <c r="B930" s="89">
        <v>55395</v>
      </c>
      <c r="C930" s="89"/>
      <c r="D930" s="89"/>
      <c r="E930" s="89"/>
      <c r="F930" s="89"/>
      <c r="G930" s="89"/>
      <c r="H930" s="89"/>
      <c r="I930" s="89"/>
      <c r="J930" s="89"/>
      <c r="K930" s="89"/>
      <c r="L930" s="89"/>
    </row>
    <row r="931" spans="2:12" x14ac:dyDescent="0.35">
      <c r="B931" s="88">
        <v>55495</v>
      </c>
      <c r="C931" s="88"/>
      <c r="D931" s="88"/>
      <c r="E931" s="88"/>
      <c r="F931" s="88"/>
      <c r="G931" s="88"/>
      <c r="H931" s="88"/>
      <c r="I931" s="88"/>
      <c r="J931" s="88"/>
      <c r="K931" s="88"/>
      <c r="L931" s="88"/>
    </row>
    <row r="932" spans="2:12" x14ac:dyDescent="0.35">
      <c r="B932" s="89">
        <v>55595</v>
      </c>
      <c r="C932" s="89"/>
      <c r="D932" s="89"/>
      <c r="E932" s="89"/>
      <c r="F932" s="89"/>
      <c r="G932" s="89"/>
      <c r="H932" s="89"/>
      <c r="I932" s="89"/>
      <c r="J932" s="89"/>
      <c r="K932" s="89"/>
      <c r="L932" s="89"/>
    </row>
    <row r="933" spans="2:12" x14ac:dyDescent="0.35">
      <c r="B933" s="88">
        <v>55695</v>
      </c>
      <c r="C933" s="88"/>
      <c r="D933" s="88"/>
      <c r="E933" s="88"/>
      <c r="F933" s="88"/>
      <c r="G933" s="88"/>
      <c r="H933" s="88"/>
      <c r="I933" s="88"/>
      <c r="J933" s="88"/>
      <c r="K933" s="88"/>
      <c r="L933" s="88"/>
    </row>
    <row r="934" spans="2:12" x14ac:dyDescent="0.35">
      <c r="B934" s="89">
        <v>55795</v>
      </c>
      <c r="C934" s="89"/>
      <c r="D934" s="89"/>
      <c r="E934" s="89"/>
      <c r="F934" s="89"/>
      <c r="G934" s="89"/>
      <c r="H934" s="89"/>
      <c r="I934" s="89"/>
      <c r="J934" s="89"/>
      <c r="K934" s="89"/>
      <c r="L934" s="89"/>
    </row>
    <row r="935" spans="2:12" x14ac:dyDescent="0.35">
      <c r="B935" s="88">
        <v>55895</v>
      </c>
      <c r="C935" s="88"/>
      <c r="D935" s="88"/>
      <c r="E935" s="88"/>
      <c r="F935" s="88"/>
      <c r="G935" s="88"/>
      <c r="H935" s="88"/>
      <c r="I935" s="88"/>
      <c r="J935" s="88"/>
      <c r="K935" s="88"/>
      <c r="L935" s="88"/>
    </row>
    <row r="936" spans="2:12" x14ac:dyDescent="0.35">
      <c r="B936" s="89">
        <v>55995</v>
      </c>
      <c r="C936" s="89"/>
      <c r="D936" s="89"/>
      <c r="E936" s="89"/>
      <c r="F936" s="89"/>
      <c r="G936" s="89"/>
      <c r="H936" s="89"/>
      <c r="I936" s="89"/>
      <c r="J936" s="89"/>
      <c r="K936" s="89"/>
      <c r="L936" s="89"/>
    </row>
    <row r="937" spans="2:12" x14ac:dyDescent="0.35">
      <c r="B937" s="88">
        <v>56095</v>
      </c>
      <c r="C937" s="88"/>
      <c r="D937" s="88"/>
      <c r="E937" s="88"/>
      <c r="F937" s="88"/>
      <c r="G937" s="88"/>
      <c r="H937" s="88"/>
      <c r="I937" s="88"/>
      <c r="J937" s="88"/>
      <c r="K937" s="88"/>
      <c r="L937" s="88"/>
    </row>
    <row r="938" spans="2:12" x14ac:dyDescent="0.35">
      <c r="B938" s="89">
        <v>56195</v>
      </c>
      <c r="C938" s="89"/>
      <c r="D938" s="89"/>
      <c r="E938" s="89"/>
      <c r="F938" s="89"/>
      <c r="G938" s="89"/>
      <c r="H938" s="89"/>
      <c r="I938" s="89"/>
      <c r="J938" s="89"/>
      <c r="K938" s="89"/>
      <c r="L938" s="89"/>
    </row>
    <row r="939" spans="2:12" x14ac:dyDescent="0.35">
      <c r="B939" s="88">
        <v>56295</v>
      </c>
      <c r="C939" s="88"/>
      <c r="D939" s="88"/>
      <c r="E939" s="88"/>
      <c r="F939" s="88"/>
      <c r="G939" s="88"/>
      <c r="H939" s="88"/>
      <c r="I939" s="88"/>
      <c r="J939" s="88"/>
      <c r="K939" s="88"/>
      <c r="L939" s="88"/>
    </row>
    <row r="940" spans="2:12" x14ac:dyDescent="0.35">
      <c r="B940" s="89">
        <v>56395</v>
      </c>
      <c r="C940" s="89"/>
      <c r="D940" s="89"/>
      <c r="E940" s="89"/>
      <c r="F940" s="89"/>
      <c r="G940" s="89"/>
      <c r="H940" s="89"/>
      <c r="I940" s="89"/>
      <c r="J940" s="89"/>
      <c r="K940" s="89"/>
      <c r="L940" s="89"/>
    </row>
    <row r="941" spans="2:12" x14ac:dyDescent="0.35">
      <c r="B941" s="88">
        <v>56495</v>
      </c>
      <c r="C941" s="88"/>
      <c r="D941" s="88"/>
      <c r="E941" s="88"/>
      <c r="F941" s="88"/>
      <c r="G941" s="88"/>
      <c r="H941" s="88"/>
      <c r="I941" s="88"/>
      <c r="J941" s="88"/>
      <c r="K941" s="88"/>
      <c r="L941" s="88"/>
    </row>
    <row r="942" spans="2:12" x14ac:dyDescent="0.35">
      <c r="B942" s="89">
        <v>56595</v>
      </c>
      <c r="C942" s="89"/>
      <c r="D942" s="89"/>
      <c r="E942" s="89"/>
      <c r="F942" s="89"/>
      <c r="G942" s="89"/>
      <c r="H942" s="89"/>
      <c r="I942" s="89"/>
      <c r="J942" s="89"/>
      <c r="K942" s="89"/>
      <c r="L942" s="89"/>
    </row>
    <row r="943" spans="2:12" x14ac:dyDescent="0.35">
      <c r="B943" s="88">
        <v>56695</v>
      </c>
      <c r="C943" s="88"/>
      <c r="D943" s="88"/>
      <c r="E943" s="88"/>
      <c r="F943" s="88"/>
      <c r="G943" s="88"/>
      <c r="H943" s="88"/>
      <c r="I943" s="88"/>
      <c r="J943" s="88"/>
      <c r="K943" s="88"/>
      <c r="L943" s="88"/>
    </row>
    <row r="944" spans="2:12" x14ac:dyDescent="0.35">
      <c r="B944" s="89">
        <v>56795</v>
      </c>
      <c r="C944" s="89"/>
      <c r="D944" s="89"/>
      <c r="E944" s="89"/>
      <c r="F944" s="89"/>
      <c r="G944" s="89"/>
      <c r="H944" s="89"/>
      <c r="I944" s="89"/>
      <c r="J944" s="89"/>
      <c r="K944" s="89"/>
      <c r="L944" s="89"/>
    </row>
    <row r="945" spans="2:12" x14ac:dyDescent="0.35">
      <c r="B945" s="88">
        <v>56895</v>
      </c>
      <c r="C945" s="88"/>
      <c r="D945" s="88"/>
      <c r="E945" s="88"/>
      <c r="F945" s="88"/>
      <c r="G945" s="88"/>
      <c r="H945" s="88"/>
      <c r="I945" s="88"/>
      <c r="J945" s="88"/>
      <c r="K945" s="88"/>
      <c r="L945" s="88"/>
    </row>
    <row r="946" spans="2:12" x14ac:dyDescent="0.35">
      <c r="B946" s="89">
        <v>56995</v>
      </c>
      <c r="C946" s="89"/>
      <c r="D946" s="89"/>
      <c r="E946" s="89"/>
      <c r="F946" s="89"/>
      <c r="G946" s="89"/>
      <c r="H946" s="89"/>
      <c r="I946" s="89"/>
      <c r="J946" s="89"/>
      <c r="K946" s="89"/>
      <c r="L946" s="89"/>
    </row>
    <row r="947" spans="2:12" x14ac:dyDescent="0.35">
      <c r="B947" s="88">
        <v>57095</v>
      </c>
      <c r="C947" s="88"/>
      <c r="D947" s="88"/>
      <c r="E947" s="88"/>
      <c r="F947" s="88"/>
      <c r="G947" s="88"/>
      <c r="H947" s="88"/>
      <c r="I947" s="88"/>
      <c r="J947" s="88"/>
      <c r="K947" s="88"/>
      <c r="L947" s="88"/>
    </row>
    <row r="948" spans="2:12" x14ac:dyDescent="0.35">
      <c r="B948" s="89">
        <v>57195</v>
      </c>
      <c r="C948" s="89"/>
      <c r="D948" s="89"/>
      <c r="E948" s="89"/>
      <c r="F948" s="89"/>
      <c r="G948" s="89"/>
      <c r="H948" s="89"/>
      <c r="I948" s="89"/>
      <c r="J948" s="89"/>
      <c r="K948" s="89"/>
      <c r="L948" s="89"/>
    </row>
    <row r="949" spans="2:12" x14ac:dyDescent="0.35">
      <c r="B949" s="88">
        <v>57295</v>
      </c>
      <c r="C949" s="88"/>
      <c r="D949" s="88"/>
      <c r="E949" s="88"/>
      <c r="F949" s="88"/>
      <c r="G949" s="88"/>
      <c r="H949" s="88"/>
      <c r="I949" s="88"/>
      <c r="J949" s="88"/>
      <c r="K949" s="88"/>
      <c r="L949" s="88"/>
    </row>
    <row r="950" spans="2:12" x14ac:dyDescent="0.35">
      <c r="B950" s="89">
        <v>57395</v>
      </c>
      <c r="C950" s="89"/>
      <c r="D950" s="89"/>
      <c r="E950" s="89"/>
      <c r="F950" s="89"/>
      <c r="G950" s="89"/>
      <c r="H950" s="89"/>
      <c r="I950" s="89"/>
      <c r="J950" s="89"/>
      <c r="K950" s="89"/>
      <c r="L950" s="89"/>
    </row>
    <row r="951" spans="2:12" x14ac:dyDescent="0.35">
      <c r="B951" s="88">
        <v>57495</v>
      </c>
      <c r="C951" s="88"/>
      <c r="D951" s="88"/>
      <c r="E951" s="88"/>
      <c r="F951" s="88"/>
      <c r="G951" s="88"/>
      <c r="H951" s="88"/>
      <c r="I951" s="88"/>
      <c r="J951" s="88"/>
      <c r="K951" s="88"/>
      <c r="L951" s="88"/>
    </row>
    <row r="952" spans="2:12" x14ac:dyDescent="0.35">
      <c r="B952" s="89">
        <v>57595</v>
      </c>
      <c r="C952" s="89"/>
      <c r="D952" s="89"/>
      <c r="E952" s="89"/>
      <c r="F952" s="89"/>
      <c r="G952" s="89"/>
      <c r="H952" s="89"/>
      <c r="I952" s="89"/>
      <c r="J952" s="89"/>
      <c r="K952" s="89"/>
      <c r="L952" s="89"/>
    </row>
    <row r="953" spans="2:12" x14ac:dyDescent="0.35">
      <c r="B953" s="88">
        <v>57695</v>
      </c>
      <c r="C953" s="88"/>
      <c r="D953" s="88"/>
      <c r="E953" s="88"/>
      <c r="F953" s="88"/>
      <c r="G953" s="88"/>
      <c r="H953" s="88"/>
      <c r="I953" s="88"/>
      <c r="J953" s="88"/>
      <c r="K953" s="88"/>
      <c r="L953" s="88"/>
    </row>
    <row r="954" spans="2:12" x14ac:dyDescent="0.35">
      <c r="B954" s="89">
        <v>57795</v>
      </c>
      <c r="C954" s="89"/>
      <c r="D954" s="89"/>
      <c r="E954" s="89"/>
      <c r="F954" s="89"/>
      <c r="G954" s="89"/>
      <c r="H954" s="89"/>
      <c r="I954" s="89"/>
      <c r="J954" s="89"/>
      <c r="K954" s="89"/>
      <c r="L954" s="89"/>
    </row>
    <row r="955" spans="2:12" x14ac:dyDescent="0.35">
      <c r="B955" s="88">
        <v>57895</v>
      </c>
      <c r="C955" s="88"/>
      <c r="D955" s="88"/>
      <c r="E955" s="88"/>
      <c r="F955" s="88"/>
      <c r="G955" s="88"/>
      <c r="H955" s="88"/>
      <c r="I955" s="88"/>
      <c r="J955" s="88"/>
      <c r="K955" s="88"/>
      <c r="L955" s="88"/>
    </row>
    <row r="956" spans="2:12" x14ac:dyDescent="0.35">
      <c r="B956" s="89">
        <v>57995</v>
      </c>
      <c r="C956" s="89"/>
      <c r="D956" s="89"/>
      <c r="E956" s="89"/>
      <c r="F956" s="89"/>
      <c r="G956" s="89"/>
      <c r="H956" s="89"/>
      <c r="I956" s="89"/>
      <c r="J956" s="89"/>
      <c r="K956" s="89"/>
      <c r="L956" s="89"/>
    </row>
    <row r="957" spans="2:12" x14ac:dyDescent="0.35">
      <c r="B957" s="88">
        <v>58095</v>
      </c>
      <c r="C957" s="88"/>
      <c r="D957" s="88"/>
      <c r="E957" s="88"/>
      <c r="F957" s="88"/>
      <c r="G957" s="88"/>
      <c r="H957" s="88"/>
      <c r="I957" s="88"/>
      <c r="J957" s="88"/>
      <c r="K957" s="88"/>
      <c r="L957" s="88"/>
    </row>
    <row r="958" spans="2:12" x14ac:dyDescent="0.35">
      <c r="B958" s="89">
        <v>58195</v>
      </c>
      <c r="C958" s="89"/>
      <c r="D958" s="89"/>
      <c r="E958" s="89"/>
      <c r="F958" s="89"/>
      <c r="G958" s="89"/>
      <c r="H958" s="89"/>
      <c r="I958" s="89"/>
      <c r="J958" s="89"/>
      <c r="K958" s="89"/>
      <c r="L958" s="89"/>
    </row>
    <row r="959" spans="2:12" x14ac:dyDescent="0.35">
      <c r="B959" s="88">
        <v>58295</v>
      </c>
      <c r="C959" s="88"/>
      <c r="D959" s="88"/>
      <c r="E959" s="88"/>
      <c r="F959" s="88"/>
      <c r="G959" s="88"/>
      <c r="H959" s="88"/>
      <c r="I959" s="88"/>
      <c r="J959" s="88"/>
      <c r="K959" s="88"/>
      <c r="L959" s="88"/>
    </row>
    <row r="960" spans="2:12" x14ac:dyDescent="0.35">
      <c r="B960" s="89">
        <v>58395</v>
      </c>
      <c r="C960" s="89"/>
      <c r="D960" s="89"/>
      <c r="E960" s="89"/>
      <c r="F960" s="89"/>
      <c r="G960" s="89"/>
      <c r="H960" s="89"/>
      <c r="I960" s="89"/>
      <c r="J960" s="89"/>
      <c r="K960" s="89"/>
      <c r="L960" s="89"/>
    </row>
    <row r="961" spans="2:12" x14ac:dyDescent="0.35">
      <c r="B961" s="88">
        <v>58495</v>
      </c>
      <c r="C961" s="88"/>
      <c r="D961" s="88"/>
      <c r="E961" s="88"/>
      <c r="F961" s="88"/>
      <c r="G961" s="88"/>
      <c r="H961" s="88"/>
      <c r="I961" s="88"/>
      <c r="J961" s="88"/>
      <c r="K961" s="88"/>
      <c r="L961" s="88"/>
    </row>
    <row r="962" spans="2:12" x14ac:dyDescent="0.35">
      <c r="B962" s="89">
        <v>58595</v>
      </c>
      <c r="C962" s="89"/>
      <c r="D962" s="89"/>
      <c r="E962" s="89"/>
      <c r="F962" s="89"/>
      <c r="G962" s="89"/>
      <c r="H962" s="89"/>
      <c r="I962" s="89"/>
      <c r="J962" s="89"/>
      <c r="K962" s="89"/>
      <c r="L962" s="89"/>
    </row>
    <row r="963" spans="2:12" x14ac:dyDescent="0.35">
      <c r="B963" s="88">
        <v>58695</v>
      </c>
      <c r="C963" s="88"/>
      <c r="D963" s="88"/>
      <c r="E963" s="88"/>
      <c r="F963" s="88"/>
      <c r="G963" s="88"/>
      <c r="H963" s="88"/>
      <c r="I963" s="88"/>
      <c r="J963" s="88"/>
      <c r="K963" s="88"/>
      <c r="L963" s="88"/>
    </row>
    <row r="964" spans="2:12" x14ac:dyDescent="0.35">
      <c r="B964" s="89">
        <v>58795</v>
      </c>
      <c r="C964" s="89"/>
      <c r="D964" s="89"/>
      <c r="E964" s="89"/>
      <c r="F964" s="89"/>
      <c r="G964" s="89"/>
      <c r="H964" s="89"/>
      <c r="I964" s="89"/>
      <c r="J964" s="89"/>
      <c r="K964" s="89"/>
      <c r="L964" s="89"/>
    </row>
    <row r="965" spans="2:12" x14ac:dyDescent="0.35">
      <c r="B965" s="88">
        <v>58895</v>
      </c>
      <c r="C965" s="88"/>
      <c r="D965" s="88"/>
      <c r="E965" s="88"/>
      <c r="F965" s="88"/>
      <c r="G965" s="88"/>
      <c r="H965" s="88"/>
      <c r="I965" s="88"/>
      <c r="J965" s="88"/>
      <c r="K965" s="88"/>
      <c r="L965" s="88"/>
    </row>
    <row r="966" spans="2:12" x14ac:dyDescent="0.35">
      <c r="B966" s="89">
        <v>58995</v>
      </c>
      <c r="C966" s="89"/>
      <c r="D966" s="89"/>
      <c r="E966" s="89"/>
      <c r="F966" s="89"/>
      <c r="G966" s="89"/>
      <c r="H966" s="89"/>
      <c r="I966" s="89"/>
      <c r="J966" s="89"/>
      <c r="K966" s="89"/>
      <c r="L966" s="89"/>
    </row>
    <row r="967" spans="2:12" x14ac:dyDescent="0.35">
      <c r="B967" s="88">
        <v>59095</v>
      </c>
      <c r="C967" s="88"/>
      <c r="D967" s="88"/>
      <c r="E967" s="88"/>
      <c r="F967" s="88"/>
      <c r="G967" s="88"/>
      <c r="H967" s="88"/>
      <c r="I967" s="88"/>
      <c r="J967" s="88"/>
      <c r="K967" s="88"/>
      <c r="L967" s="88"/>
    </row>
    <row r="968" spans="2:12" x14ac:dyDescent="0.35">
      <c r="B968" s="89">
        <v>59195</v>
      </c>
      <c r="C968" s="89"/>
      <c r="D968" s="89"/>
      <c r="E968" s="89"/>
      <c r="F968" s="89"/>
      <c r="G968" s="89"/>
      <c r="H968" s="89"/>
      <c r="I968" s="89"/>
      <c r="J968" s="89"/>
      <c r="K968" s="89"/>
      <c r="L968" s="89"/>
    </row>
    <row r="969" spans="2:12" x14ac:dyDescent="0.35">
      <c r="B969" s="88">
        <v>59295</v>
      </c>
      <c r="C969" s="88"/>
      <c r="D969" s="88"/>
      <c r="E969" s="88"/>
      <c r="F969" s="88"/>
      <c r="G969" s="88"/>
      <c r="H969" s="88"/>
      <c r="I969" s="88"/>
      <c r="J969" s="88"/>
      <c r="K969" s="88"/>
      <c r="L969" s="88"/>
    </row>
    <row r="970" spans="2:12" x14ac:dyDescent="0.35">
      <c r="B970" s="89">
        <v>59395</v>
      </c>
      <c r="C970" s="89"/>
      <c r="D970" s="89"/>
      <c r="E970" s="89"/>
      <c r="F970" s="89"/>
      <c r="G970" s="89"/>
      <c r="H970" s="89"/>
      <c r="I970" s="89"/>
      <c r="J970" s="89"/>
      <c r="K970" s="89"/>
      <c r="L970" s="89"/>
    </row>
    <row r="971" spans="2:12" x14ac:dyDescent="0.35">
      <c r="B971" s="88">
        <v>59495</v>
      </c>
      <c r="C971" s="88"/>
      <c r="D971" s="88"/>
      <c r="E971" s="88"/>
      <c r="F971" s="88"/>
      <c r="G971" s="88"/>
      <c r="H971" s="88"/>
      <c r="I971" s="88"/>
      <c r="J971" s="88"/>
      <c r="K971" s="88"/>
      <c r="L971" s="88"/>
    </row>
    <row r="972" spans="2:12" x14ac:dyDescent="0.35">
      <c r="B972" s="89">
        <v>59595</v>
      </c>
      <c r="C972" s="89"/>
      <c r="D972" s="89"/>
      <c r="E972" s="89"/>
      <c r="F972" s="89"/>
      <c r="G972" s="89"/>
      <c r="H972" s="89"/>
      <c r="I972" s="89"/>
      <c r="J972" s="89"/>
      <c r="K972" s="89"/>
      <c r="L972" s="89"/>
    </row>
    <row r="973" spans="2:12" x14ac:dyDescent="0.35">
      <c r="B973" s="88">
        <v>59695</v>
      </c>
      <c r="C973" s="88"/>
      <c r="D973" s="88"/>
      <c r="E973" s="88"/>
      <c r="F973" s="88"/>
      <c r="G973" s="88"/>
      <c r="H973" s="88"/>
      <c r="I973" s="88"/>
      <c r="J973" s="88"/>
      <c r="K973" s="88"/>
      <c r="L973" s="88"/>
    </row>
    <row r="974" spans="2:12" x14ac:dyDescent="0.35">
      <c r="B974" s="89">
        <v>59795</v>
      </c>
      <c r="C974" s="89"/>
      <c r="D974" s="89"/>
      <c r="E974" s="89"/>
      <c r="F974" s="89"/>
      <c r="G974" s="89"/>
      <c r="H974" s="89"/>
      <c r="I974" s="89"/>
      <c r="J974" s="89"/>
      <c r="K974" s="89"/>
      <c r="L974" s="89"/>
    </row>
    <row r="975" spans="2:12" x14ac:dyDescent="0.35">
      <c r="B975" s="88">
        <v>59895</v>
      </c>
      <c r="C975" s="88"/>
      <c r="D975" s="88"/>
      <c r="E975" s="88"/>
      <c r="F975" s="88"/>
      <c r="G975" s="88"/>
      <c r="H975" s="88"/>
      <c r="I975" s="88"/>
      <c r="J975" s="88"/>
      <c r="K975" s="88"/>
      <c r="L975" s="88"/>
    </row>
    <row r="976" spans="2:12" x14ac:dyDescent="0.35">
      <c r="B976" s="89">
        <v>59995</v>
      </c>
      <c r="C976" s="89"/>
      <c r="D976" s="89"/>
      <c r="E976" s="89"/>
      <c r="F976" s="89"/>
      <c r="G976" s="89"/>
      <c r="H976" s="89"/>
      <c r="I976" s="89"/>
      <c r="J976" s="89"/>
      <c r="K976" s="89"/>
      <c r="L976" s="89"/>
    </row>
    <row r="977" spans="2:12" x14ac:dyDescent="0.35">
      <c r="B977" s="88">
        <v>60095</v>
      </c>
      <c r="C977" s="88"/>
      <c r="D977" s="88"/>
      <c r="E977" s="88"/>
      <c r="F977" s="88"/>
      <c r="G977" s="88"/>
      <c r="H977" s="88"/>
      <c r="I977" s="88"/>
      <c r="J977" s="88"/>
      <c r="K977" s="88"/>
      <c r="L977" s="88"/>
    </row>
    <row r="978" spans="2:12" x14ac:dyDescent="0.35">
      <c r="B978" s="89">
        <v>60195</v>
      </c>
      <c r="C978" s="89"/>
      <c r="D978" s="89"/>
      <c r="E978" s="89"/>
      <c r="F978" s="89"/>
      <c r="G978" s="89"/>
      <c r="H978" s="89"/>
      <c r="I978" s="89"/>
      <c r="J978" s="89"/>
      <c r="K978" s="89"/>
      <c r="L978" s="89"/>
    </row>
    <row r="979" spans="2:12" x14ac:dyDescent="0.35">
      <c r="B979" s="88">
        <v>60295</v>
      </c>
      <c r="C979" s="88"/>
      <c r="D979" s="88"/>
      <c r="E979" s="88"/>
      <c r="F979" s="88"/>
      <c r="G979" s="88"/>
      <c r="H979" s="88"/>
      <c r="I979" s="88"/>
      <c r="J979" s="88"/>
      <c r="K979" s="88"/>
      <c r="L979" s="88"/>
    </row>
    <row r="980" spans="2:12" x14ac:dyDescent="0.35">
      <c r="B980" s="89">
        <v>60395</v>
      </c>
      <c r="C980" s="89"/>
      <c r="D980" s="89"/>
      <c r="E980" s="89"/>
      <c r="F980" s="89"/>
      <c r="G980" s="89"/>
      <c r="H980" s="89"/>
      <c r="I980" s="89"/>
      <c r="J980" s="89"/>
      <c r="K980" s="89"/>
      <c r="L980" s="89"/>
    </row>
    <row r="981" spans="2:12" x14ac:dyDescent="0.35">
      <c r="B981" s="88">
        <v>60495</v>
      </c>
      <c r="C981" s="88"/>
      <c r="D981" s="88"/>
      <c r="E981" s="88"/>
      <c r="F981" s="88"/>
      <c r="G981" s="88"/>
      <c r="H981" s="88"/>
      <c r="I981" s="88"/>
      <c r="J981" s="88"/>
      <c r="K981" s="88"/>
      <c r="L981" s="88"/>
    </row>
    <row r="982" spans="2:12" x14ac:dyDescent="0.35">
      <c r="B982" s="89">
        <v>60595</v>
      </c>
      <c r="C982" s="89"/>
      <c r="D982" s="89"/>
      <c r="E982" s="89"/>
      <c r="F982" s="89"/>
      <c r="G982" s="89"/>
      <c r="H982" s="89"/>
      <c r="I982" s="89"/>
      <c r="J982" s="89"/>
      <c r="K982" s="89"/>
      <c r="L982" s="89"/>
    </row>
    <row r="983" spans="2:12" x14ac:dyDescent="0.35">
      <c r="B983" s="88">
        <v>60695</v>
      </c>
      <c r="C983" s="88"/>
      <c r="D983" s="88"/>
      <c r="E983" s="88"/>
      <c r="F983" s="88"/>
      <c r="G983" s="88"/>
      <c r="H983" s="88"/>
      <c r="I983" s="88"/>
      <c r="J983" s="88"/>
      <c r="K983" s="88"/>
      <c r="L983" s="88"/>
    </row>
    <row r="984" spans="2:12" x14ac:dyDescent="0.35">
      <c r="B984" s="89">
        <v>60795</v>
      </c>
      <c r="C984" s="89"/>
      <c r="D984" s="89"/>
      <c r="E984" s="89"/>
      <c r="F984" s="89"/>
      <c r="G984" s="89"/>
      <c r="H984" s="89"/>
      <c r="I984" s="89"/>
      <c r="J984" s="89"/>
      <c r="K984" s="89"/>
      <c r="L984" s="89"/>
    </row>
    <row r="985" spans="2:12" x14ac:dyDescent="0.35">
      <c r="B985" s="88">
        <v>60895</v>
      </c>
      <c r="C985" s="88"/>
      <c r="D985" s="88"/>
      <c r="E985" s="88"/>
      <c r="F985" s="88"/>
      <c r="G985" s="88"/>
      <c r="H985" s="88"/>
      <c r="I985" s="88"/>
      <c r="J985" s="88"/>
      <c r="K985" s="88"/>
      <c r="L985" s="88"/>
    </row>
    <row r="986" spans="2:12" x14ac:dyDescent="0.35">
      <c r="B986" s="89">
        <v>60995</v>
      </c>
      <c r="C986" s="89"/>
      <c r="D986" s="89"/>
      <c r="E986" s="89"/>
      <c r="F986" s="89"/>
      <c r="G986" s="89"/>
      <c r="H986" s="89"/>
      <c r="I986" s="89"/>
      <c r="J986" s="89"/>
      <c r="K986" s="89"/>
      <c r="L986" s="89"/>
    </row>
    <row r="987" spans="2:12" x14ac:dyDescent="0.35">
      <c r="B987" s="88">
        <v>61095</v>
      </c>
      <c r="C987" s="88"/>
      <c r="D987" s="88"/>
      <c r="E987" s="88"/>
      <c r="F987" s="88"/>
      <c r="G987" s="88"/>
      <c r="H987" s="88"/>
      <c r="I987" s="88"/>
      <c r="J987" s="88"/>
      <c r="K987" s="88"/>
      <c r="L987" s="88"/>
    </row>
    <row r="988" spans="2:12" x14ac:dyDescent="0.35">
      <c r="B988" s="89">
        <v>61195</v>
      </c>
      <c r="C988" s="89"/>
      <c r="D988" s="89"/>
      <c r="E988" s="89"/>
      <c r="F988" s="89"/>
      <c r="G988" s="89"/>
      <c r="H988" s="89"/>
      <c r="I988" s="89"/>
      <c r="J988" s="89"/>
      <c r="K988" s="89"/>
      <c r="L988" s="89"/>
    </row>
    <row r="989" spans="2:12" x14ac:dyDescent="0.35">
      <c r="B989" s="88">
        <v>61295</v>
      </c>
      <c r="C989" s="88"/>
      <c r="D989" s="88"/>
      <c r="E989" s="88"/>
      <c r="F989" s="88"/>
      <c r="G989" s="88"/>
      <c r="H989" s="88"/>
      <c r="I989" s="88"/>
      <c r="J989" s="88"/>
      <c r="K989" s="88"/>
      <c r="L989" s="88"/>
    </row>
    <row r="990" spans="2:12" x14ac:dyDescent="0.35">
      <c r="B990" s="89">
        <v>61395</v>
      </c>
      <c r="C990" s="89"/>
      <c r="D990" s="89"/>
      <c r="E990" s="89"/>
      <c r="F990" s="89"/>
      <c r="G990" s="89"/>
      <c r="H990" s="89"/>
      <c r="I990" s="89"/>
      <c r="J990" s="89"/>
      <c r="K990" s="89"/>
      <c r="L990" s="89"/>
    </row>
    <row r="991" spans="2:12" x14ac:dyDescent="0.35">
      <c r="B991" s="88">
        <v>61495</v>
      </c>
      <c r="C991" s="88"/>
      <c r="D991" s="88"/>
      <c r="E991" s="88"/>
      <c r="F991" s="88"/>
      <c r="G991" s="88"/>
      <c r="H991" s="88"/>
      <c r="I991" s="88"/>
      <c r="J991" s="88"/>
      <c r="K991" s="88"/>
      <c r="L991" s="88"/>
    </row>
    <row r="992" spans="2:12" x14ac:dyDescent="0.35">
      <c r="B992" s="89">
        <v>61595</v>
      </c>
      <c r="C992" s="89"/>
      <c r="D992" s="89"/>
      <c r="E992" s="89"/>
      <c r="F992" s="89"/>
      <c r="G992" s="89"/>
      <c r="H992" s="89"/>
      <c r="I992" s="89"/>
      <c r="J992" s="89"/>
      <c r="K992" s="89"/>
      <c r="L992" s="89"/>
    </row>
    <row r="993" spans="2:12" x14ac:dyDescent="0.35">
      <c r="B993" s="88">
        <v>61695</v>
      </c>
      <c r="C993" s="88"/>
      <c r="D993" s="88"/>
      <c r="E993" s="88"/>
      <c r="F993" s="88"/>
      <c r="G993" s="88"/>
      <c r="H993" s="88"/>
      <c r="I993" s="88"/>
      <c r="J993" s="88"/>
      <c r="K993" s="88"/>
      <c r="L993" s="88"/>
    </row>
    <row r="994" spans="2:12" x14ac:dyDescent="0.35">
      <c r="B994" s="89">
        <v>61795</v>
      </c>
      <c r="C994" s="89"/>
      <c r="D994" s="89"/>
      <c r="E994" s="89"/>
      <c r="F994" s="89"/>
      <c r="G994" s="89"/>
      <c r="H994" s="89"/>
      <c r="I994" s="89"/>
      <c r="J994" s="89"/>
      <c r="K994" s="89"/>
      <c r="L994" s="89"/>
    </row>
    <row r="995" spans="2:12" x14ac:dyDescent="0.35">
      <c r="B995" s="88">
        <v>61895</v>
      </c>
      <c r="C995" s="88"/>
      <c r="D995" s="88"/>
      <c r="E995" s="88"/>
      <c r="F995" s="88"/>
      <c r="G995" s="88"/>
      <c r="H995" s="88"/>
      <c r="I995" s="88"/>
      <c r="J995" s="88"/>
      <c r="K995" s="88"/>
      <c r="L995" s="88"/>
    </row>
    <row r="996" spans="2:12" x14ac:dyDescent="0.35">
      <c r="B996" s="89">
        <v>61995</v>
      </c>
      <c r="C996" s="89"/>
      <c r="D996" s="89"/>
      <c r="E996" s="89"/>
      <c r="F996" s="89"/>
      <c r="G996" s="89"/>
      <c r="H996" s="89"/>
      <c r="I996" s="89"/>
      <c r="J996" s="89"/>
      <c r="K996" s="89"/>
      <c r="L996" s="89"/>
    </row>
    <row r="997" spans="2:12" x14ac:dyDescent="0.35">
      <c r="B997" s="88">
        <v>62095</v>
      </c>
      <c r="C997" s="88"/>
      <c r="D997" s="88"/>
      <c r="E997" s="88"/>
      <c r="F997" s="88"/>
      <c r="G997" s="88"/>
      <c r="H997" s="88"/>
      <c r="I997" s="88"/>
      <c r="J997" s="88"/>
      <c r="K997" s="88"/>
      <c r="L997" s="88"/>
    </row>
    <row r="998" spans="2:12" x14ac:dyDescent="0.35">
      <c r="B998" s="89">
        <v>62195</v>
      </c>
      <c r="C998" s="89"/>
      <c r="D998" s="89"/>
      <c r="E998" s="89"/>
      <c r="F998" s="89"/>
      <c r="G998" s="89"/>
      <c r="H998" s="89"/>
      <c r="I998" s="89"/>
      <c r="J998" s="89"/>
      <c r="K998" s="89"/>
      <c r="L998" s="89"/>
    </row>
    <row r="999" spans="2:12" x14ac:dyDescent="0.35">
      <c r="B999" s="88">
        <v>62295</v>
      </c>
      <c r="C999" s="88"/>
      <c r="D999" s="88"/>
      <c r="E999" s="88"/>
      <c r="F999" s="88"/>
      <c r="G999" s="88"/>
      <c r="H999" s="88"/>
      <c r="I999" s="88"/>
      <c r="J999" s="88"/>
      <c r="K999" s="88"/>
      <c r="L999" s="88"/>
    </row>
    <row r="1000" spans="2:12" x14ac:dyDescent="0.35">
      <c r="B1000" s="89">
        <v>62395</v>
      </c>
      <c r="C1000" s="89"/>
      <c r="D1000" s="89"/>
      <c r="E1000" s="89"/>
      <c r="F1000" s="89"/>
      <c r="G1000" s="89"/>
      <c r="H1000" s="89"/>
      <c r="I1000" s="89"/>
      <c r="J1000" s="89"/>
      <c r="K1000" s="89"/>
      <c r="L1000" s="89"/>
    </row>
    <row r="1001" spans="2:12" x14ac:dyDescent="0.35">
      <c r="B1001" s="88">
        <v>62495</v>
      </c>
      <c r="C1001" s="88"/>
      <c r="D1001" s="88"/>
      <c r="E1001" s="88"/>
      <c r="F1001" s="88"/>
      <c r="G1001" s="88"/>
      <c r="H1001" s="88"/>
      <c r="I1001" s="88"/>
      <c r="J1001" s="88"/>
      <c r="K1001" s="88"/>
      <c r="L1001" s="88"/>
    </row>
    <row r="1002" spans="2:12" x14ac:dyDescent="0.35">
      <c r="B1002" s="89">
        <v>62595</v>
      </c>
      <c r="C1002" s="89"/>
      <c r="D1002" s="89"/>
      <c r="E1002" s="89"/>
      <c r="F1002" s="89"/>
      <c r="G1002" s="89"/>
      <c r="H1002" s="89"/>
      <c r="I1002" s="89"/>
      <c r="J1002" s="89"/>
      <c r="K1002" s="89"/>
      <c r="L1002" s="89"/>
    </row>
    <row r="1003" spans="2:12" x14ac:dyDescent="0.35">
      <c r="B1003" s="88">
        <v>62695</v>
      </c>
      <c r="C1003" s="88"/>
      <c r="D1003" s="88"/>
      <c r="E1003" s="88"/>
      <c r="F1003" s="88"/>
      <c r="G1003" s="88"/>
      <c r="H1003" s="88"/>
      <c r="I1003" s="88"/>
      <c r="J1003" s="88"/>
      <c r="K1003" s="88"/>
      <c r="L1003" s="88"/>
    </row>
    <row r="1004" spans="2:12" x14ac:dyDescent="0.35">
      <c r="B1004" s="89">
        <v>62795</v>
      </c>
      <c r="C1004" s="89"/>
      <c r="D1004" s="89"/>
      <c r="E1004" s="89"/>
      <c r="F1004" s="89"/>
      <c r="G1004" s="89"/>
      <c r="H1004" s="89"/>
      <c r="I1004" s="89"/>
      <c r="J1004" s="89"/>
      <c r="K1004" s="89"/>
      <c r="L1004" s="89"/>
    </row>
    <row r="1005" spans="2:12" x14ac:dyDescent="0.35">
      <c r="B1005" s="88">
        <v>62895</v>
      </c>
      <c r="C1005" s="88"/>
      <c r="D1005" s="88"/>
      <c r="E1005" s="88"/>
      <c r="F1005" s="88"/>
      <c r="G1005" s="88"/>
      <c r="H1005" s="88"/>
      <c r="I1005" s="88"/>
      <c r="J1005" s="88"/>
      <c r="K1005" s="88"/>
      <c r="L1005" s="88"/>
    </row>
    <row r="1006" spans="2:12" x14ac:dyDescent="0.35">
      <c r="B1006" s="89">
        <v>62995</v>
      </c>
      <c r="C1006" s="89"/>
      <c r="D1006" s="89"/>
      <c r="E1006" s="89"/>
      <c r="F1006" s="89"/>
      <c r="G1006" s="89"/>
      <c r="H1006" s="89"/>
      <c r="I1006" s="89"/>
      <c r="J1006" s="89"/>
      <c r="K1006" s="89"/>
      <c r="L1006" s="89"/>
    </row>
    <row r="1007" spans="2:12" x14ac:dyDescent="0.35">
      <c r="B1007" s="88">
        <v>63095</v>
      </c>
      <c r="C1007" s="88"/>
      <c r="D1007" s="88"/>
      <c r="E1007" s="88"/>
      <c r="F1007" s="88"/>
      <c r="G1007" s="88"/>
      <c r="H1007" s="88"/>
      <c r="I1007" s="88"/>
      <c r="J1007" s="88"/>
      <c r="K1007" s="88"/>
      <c r="L1007" s="88"/>
    </row>
    <row r="1008" spans="2:12" x14ac:dyDescent="0.35">
      <c r="B1008" s="89">
        <v>63195</v>
      </c>
      <c r="C1008" s="89"/>
      <c r="D1008" s="89"/>
      <c r="E1008" s="89"/>
      <c r="F1008" s="89"/>
      <c r="G1008" s="89"/>
      <c r="H1008" s="89"/>
      <c r="I1008" s="89"/>
      <c r="J1008" s="89"/>
      <c r="K1008" s="89"/>
      <c r="L1008" s="89"/>
    </row>
    <row r="1009" spans="2:12" x14ac:dyDescent="0.35">
      <c r="B1009" s="88">
        <v>63295</v>
      </c>
      <c r="C1009" s="88"/>
      <c r="D1009" s="88"/>
      <c r="E1009" s="88"/>
      <c r="F1009" s="88"/>
      <c r="G1009" s="88"/>
      <c r="H1009" s="88"/>
      <c r="I1009" s="88"/>
      <c r="J1009" s="88"/>
      <c r="K1009" s="88"/>
      <c r="L1009" s="88"/>
    </row>
    <row r="1010" spans="2:12" x14ac:dyDescent="0.35">
      <c r="B1010" s="89">
        <v>63395</v>
      </c>
      <c r="C1010" s="89"/>
      <c r="D1010" s="89"/>
      <c r="E1010" s="89"/>
      <c r="F1010" s="89"/>
      <c r="G1010" s="89"/>
      <c r="H1010" s="89"/>
      <c r="I1010" s="89"/>
      <c r="J1010" s="89"/>
      <c r="K1010" s="89"/>
      <c r="L1010" s="89"/>
    </row>
    <row r="1011" spans="2:12" x14ac:dyDescent="0.35">
      <c r="B1011" s="88">
        <v>63495</v>
      </c>
      <c r="C1011" s="88"/>
      <c r="D1011" s="88"/>
      <c r="E1011" s="88"/>
      <c r="F1011" s="88"/>
      <c r="G1011" s="88"/>
      <c r="H1011" s="88"/>
      <c r="I1011" s="88"/>
      <c r="J1011" s="88"/>
      <c r="K1011" s="88"/>
      <c r="L1011" s="88"/>
    </row>
    <row r="1012" spans="2:12" x14ac:dyDescent="0.35">
      <c r="B1012" s="89">
        <v>63595</v>
      </c>
      <c r="C1012" s="89"/>
      <c r="D1012" s="89"/>
      <c r="E1012" s="89"/>
      <c r="F1012" s="89"/>
      <c r="G1012" s="89"/>
      <c r="H1012" s="89"/>
      <c r="I1012" s="89"/>
      <c r="J1012" s="89"/>
      <c r="K1012" s="89"/>
      <c r="L1012" s="89"/>
    </row>
    <row r="1013" spans="2:12" x14ac:dyDescent="0.35">
      <c r="B1013" s="88">
        <v>63695</v>
      </c>
      <c r="C1013" s="88"/>
      <c r="D1013" s="88"/>
      <c r="E1013" s="88"/>
      <c r="F1013" s="88"/>
      <c r="G1013" s="88"/>
      <c r="H1013" s="88"/>
      <c r="I1013" s="88"/>
      <c r="J1013" s="88"/>
      <c r="K1013" s="88"/>
      <c r="L1013" s="88"/>
    </row>
    <row r="1014" spans="2:12" x14ac:dyDescent="0.35">
      <c r="B1014" s="89">
        <v>63795</v>
      </c>
      <c r="C1014" s="89"/>
      <c r="D1014" s="89"/>
      <c r="E1014" s="89"/>
      <c r="F1014" s="89"/>
      <c r="G1014" s="89"/>
      <c r="H1014" s="89"/>
      <c r="I1014" s="89"/>
      <c r="J1014" s="89"/>
      <c r="K1014" s="89"/>
      <c r="L1014" s="89"/>
    </row>
    <row r="1015" spans="2:12" x14ac:dyDescent="0.35">
      <c r="B1015" s="88">
        <v>63895</v>
      </c>
      <c r="C1015" s="88"/>
      <c r="D1015" s="88"/>
      <c r="E1015" s="88"/>
      <c r="F1015" s="88"/>
      <c r="G1015" s="88"/>
      <c r="H1015" s="88"/>
      <c r="I1015" s="88"/>
      <c r="J1015" s="88"/>
      <c r="K1015" s="88"/>
      <c r="L1015" s="88"/>
    </row>
    <row r="1016" spans="2:12" x14ac:dyDescent="0.35">
      <c r="B1016" s="89">
        <v>63995</v>
      </c>
      <c r="C1016" s="89"/>
      <c r="D1016" s="89"/>
      <c r="E1016" s="89"/>
      <c r="F1016" s="89"/>
      <c r="G1016" s="89"/>
      <c r="H1016" s="89"/>
      <c r="I1016" s="89"/>
      <c r="J1016" s="89"/>
      <c r="K1016" s="89"/>
      <c r="L1016" s="89"/>
    </row>
    <row r="1017" spans="2:12" x14ac:dyDescent="0.35">
      <c r="B1017" s="88">
        <v>64095</v>
      </c>
      <c r="C1017" s="88"/>
      <c r="D1017" s="88"/>
      <c r="E1017" s="88"/>
      <c r="F1017" s="88"/>
      <c r="G1017" s="88"/>
      <c r="H1017" s="88"/>
      <c r="I1017" s="88"/>
      <c r="J1017" s="88"/>
      <c r="K1017" s="88"/>
      <c r="L1017" s="88"/>
    </row>
    <row r="1018" spans="2:12" x14ac:dyDescent="0.35">
      <c r="B1018" s="89">
        <v>64195</v>
      </c>
      <c r="C1018" s="89"/>
      <c r="D1018" s="89"/>
      <c r="E1018" s="89"/>
      <c r="F1018" s="89"/>
      <c r="G1018" s="89"/>
      <c r="H1018" s="89"/>
      <c r="I1018" s="89"/>
      <c r="J1018" s="89"/>
      <c r="K1018" s="89"/>
      <c r="L1018" s="89"/>
    </row>
    <row r="1019" spans="2:12" x14ac:dyDescent="0.35">
      <c r="B1019" s="88">
        <v>64295</v>
      </c>
      <c r="C1019" s="88"/>
      <c r="D1019" s="88"/>
      <c r="E1019" s="88"/>
      <c r="F1019" s="88"/>
      <c r="G1019" s="88"/>
      <c r="H1019" s="88"/>
      <c r="I1019" s="88"/>
      <c r="J1019" s="88"/>
      <c r="K1019" s="88"/>
      <c r="L1019" s="88"/>
    </row>
    <row r="1020" spans="2:12" x14ac:dyDescent="0.35">
      <c r="B1020" s="89">
        <v>64395</v>
      </c>
      <c r="C1020" s="89"/>
      <c r="D1020" s="89"/>
      <c r="E1020" s="89"/>
      <c r="F1020" s="89"/>
      <c r="G1020" s="89"/>
      <c r="H1020" s="89"/>
      <c r="I1020" s="89"/>
      <c r="J1020" s="89"/>
      <c r="K1020" s="89"/>
      <c r="L1020" s="89"/>
    </row>
    <row r="1021" spans="2:12" x14ac:dyDescent="0.35">
      <c r="B1021" s="88">
        <v>64495</v>
      </c>
      <c r="C1021" s="88"/>
      <c r="D1021" s="88"/>
      <c r="E1021" s="88"/>
      <c r="F1021" s="88"/>
      <c r="G1021" s="88"/>
      <c r="H1021" s="88"/>
      <c r="I1021" s="88"/>
      <c r="J1021" s="88"/>
      <c r="K1021" s="88"/>
      <c r="L1021" s="88"/>
    </row>
    <row r="1022" spans="2:12" x14ac:dyDescent="0.35">
      <c r="B1022" s="89">
        <v>64595</v>
      </c>
      <c r="C1022" s="89"/>
      <c r="D1022" s="89"/>
      <c r="E1022" s="89"/>
      <c r="F1022" s="89"/>
      <c r="G1022" s="89"/>
      <c r="H1022" s="89"/>
      <c r="I1022" s="89"/>
      <c r="J1022" s="89"/>
      <c r="K1022" s="89"/>
      <c r="L1022" s="89"/>
    </row>
    <row r="1023" spans="2:12" x14ac:dyDescent="0.35">
      <c r="B1023" s="88">
        <v>64695</v>
      </c>
      <c r="C1023" s="88"/>
      <c r="D1023" s="88"/>
      <c r="E1023" s="88"/>
      <c r="F1023" s="88"/>
      <c r="G1023" s="88"/>
      <c r="H1023" s="88"/>
      <c r="I1023" s="88"/>
      <c r="J1023" s="88"/>
      <c r="K1023" s="88"/>
      <c r="L1023" s="88"/>
    </row>
    <row r="1024" spans="2:12" x14ac:dyDescent="0.35">
      <c r="B1024" s="89">
        <v>64795</v>
      </c>
      <c r="C1024" s="89"/>
      <c r="D1024" s="89"/>
      <c r="E1024" s="89"/>
      <c r="F1024" s="89"/>
      <c r="G1024" s="89"/>
      <c r="H1024" s="89"/>
      <c r="I1024" s="89"/>
      <c r="J1024" s="89"/>
      <c r="K1024" s="89"/>
      <c r="L1024" s="89"/>
    </row>
    <row r="1025" spans="2:12" x14ac:dyDescent="0.35">
      <c r="B1025" s="88">
        <v>64895</v>
      </c>
      <c r="C1025" s="88"/>
      <c r="D1025" s="88"/>
      <c r="E1025" s="88"/>
      <c r="F1025" s="88"/>
      <c r="G1025" s="88"/>
      <c r="H1025" s="88"/>
      <c r="I1025" s="88"/>
      <c r="J1025" s="88"/>
      <c r="K1025" s="88"/>
      <c r="L1025" s="88"/>
    </row>
    <row r="1026" spans="2:12" x14ac:dyDescent="0.35">
      <c r="B1026" s="89">
        <v>64995</v>
      </c>
      <c r="C1026" s="89"/>
      <c r="D1026" s="89"/>
      <c r="E1026" s="89"/>
      <c r="F1026" s="89"/>
      <c r="G1026" s="89"/>
      <c r="H1026" s="89"/>
      <c r="I1026" s="89"/>
      <c r="J1026" s="89"/>
      <c r="K1026" s="89"/>
      <c r="L1026" s="89"/>
    </row>
    <row r="1027" spans="2:12" x14ac:dyDescent="0.35">
      <c r="B1027" s="88">
        <v>65095</v>
      </c>
      <c r="C1027" s="88"/>
      <c r="D1027" s="88"/>
      <c r="E1027" s="88"/>
      <c r="F1027" s="88"/>
      <c r="G1027" s="88"/>
      <c r="H1027" s="88"/>
      <c r="I1027" s="88"/>
      <c r="J1027" s="88"/>
      <c r="K1027" s="88"/>
      <c r="L1027" s="88"/>
    </row>
    <row r="1028" spans="2:12" x14ac:dyDescent="0.35">
      <c r="B1028" s="89">
        <v>65195</v>
      </c>
      <c r="C1028" s="89"/>
      <c r="D1028" s="89"/>
      <c r="E1028" s="89"/>
      <c r="F1028" s="89"/>
      <c r="G1028" s="89"/>
      <c r="H1028" s="89"/>
      <c r="I1028" s="89"/>
      <c r="J1028" s="89"/>
      <c r="K1028" s="89"/>
      <c r="L1028" s="89"/>
    </row>
    <row r="1029" spans="2:12" x14ac:dyDescent="0.35">
      <c r="B1029" s="88">
        <v>65295</v>
      </c>
      <c r="C1029" s="88"/>
      <c r="D1029" s="88"/>
      <c r="E1029" s="88"/>
      <c r="F1029" s="88"/>
      <c r="G1029" s="88"/>
      <c r="H1029" s="88"/>
      <c r="I1029" s="88"/>
      <c r="J1029" s="88"/>
      <c r="K1029" s="88"/>
      <c r="L1029" s="88"/>
    </row>
    <row r="1030" spans="2:12" x14ac:dyDescent="0.35">
      <c r="B1030" s="89">
        <v>65395</v>
      </c>
      <c r="C1030" s="89"/>
      <c r="D1030" s="89"/>
      <c r="E1030" s="89"/>
      <c r="F1030" s="89"/>
      <c r="G1030" s="89"/>
      <c r="H1030" s="89"/>
      <c r="I1030" s="89"/>
      <c r="J1030" s="89"/>
      <c r="K1030" s="89"/>
      <c r="L1030" s="89"/>
    </row>
    <row r="1031" spans="2:12" x14ac:dyDescent="0.35">
      <c r="B1031" s="88">
        <v>65495</v>
      </c>
      <c r="C1031" s="88"/>
      <c r="D1031" s="88"/>
      <c r="E1031" s="88"/>
      <c r="F1031" s="88"/>
      <c r="G1031" s="88"/>
      <c r="H1031" s="88"/>
      <c r="I1031" s="88"/>
      <c r="J1031" s="88"/>
      <c r="K1031" s="88"/>
      <c r="L1031" s="88"/>
    </row>
    <row r="1032" spans="2:12" x14ac:dyDescent="0.35">
      <c r="B1032" s="89">
        <v>65595</v>
      </c>
      <c r="C1032" s="89"/>
      <c r="D1032" s="89"/>
      <c r="E1032" s="89"/>
      <c r="F1032" s="89"/>
      <c r="G1032" s="89"/>
      <c r="H1032" s="89"/>
      <c r="I1032" s="89"/>
      <c r="J1032" s="89"/>
      <c r="K1032" s="89"/>
      <c r="L1032" s="89"/>
    </row>
    <row r="1033" spans="2:12" x14ac:dyDescent="0.35">
      <c r="B1033" s="88">
        <v>65695</v>
      </c>
      <c r="C1033" s="88"/>
      <c r="D1033" s="88"/>
      <c r="E1033" s="88"/>
      <c r="F1033" s="88"/>
      <c r="G1033" s="88"/>
      <c r="H1033" s="88"/>
      <c r="I1033" s="88"/>
      <c r="J1033" s="88"/>
      <c r="K1033" s="88"/>
      <c r="L1033" s="88"/>
    </row>
    <row r="1034" spans="2:12" x14ac:dyDescent="0.35">
      <c r="B1034" s="89">
        <v>65795</v>
      </c>
      <c r="C1034" s="89"/>
      <c r="D1034" s="89"/>
      <c r="E1034" s="89"/>
      <c r="F1034" s="89"/>
      <c r="G1034" s="89"/>
      <c r="H1034" s="89"/>
      <c r="I1034" s="89"/>
      <c r="J1034" s="89"/>
      <c r="K1034" s="89"/>
      <c r="L1034" s="89"/>
    </row>
    <row r="1035" spans="2:12" x14ac:dyDescent="0.35">
      <c r="B1035" s="88">
        <v>65895</v>
      </c>
      <c r="C1035" s="88"/>
      <c r="D1035" s="88"/>
      <c r="E1035" s="88"/>
      <c r="F1035" s="88"/>
      <c r="G1035" s="88"/>
      <c r="H1035" s="88"/>
      <c r="I1035" s="88"/>
      <c r="J1035" s="88"/>
      <c r="K1035" s="88"/>
      <c r="L1035" s="88"/>
    </row>
    <row r="1036" spans="2:12" x14ac:dyDescent="0.35">
      <c r="B1036" s="89">
        <v>65995</v>
      </c>
      <c r="C1036" s="89"/>
      <c r="D1036" s="89"/>
      <c r="E1036" s="89"/>
      <c r="F1036" s="89"/>
      <c r="G1036" s="89"/>
      <c r="H1036" s="89"/>
      <c r="I1036" s="89"/>
      <c r="J1036" s="89"/>
      <c r="K1036" s="89"/>
      <c r="L1036" s="89"/>
    </row>
    <row r="1037" spans="2:12" x14ac:dyDescent="0.35">
      <c r="B1037" s="88">
        <v>66095</v>
      </c>
      <c r="C1037" s="88"/>
      <c r="D1037" s="88"/>
      <c r="E1037" s="88"/>
      <c r="F1037" s="88"/>
      <c r="G1037" s="88"/>
      <c r="H1037" s="88"/>
      <c r="I1037" s="88"/>
      <c r="J1037" s="88"/>
      <c r="K1037" s="88"/>
      <c r="L1037" s="88"/>
    </row>
    <row r="1038" spans="2:12" x14ac:dyDescent="0.35">
      <c r="B1038" s="89">
        <v>66195</v>
      </c>
      <c r="C1038" s="89"/>
      <c r="D1038" s="89"/>
      <c r="E1038" s="89"/>
      <c r="F1038" s="89"/>
      <c r="G1038" s="89"/>
      <c r="H1038" s="89"/>
      <c r="I1038" s="89"/>
      <c r="J1038" s="89"/>
      <c r="K1038" s="89"/>
      <c r="L1038" s="89"/>
    </row>
    <row r="1039" spans="2:12" x14ac:dyDescent="0.35">
      <c r="B1039" s="88">
        <v>66295</v>
      </c>
      <c r="C1039" s="88"/>
      <c r="D1039" s="88"/>
      <c r="E1039" s="88"/>
      <c r="F1039" s="88"/>
      <c r="G1039" s="88"/>
      <c r="H1039" s="88"/>
      <c r="I1039" s="88"/>
      <c r="J1039" s="88"/>
      <c r="K1039" s="88"/>
      <c r="L1039" s="88"/>
    </row>
    <row r="1040" spans="2:12" x14ac:dyDescent="0.35">
      <c r="B1040" s="89">
        <v>66395</v>
      </c>
      <c r="C1040" s="89"/>
      <c r="D1040" s="89"/>
      <c r="E1040" s="89"/>
      <c r="F1040" s="89"/>
      <c r="G1040" s="89"/>
      <c r="H1040" s="89"/>
      <c r="I1040" s="89"/>
      <c r="J1040" s="89"/>
      <c r="K1040" s="89"/>
      <c r="L1040" s="89"/>
    </row>
    <row r="1041" spans="2:12" x14ac:dyDescent="0.35">
      <c r="B1041" s="88">
        <v>66495</v>
      </c>
      <c r="C1041" s="88"/>
      <c r="D1041" s="88"/>
      <c r="E1041" s="88"/>
      <c r="F1041" s="88"/>
      <c r="G1041" s="88"/>
      <c r="H1041" s="88"/>
      <c r="I1041" s="88"/>
      <c r="J1041" s="88"/>
      <c r="K1041" s="88"/>
      <c r="L1041" s="88"/>
    </row>
    <row r="1042" spans="2:12" x14ac:dyDescent="0.35">
      <c r="B1042" s="89">
        <v>66595</v>
      </c>
      <c r="C1042" s="89"/>
      <c r="D1042" s="89"/>
      <c r="E1042" s="89"/>
      <c r="F1042" s="89"/>
      <c r="G1042" s="89"/>
      <c r="H1042" s="89"/>
      <c r="I1042" s="89"/>
      <c r="J1042" s="89"/>
      <c r="K1042" s="89"/>
      <c r="L1042" s="89"/>
    </row>
    <row r="1043" spans="2:12" x14ac:dyDescent="0.35">
      <c r="B1043" s="88">
        <v>66695</v>
      </c>
      <c r="C1043" s="88"/>
      <c r="D1043" s="88"/>
      <c r="E1043" s="88"/>
      <c r="F1043" s="88"/>
      <c r="G1043" s="88"/>
      <c r="H1043" s="88"/>
      <c r="I1043" s="88"/>
      <c r="J1043" s="88"/>
      <c r="K1043" s="88"/>
      <c r="L1043" s="88"/>
    </row>
    <row r="1044" spans="2:12" x14ac:dyDescent="0.35">
      <c r="B1044" s="89">
        <v>66795</v>
      </c>
      <c r="C1044" s="89"/>
      <c r="D1044" s="89"/>
      <c r="E1044" s="89"/>
      <c r="F1044" s="89"/>
      <c r="G1044" s="89"/>
      <c r="H1044" s="89"/>
      <c r="I1044" s="89"/>
      <c r="J1044" s="89"/>
      <c r="K1044" s="89"/>
      <c r="L1044" s="89"/>
    </row>
    <row r="1045" spans="2:12" x14ac:dyDescent="0.35">
      <c r="B1045" s="88">
        <v>66895</v>
      </c>
      <c r="C1045" s="88"/>
      <c r="D1045" s="88"/>
      <c r="E1045" s="88"/>
      <c r="F1045" s="88"/>
      <c r="G1045" s="88"/>
      <c r="H1045" s="88"/>
      <c r="I1045" s="88"/>
      <c r="J1045" s="88"/>
      <c r="K1045" s="88"/>
      <c r="L1045" s="88"/>
    </row>
    <row r="1046" spans="2:12" x14ac:dyDescent="0.35">
      <c r="B1046" s="89">
        <v>66995</v>
      </c>
      <c r="C1046" s="89"/>
      <c r="D1046" s="89"/>
      <c r="E1046" s="89"/>
      <c r="F1046" s="89"/>
      <c r="G1046" s="89"/>
      <c r="H1046" s="89"/>
      <c r="I1046" s="89"/>
      <c r="J1046" s="89"/>
      <c r="K1046" s="89"/>
      <c r="L1046" s="89"/>
    </row>
    <row r="1047" spans="2:12" x14ac:dyDescent="0.35">
      <c r="B1047" s="88">
        <v>67095</v>
      </c>
      <c r="C1047" s="88"/>
      <c r="D1047" s="88"/>
      <c r="E1047" s="88"/>
      <c r="F1047" s="88"/>
      <c r="G1047" s="88"/>
      <c r="H1047" s="88"/>
      <c r="I1047" s="88"/>
      <c r="J1047" s="88"/>
      <c r="K1047" s="88"/>
      <c r="L1047" s="88"/>
    </row>
    <row r="1048" spans="2:12" x14ac:dyDescent="0.35">
      <c r="B1048" s="89">
        <v>67195</v>
      </c>
      <c r="C1048" s="89"/>
      <c r="D1048" s="89"/>
      <c r="E1048" s="89"/>
      <c r="F1048" s="89"/>
      <c r="G1048" s="89"/>
      <c r="H1048" s="89"/>
      <c r="I1048" s="89"/>
      <c r="J1048" s="89"/>
      <c r="K1048" s="89"/>
      <c r="L1048" s="89"/>
    </row>
    <row r="1049" spans="2:12" x14ac:dyDescent="0.35">
      <c r="B1049" s="88">
        <v>67295</v>
      </c>
      <c r="C1049" s="88"/>
      <c r="D1049" s="88"/>
      <c r="E1049" s="88"/>
      <c r="F1049" s="88"/>
      <c r="G1049" s="88"/>
      <c r="H1049" s="88"/>
      <c r="I1049" s="88"/>
      <c r="J1049" s="88"/>
      <c r="K1049" s="88"/>
      <c r="L1049" s="88"/>
    </row>
    <row r="1050" spans="2:12" x14ac:dyDescent="0.35">
      <c r="B1050" s="89">
        <v>67395</v>
      </c>
      <c r="C1050" s="89"/>
      <c r="D1050" s="89"/>
      <c r="E1050" s="89"/>
      <c r="F1050" s="89"/>
      <c r="G1050" s="89"/>
      <c r="H1050" s="89"/>
      <c r="I1050" s="89"/>
      <c r="J1050" s="89"/>
      <c r="K1050" s="89"/>
      <c r="L1050" s="89"/>
    </row>
    <row r="1051" spans="2:12" x14ac:dyDescent="0.35">
      <c r="B1051" s="88">
        <v>67495</v>
      </c>
      <c r="C1051" s="88"/>
      <c r="D1051" s="88"/>
      <c r="E1051" s="88"/>
      <c r="F1051" s="88"/>
      <c r="G1051" s="88"/>
      <c r="H1051" s="88"/>
      <c r="I1051" s="88"/>
      <c r="J1051" s="88"/>
      <c r="K1051" s="88"/>
      <c r="L1051" s="88"/>
    </row>
    <row r="1052" spans="2:12" x14ac:dyDescent="0.35">
      <c r="B1052" s="89">
        <v>67595</v>
      </c>
      <c r="C1052" s="89"/>
      <c r="D1052" s="89"/>
      <c r="E1052" s="89"/>
      <c r="F1052" s="89"/>
      <c r="G1052" s="89"/>
      <c r="H1052" s="89"/>
      <c r="I1052" s="89"/>
      <c r="J1052" s="89"/>
      <c r="K1052" s="89"/>
      <c r="L1052" s="89"/>
    </row>
    <row r="1053" spans="2:12" x14ac:dyDescent="0.35">
      <c r="B1053" s="88">
        <v>67695</v>
      </c>
      <c r="C1053" s="88"/>
      <c r="D1053" s="88"/>
      <c r="E1053" s="88"/>
      <c r="F1053" s="88"/>
      <c r="G1053" s="88"/>
      <c r="H1053" s="88"/>
      <c r="I1053" s="88"/>
      <c r="J1053" s="88"/>
      <c r="K1053" s="88"/>
      <c r="L1053" s="88"/>
    </row>
    <row r="1054" spans="2:12" x14ac:dyDescent="0.35">
      <c r="B1054" s="89">
        <v>67795</v>
      </c>
      <c r="C1054" s="89"/>
      <c r="D1054" s="89"/>
      <c r="E1054" s="89"/>
      <c r="F1054" s="89"/>
      <c r="G1054" s="89"/>
      <c r="H1054" s="89"/>
      <c r="I1054" s="89"/>
      <c r="J1054" s="89"/>
      <c r="K1054" s="89"/>
      <c r="L1054" s="89"/>
    </row>
    <row r="1055" spans="2:12" x14ac:dyDescent="0.35">
      <c r="B1055" s="88">
        <v>67895</v>
      </c>
      <c r="C1055" s="88"/>
      <c r="D1055" s="88"/>
      <c r="E1055" s="88"/>
      <c r="F1055" s="88"/>
      <c r="G1055" s="88"/>
      <c r="H1055" s="88"/>
      <c r="I1055" s="88"/>
      <c r="J1055" s="88"/>
      <c r="K1055" s="88"/>
      <c r="L1055" s="88"/>
    </row>
    <row r="1056" spans="2:12" x14ac:dyDescent="0.35">
      <c r="B1056" s="89">
        <v>67995</v>
      </c>
      <c r="C1056" s="89"/>
      <c r="D1056" s="89"/>
      <c r="E1056" s="89"/>
      <c r="F1056" s="89"/>
      <c r="G1056" s="89"/>
      <c r="H1056" s="89"/>
      <c r="I1056" s="89"/>
      <c r="J1056" s="89"/>
      <c r="K1056" s="89"/>
      <c r="L1056" s="89"/>
    </row>
    <row r="1057" spans="2:12" x14ac:dyDescent="0.35">
      <c r="B1057" s="88">
        <v>68095</v>
      </c>
      <c r="C1057" s="88"/>
      <c r="D1057" s="88"/>
      <c r="E1057" s="88"/>
      <c r="F1057" s="88"/>
      <c r="G1057" s="88"/>
      <c r="H1057" s="88"/>
      <c r="I1057" s="88"/>
      <c r="J1057" s="88"/>
      <c r="K1057" s="88"/>
      <c r="L1057" s="88"/>
    </row>
    <row r="1058" spans="2:12" x14ac:dyDescent="0.35">
      <c r="B1058" s="89">
        <v>68195</v>
      </c>
      <c r="C1058" s="89"/>
      <c r="D1058" s="89"/>
      <c r="E1058" s="89"/>
      <c r="F1058" s="89"/>
      <c r="G1058" s="89"/>
      <c r="H1058" s="89"/>
      <c r="I1058" s="89"/>
      <c r="J1058" s="89"/>
      <c r="K1058" s="89"/>
      <c r="L1058" s="89"/>
    </row>
    <row r="1059" spans="2:12" x14ac:dyDescent="0.35">
      <c r="B1059" s="88">
        <v>68295</v>
      </c>
      <c r="C1059" s="88"/>
      <c r="D1059" s="88"/>
      <c r="E1059" s="88"/>
      <c r="F1059" s="88"/>
      <c r="G1059" s="88"/>
      <c r="H1059" s="88"/>
      <c r="I1059" s="88"/>
      <c r="J1059" s="88"/>
      <c r="K1059" s="88"/>
      <c r="L1059" s="88"/>
    </row>
    <row r="1060" spans="2:12" x14ac:dyDescent="0.35">
      <c r="B1060" s="89">
        <v>68395</v>
      </c>
      <c r="C1060" s="89"/>
      <c r="D1060" s="89"/>
      <c r="E1060" s="89"/>
      <c r="F1060" s="89"/>
      <c r="G1060" s="89"/>
      <c r="H1060" s="89"/>
      <c r="I1060" s="89"/>
      <c r="J1060" s="89"/>
      <c r="K1060" s="89"/>
      <c r="L1060" s="89"/>
    </row>
    <row r="1061" spans="2:12" x14ac:dyDescent="0.35">
      <c r="B1061" s="88">
        <v>68495</v>
      </c>
      <c r="C1061" s="88"/>
      <c r="D1061" s="88"/>
      <c r="E1061" s="88"/>
      <c r="F1061" s="88"/>
      <c r="G1061" s="88"/>
      <c r="H1061" s="88"/>
      <c r="I1061" s="88"/>
      <c r="J1061" s="88"/>
      <c r="K1061" s="88"/>
      <c r="L1061" s="88"/>
    </row>
    <row r="1062" spans="2:12" x14ac:dyDescent="0.35">
      <c r="B1062" s="89">
        <v>68595</v>
      </c>
      <c r="C1062" s="89"/>
      <c r="D1062" s="89"/>
      <c r="E1062" s="89"/>
      <c r="F1062" s="89"/>
      <c r="G1062" s="89"/>
      <c r="H1062" s="89"/>
      <c r="I1062" s="89"/>
      <c r="J1062" s="89"/>
      <c r="K1062" s="89"/>
      <c r="L1062" s="89"/>
    </row>
    <row r="1063" spans="2:12" x14ac:dyDescent="0.35">
      <c r="B1063" s="88">
        <v>68695</v>
      </c>
      <c r="C1063" s="88"/>
      <c r="D1063" s="88"/>
      <c r="E1063" s="88"/>
      <c r="F1063" s="88"/>
      <c r="G1063" s="88"/>
      <c r="H1063" s="88"/>
      <c r="I1063" s="88"/>
      <c r="J1063" s="88"/>
      <c r="K1063" s="88"/>
      <c r="L1063" s="88"/>
    </row>
    <row r="1064" spans="2:12" x14ac:dyDescent="0.35">
      <c r="B1064" s="89">
        <v>68795</v>
      </c>
      <c r="C1064" s="89"/>
      <c r="D1064" s="89"/>
      <c r="E1064" s="89"/>
      <c r="F1064" s="89"/>
      <c r="G1064" s="89"/>
      <c r="H1064" s="89"/>
      <c r="I1064" s="89"/>
      <c r="J1064" s="89"/>
      <c r="K1064" s="89"/>
      <c r="L1064" s="89"/>
    </row>
    <row r="1065" spans="2:12" x14ac:dyDescent="0.35">
      <c r="B1065" s="88">
        <v>68895</v>
      </c>
      <c r="C1065" s="88"/>
      <c r="D1065" s="88"/>
      <c r="E1065" s="88"/>
      <c r="F1065" s="88"/>
      <c r="G1065" s="88"/>
      <c r="H1065" s="88"/>
      <c r="I1065" s="88"/>
      <c r="J1065" s="88"/>
      <c r="K1065" s="88"/>
      <c r="L1065" s="88"/>
    </row>
    <row r="1066" spans="2:12" x14ac:dyDescent="0.35">
      <c r="B1066" s="89">
        <v>68995</v>
      </c>
      <c r="C1066" s="89"/>
      <c r="D1066" s="89"/>
      <c r="E1066" s="89"/>
      <c r="F1066" s="89"/>
      <c r="G1066" s="89"/>
      <c r="H1066" s="89"/>
      <c r="I1066" s="89"/>
      <c r="J1066" s="89"/>
      <c r="K1066" s="89"/>
      <c r="L1066" s="89"/>
    </row>
    <row r="1067" spans="2:12" x14ac:dyDescent="0.35">
      <c r="B1067" s="88">
        <v>69095</v>
      </c>
      <c r="C1067" s="88"/>
      <c r="D1067" s="88"/>
      <c r="E1067" s="88"/>
      <c r="F1067" s="88"/>
      <c r="G1067" s="88"/>
      <c r="H1067" s="88"/>
      <c r="I1067" s="88"/>
      <c r="J1067" s="88"/>
      <c r="K1067" s="88"/>
      <c r="L1067" s="88"/>
    </row>
    <row r="1068" spans="2:12" x14ac:dyDescent="0.35">
      <c r="B1068" s="89">
        <v>69195</v>
      </c>
      <c r="C1068" s="89"/>
      <c r="D1068" s="89"/>
      <c r="E1068" s="89"/>
      <c r="F1068" s="89"/>
      <c r="G1068" s="89"/>
      <c r="H1068" s="89"/>
      <c r="I1068" s="89"/>
      <c r="J1068" s="89"/>
      <c r="K1068" s="89"/>
      <c r="L1068" s="89"/>
    </row>
    <row r="1069" spans="2:12" x14ac:dyDescent="0.35">
      <c r="B1069" s="88">
        <v>69295</v>
      </c>
      <c r="C1069" s="88"/>
      <c r="D1069" s="88"/>
      <c r="E1069" s="88"/>
      <c r="F1069" s="88"/>
      <c r="G1069" s="88"/>
      <c r="H1069" s="88"/>
      <c r="I1069" s="88"/>
      <c r="J1069" s="88"/>
      <c r="K1069" s="88"/>
      <c r="L1069" s="88"/>
    </row>
    <row r="1070" spans="2:12" x14ac:dyDescent="0.35">
      <c r="B1070" s="89">
        <v>69395</v>
      </c>
      <c r="C1070" s="89"/>
      <c r="D1070" s="89"/>
      <c r="E1070" s="89"/>
      <c r="F1070" s="89"/>
      <c r="G1070" s="89"/>
      <c r="H1070" s="89"/>
      <c r="I1070" s="89"/>
      <c r="J1070" s="89"/>
      <c r="K1070" s="89"/>
      <c r="L1070" s="89"/>
    </row>
    <row r="1071" spans="2:12" x14ac:dyDescent="0.35">
      <c r="B1071" s="88">
        <v>69495</v>
      </c>
      <c r="C1071" s="88"/>
      <c r="D1071" s="88"/>
      <c r="E1071" s="88"/>
      <c r="F1071" s="88"/>
      <c r="G1071" s="88"/>
      <c r="H1071" s="88"/>
      <c r="I1071" s="88"/>
      <c r="J1071" s="88"/>
      <c r="K1071" s="88"/>
      <c r="L1071" s="88"/>
    </row>
    <row r="1072" spans="2:12" x14ac:dyDescent="0.35">
      <c r="B1072" s="89">
        <v>69595</v>
      </c>
      <c r="C1072" s="89"/>
      <c r="D1072" s="89"/>
      <c r="E1072" s="89"/>
      <c r="F1072" s="89"/>
      <c r="G1072" s="89"/>
      <c r="H1072" s="89"/>
      <c r="I1072" s="89"/>
      <c r="J1072" s="89"/>
      <c r="K1072" s="89"/>
      <c r="L1072" s="89"/>
    </row>
    <row r="1073" spans="2:12" x14ac:dyDescent="0.35">
      <c r="B1073" s="88">
        <v>69695</v>
      </c>
      <c r="C1073" s="88"/>
      <c r="D1073" s="88"/>
      <c r="E1073" s="88"/>
      <c r="F1073" s="88"/>
      <c r="G1073" s="88"/>
      <c r="H1073" s="88"/>
      <c r="I1073" s="88"/>
      <c r="J1073" s="88"/>
      <c r="K1073" s="88"/>
      <c r="L1073" s="88"/>
    </row>
    <row r="1074" spans="2:12" x14ac:dyDescent="0.35">
      <c r="B1074" s="89">
        <v>69795</v>
      </c>
      <c r="C1074" s="89"/>
      <c r="D1074" s="89"/>
      <c r="E1074" s="89"/>
      <c r="F1074" s="89"/>
      <c r="G1074" s="89"/>
      <c r="H1074" s="89"/>
      <c r="I1074" s="89"/>
      <c r="J1074" s="89"/>
      <c r="K1074" s="89"/>
      <c r="L1074" s="89"/>
    </row>
    <row r="1075" spans="2:12" x14ac:dyDescent="0.35">
      <c r="B1075" s="88">
        <v>69895</v>
      </c>
      <c r="C1075" s="88"/>
      <c r="D1075" s="88"/>
      <c r="E1075" s="88"/>
      <c r="F1075" s="88"/>
      <c r="G1075" s="88"/>
      <c r="H1075" s="88"/>
      <c r="I1075" s="88"/>
      <c r="J1075" s="88"/>
      <c r="K1075" s="88"/>
      <c r="L1075" s="88"/>
    </row>
    <row r="1076" spans="2:12" x14ac:dyDescent="0.35">
      <c r="B1076" s="89">
        <v>69995</v>
      </c>
      <c r="C1076" s="89"/>
      <c r="D1076" s="89"/>
      <c r="E1076" s="89"/>
      <c r="F1076" s="89"/>
      <c r="G1076" s="89"/>
      <c r="H1076" s="89"/>
      <c r="I1076" s="89"/>
      <c r="J1076" s="89"/>
      <c r="K1076" s="89"/>
      <c r="L1076" s="89"/>
    </row>
    <row r="1077" spans="2:12" x14ac:dyDescent="0.35">
      <c r="B1077" s="88">
        <v>70095</v>
      </c>
      <c r="C1077" s="88"/>
      <c r="D1077" s="88"/>
      <c r="E1077" s="88"/>
      <c r="F1077" s="88"/>
      <c r="G1077" s="88"/>
      <c r="H1077" s="88"/>
      <c r="I1077" s="88"/>
      <c r="J1077" s="88"/>
      <c r="K1077" s="88"/>
      <c r="L1077" s="88"/>
    </row>
    <row r="1078" spans="2:12" x14ac:dyDescent="0.35">
      <c r="B1078" s="89">
        <v>70195</v>
      </c>
      <c r="C1078" s="89"/>
      <c r="D1078" s="89"/>
      <c r="E1078" s="89"/>
      <c r="F1078" s="89"/>
      <c r="G1078" s="89"/>
      <c r="H1078" s="89"/>
      <c r="I1078" s="89"/>
      <c r="J1078" s="89"/>
      <c r="K1078" s="89"/>
      <c r="L1078" s="89"/>
    </row>
    <row r="1079" spans="2:12" x14ac:dyDescent="0.35">
      <c r="B1079" s="88">
        <v>70295</v>
      </c>
      <c r="C1079" s="88"/>
      <c r="D1079" s="88"/>
      <c r="E1079" s="88"/>
      <c r="F1079" s="88"/>
      <c r="G1079" s="88"/>
      <c r="H1079" s="88"/>
      <c r="I1079" s="88"/>
      <c r="J1079" s="88"/>
      <c r="K1079" s="88"/>
      <c r="L1079" s="88"/>
    </row>
    <row r="1080" spans="2:12" x14ac:dyDescent="0.35">
      <c r="B1080" s="89">
        <v>70395</v>
      </c>
      <c r="C1080" s="89"/>
      <c r="D1080" s="89"/>
      <c r="E1080" s="89"/>
      <c r="F1080" s="89"/>
      <c r="G1080" s="89"/>
      <c r="H1080" s="89"/>
      <c r="I1080" s="89"/>
      <c r="J1080" s="89"/>
      <c r="K1080" s="89"/>
      <c r="L1080" s="89"/>
    </row>
    <row r="1081" spans="2:12" x14ac:dyDescent="0.35">
      <c r="B1081" s="88">
        <v>70495</v>
      </c>
      <c r="C1081" s="88"/>
      <c r="D1081" s="88"/>
      <c r="E1081" s="88"/>
      <c r="F1081" s="88"/>
      <c r="G1081" s="88"/>
      <c r="H1081" s="88"/>
      <c r="I1081" s="88"/>
      <c r="J1081" s="88"/>
      <c r="K1081" s="88"/>
      <c r="L1081" s="88"/>
    </row>
    <row r="1082" spans="2:12" x14ac:dyDescent="0.35">
      <c r="B1082" s="89">
        <v>70595</v>
      </c>
      <c r="C1082" s="89"/>
      <c r="D1082" s="89"/>
      <c r="E1082" s="89"/>
      <c r="F1082" s="89"/>
      <c r="G1082" s="89"/>
      <c r="H1082" s="89"/>
      <c r="I1082" s="89"/>
      <c r="J1082" s="89"/>
      <c r="K1082" s="89"/>
      <c r="L1082" s="89"/>
    </row>
    <row r="1083" spans="2:12" x14ac:dyDescent="0.35">
      <c r="B1083" s="88">
        <v>70695</v>
      </c>
      <c r="C1083" s="88"/>
      <c r="D1083" s="88"/>
      <c r="E1083" s="88"/>
      <c r="F1083" s="88"/>
      <c r="G1083" s="88"/>
      <c r="H1083" s="88"/>
      <c r="I1083" s="88"/>
      <c r="J1083" s="88"/>
      <c r="K1083" s="88"/>
      <c r="L1083" s="88"/>
    </row>
    <row r="1084" spans="2:12" x14ac:dyDescent="0.35">
      <c r="B1084" s="89">
        <v>70795</v>
      </c>
      <c r="C1084" s="89"/>
      <c r="D1084" s="89"/>
      <c r="E1084" s="89"/>
      <c r="F1084" s="89"/>
      <c r="G1084" s="89"/>
      <c r="H1084" s="89"/>
      <c r="I1084" s="89"/>
      <c r="J1084" s="89"/>
      <c r="K1084" s="89"/>
      <c r="L1084" s="89"/>
    </row>
    <row r="1085" spans="2:12" x14ac:dyDescent="0.35">
      <c r="B1085" s="88">
        <v>70895</v>
      </c>
      <c r="C1085" s="88"/>
      <c r="D1085" s="88"/>
      <c r="E1085" s="88"/>
      <c r="F1085" s="88"/>
      <c r="G1085" s="88"/>
      <c r="H1085" s="88"/>
      <c r="I1085" s="88"/>
      <c r="J1085" s="88"/>
      <c r="K1085" s="88"/>
      <c r="L1085" s="88"/>
    </row>
    <row r="1086" spans="2:12" x14ac:dyDescent="0.35">
      <c r="B1086" s="89">
        <v>70995</v>
      </c>
      <c r="C1086" s="89"/>
      <c r="D1086" s="89"/>
      <c r="E1086" s="89"/>
      <c r="F1086" s="89"/>
      <c r="G1086" s="89"/>
      <c r="H1086" s="89"/>
      <c r="I1086" s="89"/>
      <c r="J1086" s="89"/>
      <c r="K1086" s="89"/>
      <c r="L1086" s="89"/>
    </row>
    <row r="1087" spans="2:12" x14ac:dyDescent="0.35">
      <c r="B1087" s="88">
        <v>71095</v>
      </c>
      <c r="C1087" s="88"/>
      <c r="D1087" s="88"/>
      <c r="E1087" s="88"/>
      <c r="F1087" s="88"/>
      <c r="G1087" s="88"/>
      <c r="H1087" s="88"/>
      <c r="I1087" s="88"/>
      <c r="J1087" s="88"/>
      <c r="K1087" s="88"/>
      <c r="L1087" s="88"/>
    </row>
    <row r="1088" spans="2:12" x14ac:dyDescent="0.35">
      <c r="B1088" s="89">
        <v>71195</v>
      </c>
      <c r="C1088" s="89"/>
      <c r="D1088" s="89"/>
      <c r="E1088" s="89"/>
      <c r="F1088" s="89"/>
      <c r="G1088" s="89"/>
      <c r="H1088" s="89"/>
      <c r="I1088" s="89"/>
      <c r="J1088" s="89"/>
      <c r="K1088" s="89"/>
      <c r="L1088" s="89"/>
    </row>
    <row r="1089" spans="2:12" x14ac:dyDescent="0.35">
      <c r="B1089" s="88">
        <v>71295</v>
      </c>
      <c r="C1089" s="88"/>
      <c r="D1089" s="88"/>
      <c r="E1089" s="88"/>
      <c r="F1089" s="88"/>
      <c r="G1089" s="88"/>
      <c r="H1089" s="88"/>
      <c r="I1089" s="88"/>
      <c r="J1089" s="88"/>
      <c r="K1089" s="88"/>
      <c r="L1089" s="88"/>
    </row>
    <row r="1090" spans="2:12" x14ac:dyDescent="0.35">
      <c r="B1090" s="89">
        <v>71395</v>
      </c>
      <c r="C1090" s="89"/>
      <c r="D1090" s="89"/>
      <c r="E1090" s="89"/>
      <c r="F1090" s="89"/>
      <c r="G1090" s="89"/>
      <c r="H1090" s="89"/>
      <c r="I1090" s="89"/>
      <c r="J1090" s="89"/>
      <c r="K1090" s="89"/>
      <c r="L1090" s="89"/>
    </row>
    <row r="1091" spans="2:12" x14ac:dyDescent="0.35">
      <c r="B1091" s="88">
        <v>71495</v>
      </c>
      <c r="C1091" s="88"/>
      <c r="D1091" s="88"/>
      <c r="E1091" s="88"/>
      <c r="F1091" s="88"/>
      <c r="G1091" s="88"/>
      <c r="H1091" s="88"/>
      <c r="I1091" s="88"/>
      <c r="J1091" s="88"/>
      <c r="K1091" s="88"/>
      <c r="L1091" s="88"/>
    </row>
    <row r="1092" spans="2:12" x14ac:dyDescent="0.35">
      <c r="B1092" s="89">
        <v>71595</v>
      </c>
      <c r="C1092" s="89"/>
      <c r="D1092" s="89"/>
      <c r="E1092" s="89"/>
      <c r="F1092" s="89"/>
      <c r="G1092" s="89"/>
      <c r="H1092" s="89"/>
      <c r="I1092" s="89"/>
      <c r="J1092" s="89"/>
      <c r="K1092" s="89"/>
      <c r="L1092" s="89"/>
    </row>
    <row r="1093" spans="2:12" x14ac:dyDescent="0.35">
      <c r="B1093" s="88">
        <v>71695</v>
      </c>
      <c r="C1093" s="88"/>
      <c r="D1093" s="88"/>
      <c r="E1093" s="88"/>
      <c r="F1093" s="88"/>
      <c r="G1093" s="88"/>
      <c r="H1093" s="88"/>
      <c r="I1093" s="88"/>
      <c r="J1093" s="88"/>
      <c r="K1093" s="88"/>
      <c r="L1093" s="88"/>
    </row>
    <row r="1094" spans="2:12" x14ac:dyDescent="0.35">
      <c r="B1094" s="89">
        <v>71795</v>
      </c>
      <c r="C1094" s="89"/>
      <c r="D1094" s="89"/>
      <c r="E1094" s="89"/>
      <c r="F1094" s="89"/>
      <c r="G1094" s="89"/>
      <c r="H1094" s="89"/>
      <c r="I1094" s="89"/>
      <c r="J1094" s="89"/>
      <c r="K1094" s="89"/>
      <c r="L1094" s="89"/>
    </row>
  </sheetData>
  <mergeCells count="14">
    <mergeCell ref="Z4:AD4"/>
    <mergeCell ref="AE4:AG4"/>
    <mergeCell ref="B92:B93"/>
    <mergeCell ref="A6:B7"/>
    <mergeCell ref="A41:B41"/>
    <mergeCell ref="A42:B42"/>
    <mergeCell ref="A77:A86"/>
    <mergeCell ref="N82:Q84"/>
    <mergeCell ref="N77:Q78"/>
    <mergeCell ref="N79:Q80"/>
    <mergeCell ref="U4:U6"/>
    <mergeCell ref="V4:W4"/>
    <mergeCell ref="X4:Y4"/>
    <mergeCell ref="N87:Q88"/>
  </mergeCells>
  <phoneticPr fontId="56" type="noConversion"/>
  <pageMargins left="0.7" right="0.7" top="0.78740157499999996" bottom="0.78740157499999996"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7"/>
  <dimension ref="A1:BC102"/>
  <sheetViews>
    <sheetView zoomScale="85" zoomScaleNormal="85" workbookViewId="0">
      <selection activeCell="A3" sqref="A3"/>
    </sheetView>
  </sheetViews>
  <sheetFormatPr defaultColWidth="0" defaultRowHeight="14.5" zeroHeight="1" x14ac:dyDescent="0.35"/>
  <cols>
    <col min="1" max="46" width="5.6328125" customWidth="1"/>
    <col min="47" max="55" width="0" hidden="1" customWidth="1"/>
    <col min="56" max="16384" width="11.54296875" hidden="1"/>
  </cols>
  <sheetData>
    <row r="1" spans="1:55" x14ac:dyDescent="0.35">
      <c r="A1" s="85"/>
      <c r="B1" s="39"/>
      <c r="C1" s="39"/>
      <c r="D1" s="99"/>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39"/>
      <c r="AL1" s="39"/>
      <c r="AM1" s="39"/>
      <c r="AN1" s="39"/>
      <c r="AO1" s="39"/>
      <c r="AP1" s="39"/>
      <c r="AQ1" s="39"/>
      <c r="AR1" s="39"/>
      <c r="AS1" s="39"/>
      <c r="AT1" s="39"/>
      <c r="AU1" s="39"/>
      <c r="AV1" s="39"/>
      <c r="AW1" s="39"/>
      <c r="AX1" s="39"/>
      <c r="AY1" s="39"/>
      <c r="AZ1" s="39"/>
      <c r="BA1" s="39"/>
      <c r="BB1" s="39"/>
      <c r="BC1" s="39"/>
    </row>
    <row r="2" spans="1:55" x14ac:dyDescent="0.35">
      <c r="A2" s="39"/>
      <c r="B2" s="39"/>
      <c r="C2" s="39"/>
      <c r="D2" s="99"/>
      <c r="E2" s="99"/>
      <c r="F2" s="99"/>
      <c r="G2" s="99"/>
      <c r="H2" s="99"/>
      <c r="I2" s="99"/>
      <c r="J2" s="99"/>
      <c r="K2" s="99"/>
      <c r="L2" s="99"/>
      <c r="M2" s="99"/>
      <c r="N2" s="99"/>
      <c r="O2" s="99"/>
      <c r="P2" s="99"/>
      <c r="Q2" s="99"/>
      <c r="R2" s="99"/>
      <c r="S2" s="99"/>
      <c r="T2" s="99"/>
      <c r="U2" s="99"/>
      <c r="V2" s="99"/>
      <c r="W2" s="99"/>
      <c r="X2" s="99"/>
      <c r="Y2" s="99"/>
      <c r="Z2" s="99"/>
      <c r="AA2" s="99"/>
      <c r="AB2" s="99"/>
      <c r="AC2" s="99"/>
      <c r="AD2" s="99"/>
      <c r="AE2" s="99"/>
      <c r="AF2" s="99"/>
      <c r="AG2" s="99"/>
      <c r="AH2" s="99"/>
      <c r="AI2" s="99"/>
      <c r="AJ2" s="99"/>
      <c r="AK2" s="39"/>
      <c r="AL2" s="39"/>
      <c r="AM2" s="39"/>
      <c r="AN2" s="39"/>
      <c r="AO2" s="39"/>
      <c r="AP2" s="39"/>
      <c r="AQ2" s="39"/>
      <c r="AR2" s="39"/>
      <c r="AS2" s="39"/>
      <c r="AT2" s="39"/>
      <c r="AU2" s="39"/>
      <c r="AV2" s="39"/>
      <c r="AW2" s="39"/>
      <c r="AX2" s="39"/>
      <c r="AY2" s="39"/>
      <c r="AZ2" s="39"/>
      <c r="BA2" s="39"/>
      <c r="BB2" s="39"/>
      <c r="BC2" s="39"/>
    </row>
    <row r="3" spans="1:55" x14ac:dyDescent="0.35">
      <c r="A3" s="91"/>
      <c r="B3" s="39"/>
      <c r="C3" s="39"/>
      <c r="D3" s="99"/>
      <c r="E3" s="99"/>
      <c r="F3" s="99"/>
      <c r="G3" s="99"/>
      <c r="H3" s="99"/>
      <c r="I3" s="99"/>
      <c r="J3" s="99"/>
      <c r="K3" s="99"/>
      <c r="L3" s="99"/>
      <c r="M3" s="99"/>
      <c r="N3" s="99"/>
      <c r="O3" s="99"/>
      <c r="P3" s="99"/>
      <c r="Q3" s="99"/>
      <c r="R3" s="99"/>
      <c r="S3" s="99"/>
      <c r="T3" s="99"/>
      <c r="U3" s="99"/>
      <c r="V3" s="99"/>
      <c r="W3" s="99"/>
      <c r="X3" s="99"/>
      <c r="Y3" s="99"/>
      <c r="Z3" s="99"/>
      <c r="AA3" s="99"/>
      <c r="AB3" s="99"/>
      <c r="AC3" s="99"/>
      <c r="AD3" s="99"/>
      <c r="AE3" s="99"/>
      <c r="AF3" s="99"/>
      <c r="AG3" s="99"/>
      <c r="AH3" s="99"/>
      <c r="AI3" s="99"/>
      <c r="AJ3" s="99"/>
      <c r="AK3" s="39"/>
      <c r="AL3" s="39"/>
      <c r="AM3" s="39"/>
      <c r="AN3" s="39"/>
      <c r="AO3" s="39"/>
      <c r="AP3" s="39"/>
      <c r="AQ3" s="39"/>
      <c r="AR3" s="39"/>
      <c r="AS3" s="39"/>
      <c r="AT3" s="39"/>
      <c r="AU3" s="39"/>
      <c r="AV3" s="39"/>
      <c r="AW3" s="39"/>
      <c r="AX3" s="39"/>
      <c r="AY3" s="39"/>
      <c r="AZ3" s="39"/>
      <c r="BA3" s="39"/>
      <c r="BB3" s="39"/>
      <c r="BC3" s="39"/>
    </row>
    <row r="4" spans="1:55" x14ac:dyDescent="0.35">
      <c r="M4" s="99"/>
      <c r="N4" s="99"/>
      <c r="O4" s="99"/>
      <c r="P4" s="99"/>
      <c r="Q4" s="99"/>
      <c r="R4" s="99"/>
      <c r="S4" s="99"/>
      <c r="T4" s="99"/>
      <c r="U4" s="99"/>
      <c r="V4" s="99"/>
      <c r="W4" s="99"/>
      <c r="X4" s="99"/>
      <c r="Y4" s="99"/>
      <c r="Z4" s="99"/>
      <c r="AA4" s="99"/>
      <c r="AB4" s="99"/>
      <c r="AC4" s="99"/>
      <c r="AD4" s="99"/>
      <c r="AE4" s="99"/>
      <c r="AF4" s="99"/>
      <c r="AG4" s="99"/>
      <c r="AH4" s="99"/>
      <c r="AI4" s="99"/>
      <c r="AJ4" s="99"/>
      <c r="AK4" s="39"/>
      <c r="AL4" s="39"/>
      <c r="AM4" s="39"/>
      <c r="AN4" s="39"/>
      <c r="AO4" s="39"/>
      <c r="AP4" s="39"/>
      <c r="AQ4" s="39"/>
      <c r="AR4" s="39"/>
      <c r="AS4" s="39"/>
      <c r="AT4" s="39"/>
      <c r="AU4" s="39"/>
      <c r="AV4" s="39"/>
      <c r="AW4" s="39"/>
      <c r="AX4" s="39"/>
      <c r="AY4" s="39"/>
      <c r="AZ4" s="39"/>
      <c r="BA4" s="39"/>
      <c r="BB4" s="39"/>
      <c r="BC4" s="39"/>
    </row>
    <row r="5" spans="1:55" x14ac:dyDescent="0.35">
      <c r="M5" s="39"/>
      <c r="N5" s="99"/>
      <c r="O5" s="99"/>
      <c r="P5" s="99"/>
      <c r="Q5" s="99"/>
      <c r="R5" s="99"/>
      <c r="S5" s="99"/>
      <c r="T5" s="99"/>
      <c r="U5" s="99"/>
      <c r="V5" s="99"/>
      <c r="W5" s="99"/>
      <c r="X5" s="99"/>
      <c r="Y5" s="99"/>
      <c r="Z5" s="99"/>
      <c r="AA5" s="99"/>
      <c r="AB5" s="99"/>
      <c r="AC5" s="99"/>
      <c r="AD5" s="99"/>
      <c r="AE5" s="99"/>
      <c r="AF5" s="99"/>
      <c r="AG5" s="99"/>
      <c r="AH5" s="99"/>
      <c r="AI5" s="99"/>
      <c r="AJ5" s="99"/>
      <c r="AK5" s="39"/>
      <c r="AL5" s="39"/>
      <c r="AM5" s="39"/>
      <c r="AN5" s="39"/>
      <c r="AO5" s="39"/>
      <c r="AP5" s="39"/>
      <c r="AQ5" s="39"/>
      <c r="AR5" s="39"/>
      <c r="AS5" s="39"/>
      <c r="AT5" s="39"/>
      <c r="AU5" s="39"/>
      <c r="AV5" s="39"/>
      <c r="AW5" s="39"/>
      <c r="AX5" s="39"/>
      <c r="AY5" s="39"/>
      <c r="AZ5" s="39"/>
      <c r="BA5" s="39"/>
      <c r="BB5" s="39"/>
      <c r="BC5" s="39"/>
    </row>
    <row r="6" spans="1:55" x14ac:dyDescent="0.35">
      <c r="M6" s="100"/>
      <c r="N6" s="99"/>
      <c r="O6" s="99"/>
      <c r="P6" s="99"/>
      <c r="Q6" s="99"/>
      <c r="R6" s="99"/>
      <c r="S6" s="99"/>
      <c r="T6" s="99"/>
      <c r="U6" s="99"/>
      <c r="V6" s="99"/>
      <c r="W6" s="99"/>
      <c r="X6" s="99"/>
      <c r="Y6" s="99"/>
      <c r="Z6" s="99"/>
      <c r="AA6" s="99"/>
      <c r="AB6" s="99"/>
      <c r="AC6" s="99"/>
      <c r="AD6" s="99"/>
      <c r="AE6" s="99"/>
      <c r="AF6" s="99"/>
      <c r="AG6" s="99"/>
      <c r="AH6" s="99"/>
      <c r="AI6" s="99"/>
      <c r="AJ6" s="99"/>
      <c r="AK6" s="39"/>
      <c r="AL6" s="39"/>
      <c r="AM6" s="39"/>
      <c r="AN6" s="39"/>
      <c r="AO6" s="39"/>
      <c r="AP6" s="39"/>
      <c r="AQ6" s="39"/>
      <c r="AR6" s="39"/>
      <c r="AS6" s="39"/>
      <c r="AT6" s="39"/>
      <c r="AU6" s="39"/>
      <c r="AV6" s="39"/>
      <c r="AW6" s="39"/>
      <c r="AX6" s="39"/>
      <c r="AY6" s="39"/>
      <c r="AZ6" s="39"/>
      <c r="BA6" s="39"/>
      <c r="BB6" s="39"/>
      <c r="BC6" s="39"/>
    </row>
    <row r="7" spans="1:55" x14ac:dyDescent="0.35">
      <c r="M7" s="101"/>
      <c r="N7" s="99"/>
      <c r="O7" s="99"/>
      <c r="P7" s="99"/>
      <c r="Q7" s="99"/>
      <c r="R7" s="99"/>
      <c r="S7" s="99"/>
      <c r="T7" s="99"/>
      <c r="U7" s="99"/>
      <c r="V7" s="99"/>
      <c r="W7" s="99"/>
      <c r="X7" s="99"/>
      <c r="Y7" s="99"/>
      <c r="Z7" s="99"/>
      <c r="AA7" s="99"/>
      <c r="AB7" s="99"/>
      <c r="AC7" s="99"/>
      <c r="AD7" s="99"/>
      <c r="AE7" s="99"/>
      <c r="AF7" s="99"/>
      <c r="AG7" s="99"/>
      <c r="AH7" s="99"/>
      <c r="AI7" s="99"/>
      <c r="AJ7" s="99"/>
      <c r="AK7" s="39"/>
      <c r="AL7" s="39"/>
      <c r="AM7" s="39"/>
      <c r="AN7" s="39"/>
      <c r="AO7" s="39"/>
      <c r="AP7" s="39"/>
      <c r="AQ7" s="39"/>
      <c r="AR7" s="39"/>
      <c r="AS7" s="39"/>
      <c r="AT7" s="39"/>
      <c r="AU7" s="39"/>
      <c r="AV7" s="39"/>
      <c r="AW7" s="39"/>
      <c r="AX7" s="39"/>
      <c r="AY7" s="39"/>
      <c r="AZ7" s="39"/>
      <c r="BA7" s="39"/>
      <c r="BB7" s="39"/>
      <c r="BC7" s="39"/>
    </row>
    <row r="8" spans="1:55" x14ac:dyDescent="0.35">
      <c r="M8" s="101"/>
      <c r="N8" s="99"/>
      <c r="O8" s="99"/>
      <c r="P8" s="99"/>
      <c r="Q8" s="99"/>
      <c r="R8" s="99"/>
      <c r="S8" s="99"/>
      <c r="T8" s="99"/>
      <c r="U8" s="99"/>
      <c r="V8" s="99"/>
      <c r="W8" s="99"/>
      <c r="X8" s="99"/>
      <c r="Y8" s="99"/>
      <c r="Z8" s="99"/>
      <c r="AA8" s="99"/>
      <c r="AB8" s="99"/>
      <c r="AC8" s="99"/>
      <c r="AD8" s="99"/>
      <c r="AE8" s="99"/>
      <c r="AF8" s="99"/>
      <c r="AG8" s="99"/>
      <c r="AH8" s="99"/>
      <c r="AI8" s="99"/>
      <c r="AJ8" s="99"/>
      <c r="AK8" s="39"/>
      <c r="AL8" s="39"/>
      <c r="AM8" s="39"/>
      <c r="AN8" s="39"/>
      <c r="AO8" s="39"/>
      <c r="AP8" s="39"/>
      <c r="AQ8" s="39"/>
      <c r="AR8" s="39"/>
      <c r="AS8" s="39"/>
      <c r="AT8" s="39"/>
      <c r="AU8" s="39"/>
      <c r="AV8" s="39"/>
      <c r="AW8" s="39"/>
      <c r="AX8" s="39"/>
      <c r="AY8" s="39"/>
      <c r="AZ8" s="39"/>
      <c r="BA8" s="39"/>
      <c r="BB8" s="39"/>
      <c r="BC8" s="39"/>
    </row>
    <row r="9" spans="1:55" x14ac:dyDescent="0.35">
      <c r="M9" s="39"/>
      <c r="N9" s="99"/>
      <c r="O9" s="99"/>
      <c r="P9" s="99"/>
      <c r="Q9" s="99"/>
      <c r="R9" s="99"/>
      <c r="S9" s="99"/>
      <c r="T9" s="99"/>
      <c r="U9" s="99"/>
      <c r="V9" s="99"/>
      <c r="W9" s="99"/>
      <c r="X9" s="99"/>
      <c r="Y9" s="99"/>
      <c r="Z9" s="99"/>
      <c r="AA9" s="99"/>
      <c r="AB9" s="99"/>
      <c r="AC9" s="99"/>
      <c r="AD9" s="99"/>
      <c r="AE9" s="99"/>
      <c r="AF9" s="99"/>
      <c r="AG9" s="99"/>
      <c r="AH9" s="99"/>
      <c r="AI9" s="99"/>
      <c r="AJ9" s="99"/>
      <c r="AK9" s="39"/>
      <c r="AL9" s="39"/>
      <c r="AM9" s="39"/>
      <c r="AN9" s="39"/>
      <c r="AO9" s="39"/>
      <c r="AP9" s="39"/>
      <c r="AQ9" s="39"/>
      <c r="AR9" s="39"/>
      <c r="AS9" s="39"/>
      <c r="AT9" s="39"/>
      <c r="AU9" s="39"/>
      <c r="AV9" s="39"/>
      <c r="AW9" s="39"/>
      <c r="AX9" s="39"/>
      <c r="AY9" s="39"/>
      <c r="AZ9" s="39"/>
      <c r="BA9" s="39"/>
      <c r="BB9" s="39"/>
      <c r="BC9" s="39"/>
    </row>
    <row r="10" spans="1:55" x14ac:dyDescent="0.35">
      <c r="M10" s="102"/>
      <c r="N10" s="99"/>
      <c r="O10" s="99"/>
      <c r="P10" s="99"/>
      <c r="Q10" s="99"/>
      <c r="R10" s="99"/>
      <c r="S10" s="99"/>
      <c r="T10" s="99"/>
      <c r="U10" s="99"/>
      <c r="V10" s="99"/>
      <c r="W10" s="99"/>
      <c r="X10" s="99"/>
      <c r="Y10" s="99"/>
      <c r="Z10" s="99"/>
      <c r="AA10" s="99"/>
      <c r="AB10" s="99"/>
      <c r="AC10" s="99"/>
      <c r="AD10" s="99"/>
      <c r="AE10" s="99"/>
      <c r="AF10" s="99"/>
      <c r="AG10" s="99"/>
      <c r="AH10" s="99"/>
      <c r="AI10" s="99"/>
      <c r="AJ10" s="99"/>
      <c r="AK10" s="39"/>
      <c r="AL10" s="39"/>
      <c r="AM10" s="39"/>
      <c r="AN10" s="39"/>
      <c r="AO10" s="39"/>
      <c r="AP10" s="39"/>
      <c r="AQ10" s="39"/>
      <c r="AR10" s="39"/>
      <c r="AS10" s="39"/>
      <c r="AT10" s="39"/>
      <c r="AU10" s="39"/>
      <c r="AV10" s="39"/>
      <c r="AW10" s="39"/>
      <c r="AX10" s="39"/>
      <c r="AY10" s="39"/>
      <c r="AZ10" s="39"/>
      <c r="BA10" s="39"/>
      <c r="BB10" s="39"/>
      <c r="BC10" s="39"/>
    </row>
    <row r="11" spans="1:55" x14ac:dyDescent="0.35">
      <c r="M11" s="103"/>
      <c r="N11" s="99"/>
      <c r="O11" s="99"/>
      <c r="P11" s="99"/>
      <c r="Q11" s="99"/>
      <c r="R11" s="99"/>
      <c r="S11" s="99"/>
      <c r="T11" s="99"/>
      <c r="U11" s="99"/>
      <c r="V11" s="99"/>
      <c r="W11" s="99"/>
      <c r="X11" s="99"/>
      <c r="Y11" s="99"/>
      <c r="Z11" s="99"/>
      <c r="AA11" s="99"/>
      <c r="AB11" s="99"/>
      <c r="AC11" s="99"/>
      <c r="AD11" s="99"/>
      <c r="AE11" s="99"/>
      <c r="AF11" s="99"/>
      <c r="AG11" s="99"/>
      <c r="AH11" s="99"/>
      <c r="AI11" s="99"/>
      <c r="AJ11" s="99"/>
      <c r="AK11" s="39"/>
      <c r="AL11" s="39"/>
      <c r="AM11" s="39"/>
      <c r="AN11" s="39"/>
      <c r="AO11" s="39"/>
      <c r="AP11" s="39"/>
      <c r="AQ11" s="39"/>
      <c r="AR11" s="39"/>
      <c r="AS11" s="39"/>
      <c r="AT11" s="39"/>
      <c r="AU11" s="39"/>
      <c r="AV11" s="39"/>
      <c r="AW11" s="39"/>
      <c r="AX11" s="39"/>
      <c r="AY11" s="39"/>
      <c r="AZ11" s="39"/>
      <c r="BA11" s="39"/>
      <c r="BB11" s="39"/>
      <c r="BC11" s="39"/>
    </row>
    <row r="12" spans="1:55" x14ac:dyDescent="0.35">
      <c r="M12" s="103"/>
      <c r="N12" s="99"/>
      <c r="O12" s="99"/>
      <c r="P12" s="99"/>
      <c r="Q12" s="99"/>
      <c r="R12" s="99"/>
      <c r="S12" s="99"/>
      <c r="T12" s="99"/>
      <c r="U12" s="99"/>
      <c r="V12" s="99"/>
      <c r="W12" s="99"/>
      <c r="X12" s="99"/>
      <c r="Y12" s="99"/>
      <c r="Z12" s="99"/>
      <c r="AA12" s="99"/>
      <c r="AB12" s="99"/>
      <c r="AC12" s="99"/>
      <c r="AD12" s="99"/>
      <c r="AE12" s="99"/>
      <c r="AF12" s="99"/>
      <c r="AG12" s="99"/>
      <c r="AH12" s="99"/>
      <c r="AI12" s="99"/>
      <c r="AJ12" s="99"/>
      <c r="AK12" s="39"/>
      <c r="AL12" s="39"/>
      <c r="AM12" s="39"/>
      <c r="AN12" s="39"/>
      <c r="AO12" s="39"/>
      <c r="AP12" s="39"/>
      <c r="AQ12" s="39"/>
      <c r="AR12" s="39"/>
      <c r="AS12" s="39"/>
      <c r="AT12" s="39"/>
      <c r="AU12" s="39"/>
      <c r="AV12" s="39"/>
      <c r="AW12" s="39"/>
      <c r="AX12" s="39"/>
      <c r="AY12" s="39"/>
      <c r="AZ12" s="39"/>
      <c r="BA12" s="39"/>
      <c r="BB12" s="39"/>
      <c r="BC12" s="39"/>
    </row>
    <row r="13" spans="1:55" x14ac:dyDescent="0.35">
      <c r="M13" s="103"/>
      <c r="N13" s="99"/>
      <c r="O13" s="99"/>
      <c r="P13" s="99"/>
      <c r="Q13" s="99"/>
      <c r="R13" s="99"/>
      <c r="S13" s="99"/>
      <c r="T13" s="99"/>
      <c r="U13" s="99"/>
      <c r="V13" s="99"/>
      <c r="W13" s="99"/>
      <c r="X13" s="99"/>
      <c r="Y13" s="99"/>
      <c r="Z13" s="99"/>
      <c r="AA13" s="99"/>
      <c r="AB13" s="99"/>
      <c r="AC13" s="99"/>
      <c r="AD13" s="99"/>
      <c r="AE13" s="99"/>
      <c r="AF13" s="99"/>
      <c r="AG13" s="99"/>
      <c r="AH13" s="99"/>
      <c r="AI13" s="99"/>
      <c r="AJ13" s="99"/>
      <c r="AK13" s="39"/>
      <c r="AL13" s="39"/>
      <c r="AM13" s="39"/>
      <c r="AN13" s="39"/>
      <c r="AO13" s="39"/>
      <c r="AP13" s="39"/>
      <c r="AQ13" s="39"/>
      <c r="AR13" s="39"/>
      <c r="AS13" s="39"/>
      <c r="AT13" s="39"/>
      <c r="AU13" s="39"/>
      <c r="AV13" s="39"/>
      <c r="AW13" s="39"/>
      <c r="AX13" s="39"/>
      <c r="AY13" s="39"/>
      <c r="AZ13" s="39"/>
      <c r="BA13" s="39"/>
      <c r="BB13" s="39"/>
      <c r="BC13" s="39"/>
    </row>
    <row r="14" spans="1:55" x14ac:dyDescent="0.35">
      <c r="M14" s="103"/>
      <c r="N14" s="99"/>
      <c r="O14" s="99"/>
      <c r="P14" s="99"/>
      <c r="Q14" s="99"/>
      <c r="R14" s="99"/>
      <c r="S14" s="99"/>
      <c r="T14" s="99"/>
      <c r="U14" s="99"/>
      <c r="V14" s="99"/>
      <c r="W14" s="99"/>
      <c r="X14" s="99"/>
      <c r="Y14" s="99"/>
      <c r="Z14" s="99"/>
      <c r="AA14" s="99"/>
      <c r="AB14" s="99"/>
      <c r="AC14" s="99"/>
      <c r="AD14" s="99"/>
      <c r="AE14" s="99"/>
      <c r="AF14" s="99"/>
      <c r="AG14" s="99"/>
      <c r="AH14" s="99"/>
      <c r="AI14" s="99"/>
      <c r="AJ14" s="99"/>
      <c r="AK14" s="39"/>
      <c r="AL14" s="39"/>
      <c r="AM14" s="39"/>
      <c r="AN14" s="39"/>
      <c r="AO14" s="39"/>
      <c r="AP14" s="39"/>
      <c r="AQ14" s="39"/>
      <c r="AR14" s="39"/>
      <c r="AS14" s="39"/>
      <c r="AT14" s="39"/>
      <c r="AU14" s="39"/>
      <c r="AV14" s="39"/>
      <c r="AW14" s="39"/>
      <c r="AX14" s="39"/>
      <c r="AY14" s="39"/>
      <c r="AZ14" s="39"/>
      <c r="BA14" s="39"/>
      <c r="BB14" s="39"/>
      <c r="BC14" s="39"/>
    </row>
    <row r="15" spans="1:55" x14ac:dyDescent="0.35">
      <c r="M15" s="103"/>
      <c r="N15" s="99"/>
      <c r="O15" s="99"/>
      <c r="P15" s="99"/>
      <c r="Q15" s="99"/>
      <c r="R15" s="99"/>
      <c r="S15" s="99"/>
      <c r="T15" s="99"/>
      <c r="U15" s="99"/>
      <c r="V15" s="99"/>
      <c r="W15" s="99"/>
      <c r="X15" s="99"/>
      <c r="Y15" s="99"/>
      <c r="Z15" s="99"/>
      <c r="AA15" s="99"/>
      <c r="AB15" s="99"/>
      <c r="AC15" s="99"/>
      <c r="AD15" s="99"/>
      <c r="AE15" s="99"/>
      <c r="AF15" s="99"/>
      <c r="AG15" s="99"/>
      <c r="AH15" s="99"/>
      <c r="AI15" s="99"/>
      <c r="AJ15" s="99"/>
      <c r="AK15" s="39"/>
      <c r="AL15" s="39"/>
      <c r="AM15" s="39"/>
      <c r="AN15" s="39"/>
      <c r="AO15" s="39"/>
      <c r="AP15" s="39"/>
      <c r="AQ15" s="39"/>
      <c r="AR15" s="39"/>
      <c r="AS15" s="39"/>
      <c r="AT15" s="39"/>
      <c r="AU15" s="39"/>
      <c r="AV15" s="39"/>
      <c r="AW15" s="39"/>
      <c r="AX15" s="39"/>
      <c r="AY15" s="39"/>
      <c r="AZ15" s="39"/>
      <c r="BA15" s="39"/>
      <c r="BB15" s="39"/>
      <c r="BC15" s="39"/>
    </row>
    <row r="16" spans="1:55" x14ac:dyDescent="0.35">
      <c r="M16" s="103"/>
      <c r="N16" s="99"/>
      <c r="O16" s="99"/>
      <c r="P16" s="99"/>
      <c r="Q16" s="99"/>
      <c r="R16" s="99"/>
      <c r="S16" s="99"/>
      <c r="T16" s="99"/>
      <c r="U16" s="99"/>
      <c r="V16" s="99"/>
      <c r="W16" s="99"/>
      <c r="X16" s="99"/>
      <c r="Y16" s="99"/>
      <c r="Z16" s="99"/>
      <c r="AA16" s="99"/>
      <c r="AB16" s="99"/>
      <c r="AC16" s="99"/>
      <c r="AD16" s="99"/>
      <c r="AE16" s="99"/>
      <c r="AF16" s="99"/>
      <c r="AG16" s="99"/>
      <c r="AH16" s="99"/>
      <c r="AI16" s="99"/>
      <c r="AJ16" s="99"/>
      <c r="AK16" s="39"/>
      <c r="AL16" s="39"/>
      <c r="AM16" s="39"/>
      <c r="AN16" s="39"/>
      <c r="AO16" s="39"/>
      <c r="AP16" s="39"/>
      <c r="AQ16" s="39"/>
      <c r="AR16" s="39"/>
      <c r="AS16" s="39"/>
      <c r="AT16" s="39"/>
      <c r="AU16" s="39"/>
      <c r="AV16" s="39"/>
      <c r="AW16" s="39"/>
      <c r="AX16" s="39"/>
      <c r="AY16" s="39"/>
      <c r="AZ16" s="39"/>
      <c r="BA16" s="39"/>
      <c r="BB16" s="39"/>
      <c r="BC16" s="39"/>
    </row>
    <row r="17" spans="13:55" x14ac:dyDescent="0.35">
      <c r="M17" s="103"/>
      <c r="N17" s="99"/>
      <c r="O17" s="99"/>
      <c r="P17" s="99"/>
      <c r="Q17" s="99"/>
      <c r="R17" s="99"/>
      <c r="S17" s="99"/>
      <c r="T17" s="99"/>
      <c r="U17" s="99"/>
      <c r="V17" s="99"/>
      <c r="W17" s="99"/>
      <c r="X17" s="99"/>
      <c r="Y17" s="99"/>
      <c r="Z17" s="99"/>
      <c r="AA17" s="99"/>
      <c r="AB17" s="99"/>
      <c r="AC17" s="99"/>
      <c r="AD17" s="99"/>
      <c r="AE17" s="99"/>
      <c r="AF17" s="99"/>
      <c r="AG17" s="99"/>
      <c r="AH17" s="99"/>
      <c r="AI17" s="99"/>
      <c r="AJ17" s="99"/>
      <c r="AK17" s="39"/>
      <c r="AL17" s="39"/>
      <c r="AM17" s="39"/>
      <c r="AN17" s="39"/>
      <c r="AO17" s="39"/>
      <c r="AP17" s="39"/>
      <c r="AQ17" s="39"/>
      <c r="AR17" s="39"/>
      <c r="AS17" s="39"/>
      <c r="AT17" s="39"/>
      <c r="AU17" s="39"/>
      <c r="AV17" s="39"/>
      <c r="AW17" s="39"/>
      <c r="AX17" s="39"/>
      <c r="AY17" s="39"/>
      <c r="AZ17" s="39"/>
      <c r="BA17" s="39"/>
      <c r="BB17" s="39"/>
      <c r="BC17" s="39"/>
    </row>
    <row r="18" spans="13:55" x14ac:dyDescent="0.35">
      <c r="M18" s="103"/>
      <c r="N18" s="99"/>
      <c r="O18" s="99"/>
      <c r="P18" s="99"/>
      <c r="Q18" s="99"/>
      <c r="R18" s="99"/>
      <c r="S18" s="99"/>
      <c r="T18" s="99"/>
      <c r="U18" s="99"/>
      <c r="V18" s="99"/>
      <c r="W18" s="99"/>
      <c r="X18" s="99"/>
      <c r="Y18" s="99"/>
      <c r="Z18" s="99"/>
      <c r="AA18" s="99"/>
      <c r="AB18" s="99"/>
      <c r="AC18" s="99"/>
      <c r="AD18" s="99"/>
      <c r="AE18" s="99"/>
      <c r="AF18" s="99"/>
      <c r="AG18" s="99"/>
      <c r="AH18" s="99"/>
      <c r="AI18" s="99"/>
      <c r="AJ18" s="99"/>
      <c r="AK18" s="39"/>
      <c r="AL18" s="39"/>
      <c r="AM18" s="39"/>
      <c r="AN18" s="39"/>
      <c r="AO18" s="39"/>
      <c r="AP18" s="39"/>
      <c r="AQ18" s="39"/>
      <c r="AR18" s="39"/>
      <c r="AS18" s="39"/>
      <c r="AT18" s="39"/>
      <c r="AU18" s="39"/>
      <c r="AV18" s="39"/>
      <c r="AW18" s="39"/>
      <c r="AX18" s="39"/>
      <c r="AY18" s="39"/>
      <c r="AZ18" s="39"/>
      <c r="BA18" s="39"/>
      <c r="BB18" s="39"/>
      <c r="BC18" s="39"/>
    </row>
    <row r="19" spans="13:55" x14ac:dyDescent="0.35">
      <c r="M19" s="103"/>
      <c r="N19" s="99"/>
      <c r="O19" s="99"/>
      <c r="P19" s="99"/>
      <c r="Q19" s="99"/>
      <c r="R19" s="99"/>
      <c r="S19" s="99"/>
      <c r="T19" s="99"/>
      <c r="U19" s="99"/>
      <c r="V19" s="99"/>
      <c r="W19" s="99"/>
      <c r="X19" s="99"/>
      <c r="Y19" s="99"/>
      <c r="Z19" s="99"/>
      <c r="AA19" s="99"/>
      <c r="AB19" s="99"/>
      <c r="AC19" s="99"/>
      <c r="AD19" s="99"/>
      <c r="AE19" s="99"/>
      <c r="AF19" s="99"/>
      <c r="AG19" s="99"/>
      <c r="AH19" s="99"/>
      <c r="AI19" s="99"/>
      <c r="AJ19" s="99"/>
      <c r="AK19" s="39"/>
      <c r="AL19" s="39"/>
      <c r="AM19" s="39"/>
      <c r="AN19" s="39"/>
      <c r="AO19" s="39"/>
      <c r="AP19" s="39"/>
      <c r="AQ19" s="39"/>
      <c r="AR19" s="39"/>
      <c r="AS19" s="39"/>
      <c r="AT19" s="39"/>
      <c r="AU19" s="39"/>
      <c r="AV19" s="39"/>
      <c r="AW19" s="39"/>
      <c r="AX19" s="39"/>
      <c r="AY19" s="39"/>
      <c r="AZ19" s="39"/>
      <c r="BA19" s="39"/>
      <c r="BB19" s="39"/>
      <c r="BC19" s="39"/>
    </row>
    <row r="20" spans="13:55" x14ac:dyDescent="0.35">
      <c r="M20" s="103"/>
      <c r="N20" s="99"/>
      <c r="O20" s="99"/>
      <c r="P20" s="99"/>
      <c r="Q20" s="99"/>
      <c r="R20" s="99"/>
      <c r="S20" s="99"/>
      <c r="T20" s="99"/>
      <c r="U20" s="99"/>
      <c r="V20" s="99"/>
      <c r="W20" s="99"/>
      <c r="X20" s="99"/>
      <c r="Y20" s="99"/>
      <c r="Z20" s="99"/>
      <c r="AA20" s="99"/>
      <c r="AB20" s="99"/>
      <c r="AC20" s="99"/>
      <c r="AD20" s="99"/>
      <c r="AE20" s="99"/>
      <c r="AF20" s="99"/>
      <c r="AG20" s="99"/>
      <c r="AH20" s="99"/>
      <c r="AI20" s="99"/>
      <c r="AJ20" s="99"/>
      <c r="AK20" s="39"/>
      <c r="AL20" s="39"/>
      <c r="AM20" s="39"/>
      <c r="AN20" s="39"/>
      <c r="AO20" s="39"/>
      <c r="AP20" s="39"/>
      <c r="AQ20" s="39"/>
      <c r="AR20" s="39"/>
      <c r="AS20" s="39"/>
      <c r="AT20" s="39"/>
      <c r="AU20" s="39"/>
      <c r="AV20" s="39"/>
      <c r="AW20" s="39"/>
      <c r="AX20" s="39"/>
      <c r="AY20" s="39"/>
      <c r="AZ20" s="39"/>
      <c r="BA20" s="39"/>
      <c r="BB20" s="39"/>
      <c r="BC20" s="39"/>
    </row>
    <row r="21" spans="13:55" x14ac:dyDescent="0.35">
      <c r="M21" s="103"/>
      <c r="N21" s="99"/>
      <c r="O21" s="99"/>
      <c r="P21" s="99"/>
      <c r="Q21" s="99"/>
      <c r="R21" s="99"/>
      <c r="S21" s="99"/>
      <c r="T21" s="99"/>
      <c r="U21" s="99"/>
      <c r="V21" s="99"/>
      <c r="W21" s="99"/>
      <c r="X21" s="99"/>
      <c r="Y21" s="99"/>
      <c r="Z21" s="99"/>
      <c r="AA21" s="99"/>
      <c r="AB21" s="99"/>
      <c r="AC21" s="99"/>
      <c r="AD21" s="99"/>
      <c r="AE21" s="99"/>
      <c r="AF21" s="99"/>
      <c r="AG21" s="99"/>
      <c r="AH21" s="99"/>
      <c r="AI21" s="99"/>
      <c r="AJ21" s="99"/>
      <c r="AK21" s="39"/>
      <c r="AL21" s="39"/>
      <c r="AM21" s="39"/>
      <c r="AN21" s="39"/>
      <c r="AO21" s="39"/>
      <c r="AP21" s="39"/>
      <c r="AQ21" s="39"/>
      <c r="AR21" s="39"/>
      <c r="AS21" s="39"/>
      <c r="AT21" s="39"/>
      <c r="AU21" s="39"/>
      <c r="AV21" s="39"/>
      <c r="AW21" s="39"/>
      <c r="AX21" s="39"/>
      <c r="AY21" s="39"/>
      <c r="AZ21" s="39"/>
      <c r="BA21" s="39"/>
      <c r="BB21" s="39"/>
      <c r="BC21" s="39"/>
    </row>
    <row r="22" spans="13:55" x14ac:dyDescent="0.35">
      <c r="M22" s="103"/>
      <c r="N22" s="99"/>
      <c r="O22" s="99"/>
      <c r="P22" s="99"/>
      <c r="Q22" s="99"/>
      <c r="R22" s="99"/>
      <c r="S22" s="99"/>
      <c r="T22" s="99"/>
      <c r="U22" s="99"/>
      <c r="V22" s="99"/>
      <c r="W22" s="99"/>
      <c r="X22" s="99"/>
      <c r="Y22" s="99"/>
      <c r="Z22" s="99"/>
      <c r="AA22" s="99"/>
      <c r="AB22" s="99"/>
      <c r="AC22" s="99"/>
      <c r="AD22" s="99"/>
      <c r="AE22" s="99"/>
      <c r="AF22" s="99"/>
      <c r="AG22" s="99"/>
      <c r="AH22" s="99"/>
      <c r="AI22" s="99"/>
      <c r="AJ22" s="99"/>
      <c r="AK22" s="39"/>
      <c r="AL22" s="39"/>
      <c r="AM22" s="39"/>
      <c r="AN22" s="39"/>
      <c r="AO22" s="39"/>
      <c r="AP22" s="39"/>
      <c r="AQ22" s="39"/>
      <c r="AR22" s="39"/>
      <c r="AS22" s="39"/>
      <c r="AT22" s="39"/>
      <c r="AU22" s="39"/>
      <c r="AV22" s="39"/>
      <c r="AW22" s="39"/>
      <c r="AX22" s="39"/>
      <c r="AY22" s="39"/>
      <c r="AZ22" s="39"/>
      <c r="BA22" s="39"/>
      <c r="BB22" s="39"/>
      <c r="BC22" s="39"/>
    </row>
    <row r="23" spans="13:55" x14ac:dyDescent="0.35">
      <c r="M23" s="99"/>
      <c r="N23" s="99"/>
      <c r="O23" s="99"/>
      <c r="P23" s="99"/>
      <c r="Q23" s="99"/>
      <c r="R23" s="99"/>
      <c r="S23" s="99"/>
      <c r="T23" s="99"/>
      <c r="U23" s="99"/>
      <c r="V23" s="99"/>
      <c r="W23" s="99"/>
      <c r="X23" s="99"/>
      <c r="Y23" s="99"/>
      <c r="Z23" s="99"/>
      <c r="AA23" s="99"/>
      <c r="AB23" s="99"/>
      <c r="AC23" s="99"/>
      <c r="AD23" s="99"/>
      <c r="AE23" s="99"/>
      <c r="AF23" s="99"/>
      <c r="AG23" s="99"/>
      <c r="AH23" s="99"/>
      <c r="AI23" s="99"/>
      <c r="AJ23" s="99"/>
      <c r="AK23" s="39"/>
      <c r="AL23" s="39"/>
      <c r="AM23" s="39"/>
      <c r="AN23" s="39"/>
      <c r="AO23" s="39"/>
      <c r="AP23" s="39"/>
      <c r="AQ23" s="39"/>
      <c r="AR23" s="39"/>
      <c r="AS23" s="39"/>
      <c r="AT23" s="39"/>
      <c r="AU23" s="39"/>
      <c r="AV23" s="39"/>
      <c r="AW23" s="39"/>
      <c r="AX23" s="39"/>
      <c r="AY23" s="39"/>
      <c r="AZ23" s="39"/>
      <c r="BA23" s="39"/>
      <c r="BB23" s="39"/>
      <c r="BC23" s="39"/>
    </row>
    <row r="24" spans="13:55" x14ac:dyDescent="0.35">
      <c r="M24" s="99"/>
      <c r="N24" s="99"/>
      <c r="O24" s="99"/>
      <c r="P24" s="99"/>
      <c r="Q24" s="99"/>
      <c r="R24" s="99"/>
      <c r="S24" s="99"/>
      <c r="T24" s="99"/>
      <c r="U24" s="99"/>
      <c r="V24" s="99"/>
      <c r="W24" s="99"/>
      <c r="X24" s="99"/>
      <c r="Y24" s="99"/>
      <c r="Z24" s="99"/>
      <c r="AA24" s="99"/>
      <c r="AB24" s="99"/>
      <c r="AC24" s="99"/>
      <c r="AD24" s="99"/>
      <c r="AE24" s="99"/>
      <c r="AF24" s="99"/>
      <c r="AG24" s="99"/>
      <c r="AH24" s="99"/>
      <c r="AI24" s="99"/>
      <c r="AJ24" s="99"/>
      <c r="AK24" s="39"/>
      <c r="AL24" s="39"/>
      <c r="AM24" s="39"/>
      <c r="AN24" s="39"/>
      <c r="AO24" s="39"/>
      <c r="AP24" s="39"/>
      <c r="AQ24" s="39"/>
      <c r="AR24" s="39"/>
      <c r="AS24" s="39"/>
      <c r="AT24" s="39"/>
      <c r="AU24" s="39"/>
      <c r="AV24" s="39"/>
      <c r="AW24" s="39"/>
      <c r="AX24" s="39"/>
      <c r="AY24" s="39"/>
      <c r="AZ24" s="39"/>
      <c r="BA24" s="39"/>
      <c r="BB24" s="39"/>
      <c r="BC24" s="39"/>
    </row>
    <row r="25" spans="13:55" x14ac:dyDescent="0.35">
      <c r="M25" s="99"/>
      <c r="N25" s="99"/>
      <c r="O25" s="99"/>
      <c r="P25" s="99"/>
      <c r="Q25" s="99"/>
      <c r="R25" s="99"/>
      <c r="S25" s="99"/>
      <c r="T25" s="99"/>
      <c r="U25" s="99"/>
      <c r="V25" s="99"/>
      <c r="W25" s="99"/>
      <c r="X25" s="99"/>
      <c r="Y25" s="99"/>
      <c r="Z25" s="99"/>
      <c r="AA25" s="99"/>
      <c r="AB25" s="99"/>
      <c r="AC25" s="99"/>
      <c r="AD25" s="99"/>
      <c r="AE25" s="99"/>
      <c r="AF25" s="99"/>
      <c r="AG25" s="99"/>
      <c r="AH25" s="99"/>
      <c r="AI25" s="99"/>
      <c r="AJ25" s="99"/>
      <c r="AK25" s="39"/>
      <c r="AL25" s="39"/>
      <c r="AM25" s="39"/>
      <c r="AN25" s="39"/>
      <c r="AO25" s="39"/>
      <c r="AP25" s="39"/>
      <c r="AQ25" s="39"/>
      <c r="AR25" s="39"/>
      <c r="AS25" s="39"/>
      <c r="AT25" s="39"/>
      <c r="AU25" s="39"/>
      <c r="AV25" s="39"/>
      <c r="AW25" s="39"/>
      <c r="AX25" s="39"/>
      <c r="AY25" s="39"/>
      <c r="AZ25" s="39"/>
      <c r="BA25" s="39"/>
      <c r="BB25" s="39"/>
      <c r="BC25" s="39"/>
    </row>
    <row r="26" spans="13:55" x14ac:dyDescent="0.35">
      <c r="M26" s="99"/>
      <c r="N26" s="99"/>
      <c r="O26" s="99"/>
      <c r="P26" s="99"/>
      <c r="Q26" s="99"/>
      <c r="R26" s="99"/>
      <c r="S26" s="99"/>
      <c r="T26" s="99"/>
      <c r="U26" s="99"/>
      <c r="V26" s="99"/>
      <c r="W26" s="99"/>
      <c r="X26" s="99"/>
      <c r="Y26" s="99"/>
      <c r="Z26" s="99"/>
      <c r="AA26" s="99"/>
      <c r="AB26" s="99"/>
      <c r="AC26" s="99"/>
      <c r="AD26" s="99"/>
      <c r="AE26" s="99"/>
      <c r="AF26" s="99"/>
      <c r="AG26" s="99"/>
      <c r="AH26" s="99"/>
      <c r="AI26" s="99"/>
      <c r="AJ26" s="99"/>
      <c r="AK26" s="39"/>
      <c r="AL26" s="39"/>
      <c r="AM26" s="39"/>
      <c r="AN26" s="39"/>
      <c r="AO26" s="39"/>
      <c r="AP26" s="39"/>
      <c r="AQ26" s="39"/>
      <c r="AR26" s="39"/>
      <c r="AS26" s="39"/>
      <c r="AT26" s="39"/>
      <c r="AU26" s="39"/>
      <c r="AV26" s="39"/>
      <c r="AW26" s="39"/>
      <c r="AX26" s="39"/>
      <c r="AY26" s="39"/>
      <c r="AZ26" s="39"/>
      <c r="BA26" s="39"/>
      <c r="BB26" s="39"/>
      <c r="BC26" s="39"/>
    </row>
    <row r="27" spans="13:55" x14ac:dyDescent="0.35">
      <c r="M27" s="99"/>
      <c r="N27" s="99"/>
      <c r="O27" s="99"/>
      <c r="P27" s="99"/>
      <c r="Q27" s="99"/>
      <c r="R27" s="99"/>
      <c r="S27" s="99"/>
      <c r="T27" s="99"/>
      <c r="U27" s="99"/>
      <c r="V27" s="99"/>
      <c r="W27" s="99"/>
      <c r="X27" s="99"/>
      <c r="Y27" s="99"/>
      <c r="Z27" s="99"/>
      <c r="AA27" s="99"/>
      <c r="AB27" s="99"/>
      <c r="AC27" s="99"/>
      <c r="AD27" s="99"/>
      <c r="AE27" s="99"/>
      <c r="AF27" s="99"/>
      <c r="AG27" s="99"/>
      <c r="AH27" s="99"/>
      <c r="AI27" s="99"/>
      <c r="AJ27" s="99"/>
      <c r="AK27" s="39"/>
      <c r="AL27" s="39"/>
      <c r="AM27" s="39"/>
      <c r="AN27" s="39"/>
      <c r="AO27" s="39"/>
      <c r="AP27" s="39"/>
      <c r="AQ27" s="39"/>
      <c r="AR27" s="39"/>
      <c r="AS27" s="39"/>
      <c r="AT27" s="39"/>
      <c r="AU27" s="39"/>
      <c r="AV27" s="39"/>
      <c r="AW27" s="39"/>
      <c r="AX27" s="39"/>
      <c r="AY27" s="39"/>
      <c r="AZ27" s="39"/>
      <c r="BA27" s="39"/>
      <c r="BB27" s="39"/>
      <c r="BC27" s="39"/>
    </row>
    <row r="28" spans="13:55" x14ac:dyDescent="0.35">
      <c r="M28" s="99"/>
      <c r="N28" s="99"/>
      <c r="O28" s="99"/>
      <c r="P28" s="99"/>
      <c r="Q28" s="99"/>
      <c r="R28" s="99"/>
      <c r="S28" s="99"/>
      <c r="T28" s="99"/>
      <c r="U28" s="99"/>
      <c r="V28" s="99"/>
      <c r="W28" s="99"/>
      <c r="X28" s="99"/>
      <c r="Y28" s="99"/>
      <c r="Z28" s="99"/>
      <c r="AA28" s="99"/>
      <c r="AB28" s="99"/>
      <c r="AC28" s="99"/>
      <c r="AD28" s="99"/>
      <c r="AE28" s="99"/>
      <c r="AF28" s="99"/>
      <c r="AG28" s="99"/>
      <c r="AH28" s="99"/>
      <c r="AI28" s="99"/>
      <c r="AJ28" s="99"/>
      <c r="AK28" s="39"/>
      <c r="AL28" s="39"/>
      <c r="AM28" s="39"/>
      <c r="AN28" s="39"/>
      <c r="AO28" s="39"/>
      <c r="AP28" s="39"/>
      <c r="AQ28" s="39"/>
      <c r="AR28" s="39"/>
      <c r="AS28" s="39"/>
      <c r="AT28" s="39"/>
      <c r="AU28" s="39"/>
      <c r="AV28" s="39"/>
      <c r="AW28" s="39"/>
      <c r="AX28" s="39"/>
      <c r="AY28" s="39"/>
      <c r="AZ28" s="39"/>
      <c r="BA28" s="39"/>
      <c r="BB28" s="39"/>
      <c r="BC28" s="39"/>
    </row>
    <row r="29" spans="13:55" x14ac:dyDescent="0.35">
      <c r="M29" s="99"/>
      <c r="N29" s="99"/>
      <c r="O29" s="99"/>
      <c r="P29" s="99"/>
      <c r="Q29" s="99"/>
      <c r="R29" s="99"/>
      <c r="S29" s="99"/>
      <c r="T29" s="99"/>
      <c r="U29" s="99"/>
      <c r="V29" s="99"/>
      <c r="W29" s="99"/>
      <c r="X29" s="99"/>
      <c r="Y29" s="99"/>
      <c r="Z29" s="99"/>
      <c r="AA29" s="99"/>
      <c r="AB29" s="99"/>
      <c r="AC29" s="99"/>
      <c r="AD29" s="99"/>
      <c r="AE29" s="99"/>
      <c r="AF29" s="99"/>
      <c r="AG29" s="99"/>
      <c r="AH29" s="99"/>
      <c r="AI29" s="99"/>
      <c r="AJ29" s="99"/>
      <c r="AK29" s="39"/>
      <c r="AL29" s="39"/>
      <c r="AM29" s="39"/>
      <c r="AN29" s="39"/>
      <c r="AO29" s="39"/>
      <c r="AP29" s="39"/>
      <c r="AQ29" s="39"/>
      <c r="AR29" s="39"/>
      <c r="AS29" s="39"/>
      <c r="AT29" s="39"/>
      <c r="AU29" s="39"/>
      <c r="AV29" s="39"/>
      <c r="AW29" s="39"/>
      <c r="AX29" s="39"/>
      <c r="AY29" s="39"/>
      <c r="AZ29" s="39"/>
      <c r="BA29" s="39"/>
      <c r="BB29" s="39"/>
      <c r="BC29" s="39"/>
    </row>
    <row r="30" spans="13:55" x14ac:dyDescent="0.35">
      <c r="M30" s="99"/>
      <c r="N30" s="99"/>
      <c r="O30" s="99"/>
      <c r="P30" s="99"/>
      <c r="Q30" s="99"/>
      <c r="R30" s="99"/>
      <c r="S30" s="99"/>
      <c r="T30" s="99"/>
      <c r="U30" s="99"/>
      <c r="V30" s="99"/>
      <c r="W30" s="99"/>
      <c r="X30" s="99"/>
      <c r="Y30" s="99"/>
      <c r="Z30" s="99"/>
      <c r="AA30" s="99"/>
      <c r="AB30" s="99"/>
      <c r="AC30" s="99"/>
      <c r="AD30" s="99"/>
      <c r="AE30" s="99"/>
      <c r="AF30" s="99"/>
      <c r="AG30" s="99"/>
      <c r="AH30" s="99"/>
      <c r="AI30" s="99"/>
      <c r="AJ30" s="99"/>
      <c r="AK30" s="39"/>
      <c r="AL30" s="39"/>
      <c r="AM30" s="39"/>
      <c r="AN30" s="39"/>
      <c r="AO30" s="39"/>
      <c r="AP30" s="39"/>
      <c r="AQ30" s="39"/>
      <c r="AR30" s="39"/>
      <c r="AS30" s="39"/>
      <c r="AT30" s="39"/>
      <c r="AU30" s="39"/>
      <c r="AV30" s="39"/>
      <c r="AW30" s="39"/>
      <c r="AX30" s="39"/>
      <c r="AY30" s="39"/>
      <c r="AZ30" s="39"/>
      <c r="BA30" s="39"/>
      <c r="BB30" s="39"/>
      <c r="BC30" s="39"/>
    </row>
    <row r="31" spans="13:55" x14ac:dyDescent="0.35">
      <c r="M31" s="99"/>
      <c r="N31" s="99"/>
      <c r="O31" s="99"/>
      <c r="P31" s="99"/>
      <c r="Q31" s="99"/>
      <c r="R31" s="99"/>
      <c r="S31" s="99"/>
      <c r="T31" s="99"/>
      <c r="U31" s="99"/>
      <c r="V31" s="99"/>
      <c r="W31" s="99"/>
      <c r="X31" s="99"/>
      <c r="Y31" s="99"/>
      <c r="Z31" s="99"/>
      <c r="AA31" s="99"/>
      <c r="AB31" s="99"/>
      <c r="AC31" s="99"/>
      <c r="AD31" s="99"/>
      <c r="AE31" s="99"/>
      <c r="AF31" s="99"/>
      <c r="AG31" s="99"/>
      <c r="AH31" s="99"/>
      <c r="AI31" s="99"/>
      <c r="AJ31" s="99"/>
      <c r="AK31" s="39"/>
      <c r="AL31" s="39"/>
      <c r="AM31" s="39"/>
      <c r="AN31" s="39"/>
      <c r="AO31" s="39"/>
      <c r="AP31" s="39"/>
      <c r="AQ31" s="39"/>
      <c r="AR31" s="39"/>
      <c r="AS31" s="39"/>
      <c r="AT31" s="39"/>
      <c r="AU31" s="39"/>
      <c r="AV31" s="39"/>
      <c r="AW31" s="39"/>
      <c r="AX31" s="39"/>
      <c r="AY31" s="39"/>
      <c r="AZ31" s="39"/>
      <c r="BA31" s="39"/>
      <c r="BB31" s="39"/>
      <c r="BC31" s="39"/>
    </row>
    <row r="32" spans="13:55" x14ac:dyDescent="0.35">
      <c r="M32" s="99"/>
      <c r="N32" s="99"/>
      <c r="O32" s="99"/>
      <c r="P32" s="99"/>
      <c r="Q32" s="99"/>
      <c r="R32" s="99"/>
      <c r="S32" s="99"/>
      <c r="T32" s="99"/>
      <c r="U32" s="99"/>
      <c r="V32" s="99"/>
      <c r="W32" s="99"/>
      <c r="X32" s="99"/>
      <c r="Y32" s="99"/>
      <c r="Z32" s="99"/>
      <c r="AA32" s="99"/>
      <c r="AB32" s="99"/>
      <c r="AC32" s="99"/>
      <c r="AD32" s="99"/>
      <c r="AE32" s="99"/>
      <c r="AF32" s="99"/>
      <c r="AG32" s="99"/>
      <c r="AH32" s="99"/>
      <c r="AI32" s="99"/>
      <c r="AJ32" s="99"/>
      <c r="AK32" s="39"/>
      <c r="AL32" s="39"/>
      <c r="AM32" s="39"/>
      <c r="AN32" s="39"/>
      <c r="AO32" s="39"/>
      <c r="AP32" s="39"/>
      <c r="AQ32" s="39"/>
      <c r="AR32" s="39"/>
      <c r="AS32" s="39"/>
      <c r="AT32" s="39"/>
      <c r="AU32" s="39"/>
      <c r="AV32" s="39"/>
      <c r="AW32" s="39"/>
      <c r="AX32" s="39"/>
      <c r="AY32" s="39"/>
      <c r="AZ32" s="39"/>
      <c r="BA32" s="39"/>
      <c r="BB32" s="39"/>
      <c r="BC32" s="39"/>
    </row>
    <row r="33" spans="1:55" x14ac:dyDescent="0.35">
      <c r="M33" s="99"/>
      <c r="N33" s="99"/>
      <c r="O33" s="99"/>
      <c r="P33" s="99"/>
      <c r="Q33" s="99"/>
      <c r="R33" s="99"/>
      <c r="S33" s="99"/>
      <c r="T33" s="99"/>
      <c r="U33" s="99"/>
      <c r="V33" s="99"/>
      <c r="W33" s="99"/>
      <c r="X33" s="99"/>
      <c r="Y33" s="99"/>
      <c r="Z33" s="99"/>
      <c r="AA33" s="99"/>
      <c r="AB33" s="99"/>
      <c r="AC33" s="99"/>
      <c r="AD33" s="99"/>
      <c r="AE33" s="99"/>
      <c r="AF33" s="99"/>
      <c r="AG33" s="99"/>
      <c r="AH33" s="99"/>
      <c r="AI33" s="99"/>
      <c r="AJ33" s="99"/>
      <c r="AK33" s="39"/>
      <c r="AL33" s="39"/>
      <c r="AM33" s="39"/>
      <c r="AN33" s="39"/>
      <c r="AO33" s="39"/>
      <c r="AP33" s="39"/>
      <c r="AQ33" s="39"/>
      <c r="AR33" s="39"/>
      <c r="AS33" s="39"/>
      <c r="AT33" s="39"/>
      <c r="AU33" s="39"/>
      <c r="AV33" s="39"/>
      <c r="AW33" s="39"/>
      <c r="AX33" s="39"/>
      <c r="AY33" s="39"/>
      <c r="AZ33" s="39"/>
      <c r="BA33" s="39"/>
      <c r="BB33" s="39"/>
      <c r="BC33" s="39"/>
    </row>
    <row r="34" spans="1:55" x14ac:dyDescent="0.35">
      <c r="M34" s="99"/>
      <c r="N34" s="99"/>
      <c r="O34" s="99"/>
      <c r="P34" s="99"/>
      <c r="Q34" s="99"/>
      <c r="R34" s="99"/>
      <c r="S34" s="99"/>
      <c r="T34" s="99"/>
      <c r="U34" s="99"/>
      <c r="V34" s="99"/>
      <c r="W34" s="99"/>
      <c r="X34" s="99"/>
      <c r="Y34" s="99"/>
      <c r="Z34" s="99"/>
      <c r="AA34" s="99"/>
      <c r="AB34" s="99"/>
      <c r="AC34" s="99"/>
      <c r="AD34" s="99"/>
      <c r="AE34" s="99"/>
      <c r="AF34" s="99"/>
      <c r="AG34" s="99"/>
      <c r="AH34" s="99"/>
      <c r="AI34" s="99"/>
      <c r="AJ34" s="99"/>
      <c r="AK34" s="39"/>
      <c r="AL34" s="39"/>
      <c r="AM34" s="39"/>
      <c r="AN34" s="39"/>
      <c r="AO34" s="39"/>
      <c r="AP34" s="39"/>
      <c r="AQ34" s="39"/>
      <c r="AR34" s="39"/>
      <c r="AS34" s="39"/>
      <c r="AT34" s="39"/>
      <c r="AU34" s="39"/>
      <c r="AV34" s="39"/>
      <c r="AW34" s="39"/>
      <c r="AX34" s="39"/>
      <c r="AY34" s="39"/>
      <c r="AZ34" s="39"/>
      <c r="BA34" s="39"/>
      <c r="BB34" s="39"/>
      <c r="BC34" s="39"/>
    </row>
    <row r="35" spans="1:55" x14ac:dyDescent="0.35">
      <c r="M35" s="99"/>
      <c r="N35" s="99"/>
      <c r="O35" s="99"/>
      <c r="P35" s="99"/>
      <c r="Q35" s="99"/>
      <c r="R35" s="99"/>
      <c r="S35" s="99"/>
      <c r="T35" s="99"/>
      <c r="U35" s="99"/>
      <c r="V35" s="99"/>
      <c r="W35" s="99"/>
      <c r="X35" s="99"/>
      <c r="Y35" s="99"/>
      <c r="Z35" s="99"/>
      <c r="AA35" s="99"/>
      <c r="AB35" s="99"/>
      <c r="AC35" s="99"/>
      <c r="AD35" s="99"/>
      <c r="AE35" s="99"/>
      <c r="AF35" s="99"/>
      <c r="AG35" s="99"/>
      <c r="AH35" s="99"/>
      <c r="AI35" s="99"/>
      <c r="AJ35" s="99"/>
      <c r="AK35" s="39"/>
      <c r="AL35" s="39"/>
      <c r="AM35" s="39"/>
      <c r="AN35" s="39"/>
      <c r="AO35" s="39"/>
      <c r="AP35" s="39"/>
      <c r="AQ35" s="39"/>
      <c r="AR35" s="39"/>
      <c r="AS35" s="39"/>
      <c r="AT35" s="39"/>
      <c r="AU35" s="39"/>
      <c r="AV35" s="39"/>
      <c r="AW35" s="39"/>
      <c r="AX35" s="39"/>
      <c r="AY35" s="39"/>
      <c r="AZ35" s="39"/>
      <c r="BA35" s="39"/>
      <c r="BB35" s="39"/>
      <c r="BC35" s="39"/>
    </row>
    <row r="36" spans="1:55" x14ac:dyDescent="0.35">
      <c r="A36" s="39"/>
      <c r="B36" s="39"/>
      <c r="C36" s="39"/>
      <c r="D36" s="99"/>
      <c r="E36" s="99"/>
      <c r="F36" s="99"/>
      <c r="G36" s="99"/>
      <c r="H36" s="99"/>
      <c r="I36" s="99"/>
      <c r="J36" s="99"/>
      <c r="K36" s="99"/>
      <c r="L36" s="99"/>
      <c r="M36" s="99"/>
      <c r="N36" s="99"/>
      <c r="O36" s="99"/>
      <c r="P36" s="99"/>
      <c r="Q36" s="99"/>
      <c r="R36" s="99"/>
      <c r="S36" s="99"/>
      <c r="T36" s="99"/>
      <c r="U36" s="99"/>
      <c r="V36" s="99"/>
      <c r="W36" s="99"/>
      <c r="X36" s="99"/>
      <c r="Y36" s="99"/>
      <c r="Z36" s="99"/>
      <c r="AA36" s="99"/>
      <c r="AB36" s="99"/>
      <c r="AC36" s="99"/>
      <c r="AD36" s="99"/>
      <c r="AE36" s="99"/>
      <c r="AF36" s="99"/>
      <c r="AG36" s="99"/>
      <c r="AH36" s="99"/>
      <c r="AI36" s="99"/>
      <c r="AJ36" s="99"/>
      <c r="AK36" s="39"/>
      <c r="AL36" s="39"/>
      <c r="AM36" s="39"/>
      <c r="AN36" s="39"/>
      <c r="AO36" s="39"/>
      <c r="AP36" s="39"/>
      <c r="AQ36" s="39"/>
      <c r="AR36" s="39"/>
      <c r="AS36" s="39"/>
      <c r="AT36" s="39"/>
      <c r="AU36" s="39"/>
      <c r="AV36" s="39"/>
      <c r="AW36" s="39"/>
      <c r="AX36" s="39"/>
      <c r="AY36" s="39"/>
      <c r="AZ36" s="39"/>
      <c r="BA36" s="39"/>
      <c r="BB36" s="39"/>
      <c r="BC36" s="39"/>
    </row>
    <row r="37" spans="1:55" x14ac:dyDescent="0.35">
      <c r="A37" s="39"/>
      <c r="B37" s="39"/>
      <c r="C37" s="39"/>
      <c r="D37" s="99"/>
      <c r="E37" s="99"/>
      <c r="F37" s="99"/>
      <c r="G37" s="99"/>
      <c r="H37" s="99"/>
      <c r="I37" s="99"/>
      <c r="J37" s="99"/>
      <c r="K37" s="99"/>
      <c r="L37" s="99"/>
      <c r="M37" s="99"/>
      <c r="N37" s="99"/>
      <c r="O37" s="99"/>
      <c r="P37" s="99"/>
      <c r="Q37" s="99"/>
      <c r="R37" s="99"/>
      <c r="S37" s="99"/>
      <c r="T37" s="99"/>
      <c r="U37" s="99"/>
      <c r="V37" s="99"/>
      <c r="W37" s="99"/>
      <c r="X37" s="99"/>
      <c r="Y37" s="99"/>
      <c r="Z37" s="99"/>
      <c r="AA37" s="99"/>
      <c r="AB37" s="99"/>
      <c r="AC37" s="99"/>
      <c r="AD37" s="99"/>
      <c r="AE37" s="99"/>
      <c r="AF37" s="99"/>
      <c r="AG37" s="99"/>
      <c r="AH37" s="99"/>
      <c r="AI37" s="99"/>
      <c r="AJ37" s="99"/>
      <c r="AK37" s="39"/>
      <c r="AL37" s="39"/>
      <c r="AM37" s="39"/>
      <c r="AN37" s="39"/>
      <c r="AO37" s="39"/>
      <c r="AP37" s="39"/>
      <c r="AQ37" s="39"/>
      <c r="AR37" s="39"/>
      <c r="AS37" s="39"/>
      <c r="AT37" s="39"/>
      <c r="AU37" s="39"/>
      <c r="AV37" s="39"/>
      <c r="AW37" s="39"/>
      <c r="AX37" s="39"/>
      <c r="AY37" s="39"/>
      <c r="AZ37" s="39"/>
      <c r="BA37" s="39"/>
      <c r="BB37" s="39"/>
      <c r="BC37" s="39"/>
    </row>
    <row r="38" spans="1:55" x14ac:dyDescent="0.35">
      <c r="A38" s="39"/>
      <c r="B38" s="39"/>
      <c r="C38" s="39"/>
      <c r="D38" s="99"/>
      <c r="E38" s="99"/>
      <c r="F38" s="99"/>
      <c r="G38" s="99"/>
      <c r="H38" s="99"/>
      <c r="I38" s="99"/>
      <c r="J38" s="99"/>
      <c r="K38" s="99"/>
      <c r="L38" s="99"/>
      <c r="M38" s="99"/>
      <c r="N38" s="99"/>
      <c r="O38" s="99"/>
      <c r="P38" s="99"/>
      <c r="Q38" s="99"/>
      <c r="R38" s="99"/>
      <c r="S38" s="99"/>
      <c r="T38" s="99"/>
      <c r="U38" s="99"/>
      <c r="V38" s="99"/>
      <c r="W38" s="99"/>
      <c r="X38" s="99"/>
      <c r="Y38" s="99"/>
      <c r="Z38" s="99"/>
      <c r="AA38" s="99"/>
      <c r="AB38" s="99"/>
      <c r="AC38" s="99"/>
      <c r="AD38" s="99"/>
      <c r="AE38" s="99"/>
      <c r="AF38" s="99"/>
      <c r="AG38" s="99"/>
      <c r="AH38" s="99"/>
      <c r="AI38" s="99"/>
      <c r="AJ38" s="99"/>
      <c r="AK38" s="39"/>
      <c r="AL38" s="39"/>
      <c r="AM38" s="39"/>
      <c r="AN38" s="39"/>
      <c r="AO38" s="39"/>
      <c r="AP38" s="39"/>
      <c r="AQ38" s="39"/>
      <c r="AR38" s="39"/>
      <c r="AS38" s="39"/>
      <c r="AT38" s="39"/>
      <c r="AU38" s="39"/>
      <c r="AV38" s="39"/>
      <c r="AW38" s="39"/>
      <c r="AX38" s="39"/>
      <c r="AY38" s="39"/>
      <c r="AZ38" s="39"/>
      <c r="BA38" s="39"/>
      <c r="BB38" s="39"/>
      <c r="BC38" s="39"/>
    </row>
    <row r="39" spans="1:55" x14ac:dyDescent="0.35">
      <c r="A39" s="39"/>
      <c r="B39" s="39"/>
      <c r="C39" s="3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39"/>
      <c r="AL39" s="39"/>
      <c r="AM39" s="39"/>
      <c r="AN39" s="39"/>
      <c r="AO39" s="39"/>
      <c r="AP39" s="39"/>
      <c r="AQ39" s="39"/>
      <c r="AR39" s="39"/>
      <c r="AS39" s="39"/>
      <c r="AT39" s="39"/>
      <c r="AU39" s="39"/>
      <c r="AV39" s="39"/>
      <c r="AW39" s="39"/>
      <c r="AX39" s="39"/>
      <c r="AY39" s="39"/>
      <c r="AZ39" s="39"/>
      <c r="BA39" s="39"/>
      <c r="BB39" s="39"/>
      <c r="BC39" s="39"/>
    </row>
    <row r="40" spans="1:55" x14ac:dyDescent="0.35">
      <c r="A40" s="39"/>
      <c r="B40" s="39"/>
      <c r="C40" s="39"/>
      <c r="D40" s="99"/>
      <c r="E40" s="99"/>
      <c r="F40" s="99"/>
      <c r="G40" s="99"/>
      <c r="H40" s="99"/>
      <c r="I40" s="99"/>
      <c r="J40" s="99"/>
      <c r="K40" s="99"/>
      <c r="L40" s="99"/>
      <c r="M40" s="99"/>
      <c r="N40" s="99"/>
      <c r="O40" s="99"/>
      <c r="P40" s="99"/>
      <c r="Q40" s="99"/>
      <c r="R40" s="99"/>
      <c r="S40" s="99"/>
      <c r="T40" s="99"/>
      <c r="U40" s="99"/>
      <c r="V40" s="99"/>
      <c r="W40" s="99"/>
      <c r="X40" s="99"/>
      <c r="Y40" s="99"/>
      <c r="Z40" s="99"/>
      <c r="AA40" s="99"/>
      <c r="AB40" s="99"/>
      <c r="AC40" s="99"/>
      <c r="AD40" s="99"/>
      <c r="AE40" s="99"/>
      <c r="AF40" s="99"/>
      <c r="AG40" s="99"/>
      <c r="AH40" s="99"/>
      <c r="AI40" s="99"/>
      <c r="AJ40" s="99"/>
      <c r="AK40" s="39"/>
      <c r="AL40" s="39"/>
      <c r="AM40" s="39"/>
      <c r="AN40" s="39"/>
      <c r="AO40" s="39"/>
      <c r="AP40" s="39"/>
      <c r="AQ40" s="39"/>
      <c r="AR40" s="39"/>
      <c r="AS40" s="39"/>
      <c r="AT40" s="39"/>
      <c r="AU40" s="39"/>
      <c r="AV40" s="39"/>
      <c r="AW40" s="39"/>
      <c r="AX40" s="39"/>
      <c r="AY40" s="39"/>
      <c r="AZ40" s="39"/>
      <c r="BA40" s="39"/>
      <c r="BB40" s="39"/>
      <c r="BC40" s="39"/>
    </row>
    <row r="41" spans="1:55" x14ac:dyDescent="0.35">
      <c r="A41" s="39"/>
      <c r="B41" s="39"/>
      <c r="C41" s="39"/>
      <c r="D41" s="99"/>
      <c r="E41" s="99"/>
      <c r="F41" s="99"/>
      <c r="G41" s="99"/>
      <c r="H41" s="99"/>
      <c r="I41" s="99"/>
      <c r="J41" s="99"/>
      <c r="K41" s="99"/>
      <c r="L41" s="99"/>
      <c r="M41" s="99"/>
      <c r="N41" s="99"/>
      <c r="O41" s="99"/>
      <c r="P41" s="99"/>
      <c r="Q41" s="99"/>
      <c r="R41" s="99"/>
      <c r="S41" s="99"/>
      <c r="T41" s="99"/>
      <c r="U41" s="99"/>
      <c r="V41" s="99"/>
      <c r="W41" s="99"/>
      <c r="X41" s="99"/>
      <c r="Y41" s="99"/>
      <c r="Z41" s="99"/>
      <c r="AA41" s="99"/>
      <c r="AB41" s="99"/>
      <c r="AC41" s="99"/>
      <c r="AD41" s="99"/>
      <c r="AE41" s="99"/>
      <c r="AF41" s="99"/>
      <c r="AG41" s="99"/>
      <c r="AH41" s="99"/>
      <c r="AI41" s="99"/>
      <c r="AJ41" s="99"/>
      <c r="AK41" s="39"/>
      <c r="AL41" s="39"/>
      <c r="AM41" s="39"/>
      <c r="AN41" s="39"/>
      <c r="AO41" s="39"/>
      <c r="AP41" s="39"/>
      <c r="AQ41" s="39"/>
      <c r="AR41" s="39"/>
      <c r="AS41" s="39"/>
      <c r="AT41" s="39"/>
      <c r="AU41" s="39"/>
      <c r="AV41" s="39"/>
      <c r="AW41" s="39"/>
      <c r="AX41" s="39"/>
      <c r="AY41" s="39"/>
      <c r="AZ41" s="39"/>
      <c r="BA41" s="39"/>
      <c r="BB41" s="39"/>
      <c r="BC41" s="39"/>
    </row>
    <row r="42" spans="1:55" x14ac:dyDescent="0.35">
      <c r="A42" s="39"/>
      <c r="B42" s="39"/>
      <c r="C42" s="39"/>
      <c r="D42" s="99"/>
      <c r="E42" s="99"/>
      <c r="F42" s="99"/>
      <c r="G42" s="99"/>
      <c r="H42" s="99"/>
      <c r="I42" s="99"/>
      <c r="J42" s="99"/>
      <c r="K42" s="99"/>
      <c r="L42" s="99"/>
      <c r="M42" s="99"/>
      <c r="N42" s="99"/>
      <c r="O42" s="99"/>
      <c r="P42" s="99"/>
      <c r="Q42" s="99"/>
      <c r="R42" s="99"/>
      <c r="S42" s="99"/>
      <c r="T42" s="99"/>
      <c r="U42" s="99"/>
      <c r="V42" s="99"/>
      <c r="W42" s="99"/>
      <c r="X42" s="99"/>
      <c r="Y42" s="99"/>
      <c r="Z42" s="99"/>
      <c r="AA42" s="99"/>
      <c r="AB42" s="99"/>
      <c r="AC42" s="99"/>
      <c r="AD42" s="99"/>
      <c r="AE42" s="99"/>
      <c r="AF42" s="99"/>
      <c r="AG42" s="99"/>
      <c r="AH42" s="99"/>
      <c r="AI42" s="99"/>
      <c r="AJ42" s="99"/>
      <c r="AK42" s="39"/>
      <c r="AL42" s="39"/>
      <c r="AM42" s="39"/>
      <c r="AN42" s="39"/>
      <c r="AO42" s="39"/>
      <c r="AP42" s="39"/>
      <c r="AQ42" s="39"/>
      <c r="AR42" s="39"/>
      <c r="AS42" s="39"/>
      <c r="AT42" s="39"/>
      <c r="AU42" s="39"/>
      <c r="AV42" s="39"/>
      <c r="AW42" s="39"/>
      <c r="AX42" s="39"/>
      <c r="AY42" s="39"/>
      <c r="AZ42" s="39"/>
      <c r="BA42" s="39"/>
      <c r="BB42" s="39"/>
      <c r="BC42" s="39"/>
    </row>
    <row r="43" spans="1:55" x14ac:dyDescent="0.35">
      <c r="A43" s="39"/>
      <c r="B43" s="39"/>
      <c r="C43" s="39"/>
      <c r="D43" s="99"/>
      <c r="E43" s="99"/>
      <c r="F43" s="99"/>
      <c r="G43" s="99"/>
      <c r="H43" s="99"/>
      <c r="I43" s="99"/>
      <c r="J43" s="99"/>
      <c r="K43" s="99"/>
      <c r="L43" s="99"/>
      <c r="M43" s="99"/>
      <c r="N43" s="99"/>
      <c r="O43" s="99"/>
      <c r="P43" s="99"/>
      <c r="Q43" s="99"/>
      <c r="R43" s="99"/>
      <c r="S43" s="99"/>
      <c r="T43" s="99"/>
      <c r="U43" s="99"/>
      <c r="V43" s="99"/>
      <c r="W43" s="99"/>
      <c r="X43" s="99"/>
      <c r="Y43" s="99"/>
      <c r="Z43" s="99"/>
      <c r="AA43" s="99"/>
      <c r="AB43" s="99"/>
      <c r="AC43" s="99"/>
      <c r="AD43" s="99"/>
      <c r="AE43" s="99"/>
      <c r="AF43" s="99"/>
      <c r="AG43" s="99"/>
      <c r="AH43" s="99"/>
      <c r="AI43" s="99"/>
      <c r="AJ43" s="99"/>
      <c r="AK43" s="39"/>
      <c r="AL43" s="39"/>
      <c r="AM43" s="39"/>
      <c r="AN43" s="39"/>
      <c r="AO43" s="39"/>
      <c r="AP43" s="39"/>
      <c r="AQ43" s="39"/>
      <c r="AR43" s="39"/>
      <c r="AS43" s="39"/>
      <c r="AT43" s="39"/>
      <c r="AU43" s="39"/>
      <c r="AV43" s="39"/>
      <c r="AW43" s="39"/>
      <c r="AX43" s="39"/>
      <c r="AY43" s="39"/>
      <c r="AZ43" s="39"/>
      <c r="BA43" s="39"/>
      <c r="BB43" s="39"/>
      <c r="BC43" s="39"/>
    </row>
    <row r="44" spans="1:55" x14ac:dyDescent="0.35">
      <c r="A44" s="39"/>
      <c r="B44" s="39"/>
      <c r="C44" s="3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39"/>
      <c r="AL44" s="39"/>
      <c r="AM44" s="39"/>
      <c r="AN44" s="39"/>
      <c r="AO44" s="39"/>
      <c r="AP44" s="39"/>
      <c r="AQ44" s="39"/>
      <c r="AR44" s="39"/>
      <c r="AS44" s="39"/>
      <c r="AT44" s="39"/>
      <c r="AU44" s="39"/>
      <c r="AV44" s="39"/>
      <c r="AW44" s="39"/>
      <c r="AX44" s="39"/>
      <c r="AY44" s="39"/>
      <c r="AZ44" s="39"/>
      <c r="BA44" s="39"/>
      <c r="BB44" s="39"/>
      <c r="BC44" s="39"/>
    </row>
    <row r="45" spans="1:55" x14ac:dyDescent="0.35">
      <c r="A45" s="39"/>
      <c r="B45" s="39"/>
      <c r="C45" s="39"/>
      <c r="D45" s="99"/>
      <c r="E45" s="99"/>
      <c r="F45" s="99"/>
      <c r="G45" s="99"/>
      <c r="H45" s="99"/>
      <c r="I45" s="99"/>
      <c r="J45" s="99"/>
      <c r="K45" s="99"/>
      <c r="L45" s="99"/>
      <c r="M45" s="99"/>
      <c r="N45" s="99"/>
      <c r="O45" s="99"/>
      <c r="P45" s="99"/>
      <c r="Q45" s="99"/>
      <c r="R45" s="99"/>
      <c r="S45" s="99"/>
      <c r="T45" s="99"/>
      <c r="U45" s="99"/>
      <c r="V45" s="99"/>
      <c r="W45" s="99"/>
      <c r="X45" s="99"/>
      <c r="Y45" s="99"/>
      <c r="Z45" s="99"/>
      <c r="AA45" s="99"/>
      <c r="AB45" s="99"/>
      <c r="AC45" s="99"/>
      <c r="AD45" s="99"/>
      <c r="AE45" s="99"/>
      <c r="AF45" s="99"/>
      <c r="AG45" s="99"/>
      <c r="AH45" s="99"/>
      <c r="AI45" s="99"/>
      <c r="AJ45" s="99"/>
      <c r="AK45" s="39"/>
      <c r="AL45" s="39"/>
      <c r="AM45" s="39"/>
      <c r="AN45" s="39"/>
      <c r="AO45" s="39"/>
      <c r="AP45" s="39"/>
      <c r="AQ45" s="39"/>
      <c r="AR45" s="39"/>
      <c r="AS45" s="39"/>
      <c r="AT45" s="39"/>
      <c r="AU45" s="39"/>
      <c r="AV45" s="39"/>
      <c r="AW45" s="39"/>
      <c r="AX45" s="39"/>
      <c r="AY45" s="39"/>
      <c r="AZ45" s="39"/>
      <c r="BA45" s="39"/>
      <c r="BB45" s="39"/>
      <c r="BC45" s="39"/>
    </row>
    <row r="46" spans="1:55" x14ac:dyDescent="0.35">
      <c r="A46" s="39"/>
      <c r="B46" s="39"/>
      <c r="C46" s="39"/>
      <c r="D46" s="99"/>
      <c r="E46" s="99"/>
      <c r="F46" s="99"/>
      <c r="G46" s="99"/>
      <c r="H46" s="99"/>
      <c r="I46" s="99"/>
      <c r="J46" s="99"/>
      <c r="K46" s="99"/>
      <c r="L46" s="99"/>
      <c r="M46" s="99"/>
      <c r="N46" s="99"/>
      <c r="O46" s="99"/>
      <c r="P46" s="99"/>
      <c r="Q46" s="99"/>
      <c r="R46" s="99"/>
      <c r="S46" s="99"/>
      <c r="T46" s="99"/>
      <c r="U46" s="99"/>
      <c r="V46" s="99"/>
      <c r="W46" s="99"/>
      <c r="X46" s="99"/>
      <c r="Y46" s="99"/>
      <c r="Z46" s="99"/>
      <c r="AA46" s="99"/>
      <c r="AB46" s="99"/>
      <c r="AC46" s="99"/>
      <c r="AD46" s="99"/>
      <c r="AE46" s="99"/>
      <c r="AF46" s="99"/>
      <c r="AG46" s="99"/>
      <c r="AH46" s="99"/>
      <c r="AI46" s="99"/>
      <c r="AJ46" s="99"/>
      <c r="AK46" s="39"/>
      <c r="AL46" s="39"/>
      <c r="AM46" s="39"/>
      <c r="AN46" s="39"/>
      <c r="AO46" s="39"/>
      <c r="AP46" s="39"/>
      <c r="AQ46" s="39"/>
      <c r="AR46" s="39"/>
      <c r="AS46" s="39"/>
      <c r="AT46" s="39"/>
      <c r="AU46" s="39"/>
      <c r="AV46" s="39"/>
      <c r="AW46" s="39"/>
      <c r="AX46" s="39"/>
      <c r="AY46" s="39"/>
      <c r="AZ46" s="39"/>
      <c r="BA46" s="39"/>
      <c r="BB46" s="39"/>
      <c r="BC46" s="39"/>
    </row>
    <row r="47" spans="1:55" x14ac:dyDescent="0.35">
      <c r="A47" s="39"/>
      <c r="B47" s="832"/>
      <c r="C47" s="832"/>
      <c r="D47" s="832"/>
      <c r="E47" s="832"/>
      <c r="F47" s="832"/>
      <c r="G47" s="832"/>
      <c r="H47" s="832"/>
      <c r="I47" s="832"/>
      <c r="J47" s="832"/>
      <c r="K47" s="832"/>
      <c r="L47" s="832"/>
      <c r="M47" s="832"/>
      <c r="N47" s="832"/>
      <c r="O47" s="99"/>
      <c r="P47" s="99"/>
      <c r="Q47" s="99"/>
      <c r="R47" s="99"/>
      <c r="S47" s="99"/>
      <c r="T47" s="99"/>
      <c r="U47" s="99"/>
      <c r="V47" s="99"/>
      <c r="W47" s="99"/>
      <c r="X47" s="99"/>
      <c r="Y47" s="99"/>
      <c r="Z47" s="99"/>
      <c r="AA47" s="99"/>
      <c r="AB47" s="99"/>
      <c r="AC47" s="99"/>
      <c r="AD47" s="99"/>
      <c r="AE47" s="99"/>
      <c r="AF47" s="99"/>
      <c r="AG47" s="99"/>
      <c r="AH47" s="99"/>
      <c r="AI47" s="99"/>
      <c r="AJ47" s="99"/>
      <c r="AK47" s="39"/>
      <c r="AL47" s="39"/>
      <c r="AM47" s="39"/>
      <c r="AN47" s="39"/>
      <c r="AO47" s="39"/>
      <c r="AP47" s="39"/>
      <c r="AQ47" s="39"/>
      <c r="AR47" s="39"/>
      <c r="AS47" s="39"/>
      <c r="AT47" s="39"/>
      <c r="AU47" s="39"/>
      <c r="AV47" s="39"/>
      <c r="AW47" s="39"/>
      <c r="AX47" s="39"/>
      <c r="AY47" s="39"/>
      <c r="AZ47" s="39"/>
      <c r="BA47" s="39"/>
      <c r="BB47" s="39"/>
      <c r="BC47" s="39"/>
    </row>
    <row r="48" spans="1:55" x14ac:dyDescent="0.35">
      <c r="A48" s="39"/>
      <c r="B48" s="832"/>
      <c r="C48" s="832"/>
      <c r="D48" s="832"/>
      <c r="E48" s="832"/>
      <c r="F48" s="832"/>
      <c r="G48" s="832"/>
      <c r="H48" s="832"/>
      <c r="I48" s="832"/>
      <c r="J48" s="832"/>
      <c r="K48" s="832"/>
      <c r="L48" s="832"/>
      <c r="M48" s="832"/>
      <c r="N48" s="832"/>
      <c r="O48" s="99"/>
      <c r="P48" s="99"/>
      <c r="Q48" s="99"/>
      <c r="R48" s="99"/>
      <c r="S48" s="99"/>
      <c r="T48" s="99"/>
      <c r="U48" s="99"/>
      <c r="V48" s="99"/>
      <c r="W48" s="99"/>
      <c r="X48" s="99"/>
      <c r="Y48" s="99"/>
      <c r="Z48" s="99"/>
      <c r="AA48" s="99"/>
      <c r="AB48" s="99"/>
      <c r="AC48" s="99"/>
      <c r="AD48" s="99"/>
      <c r="AE48" s="99"/>
      <c r="AF48" s="99"/>
      <c r="AG48" s="99"/>
      <c r="AH48" s="99"/>
      <c r="AI48" s="99"/>
      <c r="AJ48" s="99"/>
      <c r="AK48" s="39"/>
      <c r="AL48" s="39"/>
      <c r="AM48" s="39"/>
      <c r="AN48" s="39"/>
      <c r="AO48" s="39"/>
      <c r="AP48" s="39"/>
      <c r="AQ48" s="39"/>
      <c r="AR48" s="39"/>
      <c r="AS48" s="39"/>
      <c r="AT48" s="39"/>
      <c r="AU48" s="39"/>
      <c r="AV48" s="39"/>
      <c r="AW48" s="39"/>
      <c r="AX48" s="39"/>
      <c r="AY48" s="39"/>
      <c r="AZ48" s="39"/>
      <c r="BA48" s="39"/>
      <c r="BB48" s="39"/>
      <c r="BC48" s="39"/>
    </row>
    <row r="49" spans="1:55" x14ac:dyDescent="0.35">
      <c r="A49" s="39"/>
      <c r="B49" s="39"/>
      <c r="C49" s="39"/>
      <c r="D49" s="99"/>
      <c r="E49" s="99"/>
      <c r="F49" s="99"/>
      <c r="G49" s="99"/>
      <c r="H49" s="99"/>
      <c r="I49" s="99"/>
      <c r="J49" s="99"/>
      <c r="K49" s="99"/>
      <c r="L49" s="99"/>
      <c r="M49" s="99"/>
      <c r="N49" s="99"/>
      <c r="O49" s="99"/>
      <c r="P49" s="99"/>
      <c r="Q49" s="99"/>
      <c r="R49" s="99"/>
      <c r="S49" s="99"/>
      <c r="T49" s="99"/>
      <c r="U49" s="99"/>
      <c r="V49" s="99"/>
      <c r="W49" s="99"/>
      <c r="X49" s="99"/>
      <c r="Y49" s="99"/>
      <c r="Z49" s="99"/>
      <c r="AA49" s="99"/>
      <c r="AB49" s="99"/>
      <c r="AC49" s="99"/>
      <c r="AD49" s="99"/>
      <c r="AE49" s="99"/>
      <c r="AF49" s="99"/>
      <c r="AG49" s="99"/>
      <c r="AH49" s="99"/>
      <c r="AI49" s="99"/>
      <c r="AJ49" s="99"/>
      <c r="AK49" s="39"/>
      <c r="AL49" s="39"/>
      <c r="AM49" s="39"/>
      <c r="AN49" s="39"/>
      <c r="AO49" s="39"/>
      <c r="AP49" s="39"/>
      <c r="AQ49" s="39"/>
      <c r="AR49" s="39"/>
      <c r="AS49" s="39"/>
      <c r="AT49" s="39"/>
      <c r="AU49" s="39"/>
      <c r="AV49" s="39"/>
      <c r="AW49" s="39"/>
      <c r="AX49" s="39"/>
      <c r="AY49" s="39"/>
      <c r="AZ49" s="39"/>
      <c r="BA49" s="39"/>
      <c r="BB49" s="39"/>
      <c r="BC49" s="39"/>
    </row>
    <row r="50" spans="1:55" x14ac:dyDescent="0.35">
      <c r="A50" s="39"/>
      <c r="B50" s="39"/>
      <c r="C50" s="39"/>
      <c r="D50" s="99"/>
      <c r="E50" s="99"/>
      <c r="F50" s="99"/>
      <c r="G50" s="99"/>
      <c r="H50" s="99"/>
      <c r="I50" s="99"/>
      <c r="J50" s="99"/>
      <c r="K50" s="99"/>
      <c r="L50" s="99"/>
      <c r="M50" s="99"/>
      <c r="N50" s="99"/>
      <c r="O50" s="99"/>
      <c r="P50" s="99"/>
      <c r="Q50" s="99"/>
      <c r="R50" s="99"/>
      <c r="S50" s="99"/>
      <c r="T50" s="99"/>
      <c r="U50" s="99"/>
      <c r="V50" s="99"/>
      <c r="W50" s="99"/>
      <c r="X50" s="99"/>
      <c r="Y50" s="99"/>
      <c r="Z50" s="99"/>
      <c r="AA50" s="99"/>
      <c r="AB50" s="99"/>
      <c r="AC50" s="99"/>
      <c r="AD50" s="99"/>
      <c r="AE50" s="99"/>
      <c r="AF50" s="99"/>
      <c r="AG50" s="99"/>
      <c r="AH50" s="99"/>
      <c r="AI50" s="99"/>
      <c r="AJ50" s="99"/>
      <c r="AK50" s="39"/>
      <c r="AL50" s="39"/>
      <c r="AM50" s="39"/>
      <c r="AN50" s="39"/>
      <c r="AO50" s="39"/>
      <c r="AP50" s="39"/>
      <c r="AQ50" s="39"/>
      <c r="AR50" s="39"/>
      <c r="AS50" s="39"/>
      <c r="AT50" s="39"/>
      <c r="AU50" s="39"/>
      <c r="AV50" s="39"/>
      <c r="AW50" s="39"/>
      <c r="AX50" s="39"/>
      <c r="AY50" s="39"/>
      <c r="AZ50" s="39"/>
      <c r="BA50" s="39"/>
      <c r="BB50" s="39"/>
      <c r="BC50" s="39"/>
    </row>
    <row r="51" spans="1:55" x14ac:dyDescent="0.35">
      <c r="A51" s="39"/>
      <c r="B51" s="39"/>
      <c r="C51" s="39"/>
      <c r="D51" s="99"/>
      <c r="E51" s="99"/>
      <c r="F51" s="99"/>
      <c r="G51" s="99"/>
      <c r="H51" s="99"/>
      <c r="I51" s="99"/>
      <c r="J51" s="99"/>
      <c r="K51" s="99"/>
      <c r="L51" s="99"/>
      <c r="M51" s="99"/>
      <c r="N51" s="99"/>
      <c r="O51" s="99"/>
      <c r="P51" s="99"/>
      <c r="Q51" s="99"/>
      <c r="R51" s="99"/>
      <c r="S51" s="99"/>
      <c r="T51" s="99"/>
      <c r="U51" s="99"/>
      <c r="V51" s="99"/>
      <c r="W51" s="99"/>
      <c r="X51" s="99"/>
      <c r="Y51" s="99"/>
      <c r="Z51" s="99"/>
      <c r="AA51" s="99"/>
      <c r="AB51" s="99"/>
      <c r="AC51" s="99"/>
      <c r="AD51" s="99"/>
      <c r="AE51" s="99"/>
      <c r="AF51" s="99"/>
      <c r="AG51" s="99"/>
      <c r="AH51" s="99"/>
      <c r="AI51" s="99"/>
      <c r="AJ51" s="99"/>
      <c r="AK51" s="39"/>
      <c r="AL51" s="39"/>
      <c r="AM51" s="39"/>
      <c r="AN51" s="39"/>
      <c r="AO51" s="39"/>
      <c r="AP51" s="39"/>
      <c r="AQ51" s="39"/>
      <c r="AR51" s="39"/>
      <c r="AS51" s="39"/>
      <c r="AT51" s="39"/>
      <c r="AU51" s="39"/>
      <c r="AV51" s="39"/>
      <c r="AW51" s="39"/>
      <c r="AX51" s="39"/>
      <c r="AY51" s="39"/>
      <c r="AZ51" s="39"/>
      <c r="BA51" s="39"/>
      <c r="BB51" s="39"/>
      <c r="BC51" s="39"/>
    </row>
    <row r="52" spans="1:55" x14ac:dyDescent="0.35">
      <c r="A52" s="39"/>
      <c r="B52" s="39"/>
      <c r="C52" s="39"/>
      <c r="D52" s="99"/>
      <c r="E52" s="99"/>
      <c r="F52" s="99"/>
      <c r="G52" s="99"/>
      <c r="H52" s="99"/>
      <c r="I52" s="99"/>
      <c r="J52" s="99"/>
      <c r="K52" s="99"/>
      <c r="L52" s="99"/>
      <c r="M52" s="99"/>
      <c r="N52" s="99"/>
      <c r="O52" s="99"/>
      <c r="P52" s="99"/>
      <c r="Q52" s="99"/>
      <c r="R52" s="99"/>
      <c r="S52" s="99"/>
      <c r="T52" s="99"/>
      <c r="U52" s="99"/>
      <c r="V52" s="99"/>
      <c r="W52" s="99"/>
      <c r="X52" s="99"/>
      <c r="Y52" s="99"/>
      <c r="Z52" s="99"/>
      <c r="AA52" s="99"/>
      <c r="AB52" s="99"/>
      <c r="AC52" s="99"/>
      <c r="AD52" s="99"/>
      <c r="AE52" s="99"/>
      <c r="AF52" s="99"/>
      <c r="AG52" s="99"/>
      <c r="AH52" s="99"/>
      <c r="AI52" s="99"/>
      <c r="AJ52" s="99"/>
      <c r="AK52" s="39"/>
      <c r="AL52" s="39"/>
      <c r="AM52" s="39"/>
      <c r="AN52" s="39"/>
      <c r="AO52" s="39"/>
      <c r="AP52" s="39"/>
      <c r="AQ52" s="39"/>
      <c r="AR52" s="39"/>
      <c r="AS52" s="39"/>
      <c r="AT52" s="39"/>
      <c r="AU52" s="39"/>
      <c r="AV52" s="39"/>
      <c r="AW52" s="39"/>
      <c r="AX52" s="39"/>
      <c r="AY52" s="39"/>
      <c r="AZ52" s="39"/>
      <c r="BA52" s="39"/>
      <c r="BB52" s="39"/>
      <c r="BC52" s="39"/>
    </row>
    <row r="53" spans="1:55" x14ac:dyDescent="0.35">
      <c r="A53" s="39"/>
      <c r="B53" s="39"/>
      <c r="C53" s="39"/>
      <c r="D53" s="99"/>
      <c r="E53" s="99"/>
      <c r="F53" s="99"/>
      <c r="G53" s="99"/>
      <c r="H53" s="99"/>
      <c r="I53" s="99"/>
      <c r="J53" s="99"/>
      <c r="K53" s="99"/>
      <c r="L53" s="99"/>
      <c r="M53" s="99"/>
      <c r="N53" s="99"/>
      <c r="O53" s="99"/>
      <c r="P53" s="99"/>
      <c r="Q53" s="99"/>
      <c r="R53" s="99"/>
      <c r="S53" s="99"/>
      <c r="T53" s="99"/>
      <c r="U53" s="99"/>
      <c r="V53" s="99"/>
      <c r="W53" s="99"/>
      <c r="X53" s="99"/>
      <c r="Y53" s="99"/>
      <c r="Z53" s="99"/>
      <c r="AA53" s="99"/>
      <c r="AB53" s="99"/>
      <c r="AC53" s="99"/>
      <c r="AD53" s="99"/>
      <c r="AE53" s="99"/>
      <c r="AF53" s="99"/>
      <c r="AG53" s="99"/>
      <c r="AH53" s="99"/>
      <c r="AI53" s="99"/>
      <c r="AJ53" s="99"/>
      <c r="AK53" s="39"/>
      <c r="AL53" s="39"/>
      <c r="AM53" s="39"/>
      <c r="AN53" s="39"/>
      <c r="AO53" s="39"/>
      <c r="AP53" s="39"/>
      <c r="AQ53" s="39"/>
      <c r="AR53" s="39"/>
      <c r="AS53" s="39"/>
      <c r="AT53" s="39"/>
      <c r="AU53" s="39"/>
      <c r="AV53" s="39"/>
      <c r="AW53" s="39"/>
      <c r="AX53" s="39"/>
      <c r="AY53" s="39"/>
      <c r="AZ53" s="39"/>
      <c r="BA53" s="39"/>
      <c r="BB53" s="39"/>
      <c r="BC53" s="39"/>
    </row>
    <row r="54" spans="1:55" x14ac:dyDescent="0.35">
      <c r="A54" s="39"/>
      <c r="B54" s="39"/>
      <c r="C54" s="39"/>
      <c r="D54" s="99"/>
      <c r="E54" s="99"/>
      <c r="F54" s="99"/>
      <c r="G54" s="99"/>
      <c r="H54" s="99"/>
      <c r="I54" s="99"/>
      <c r="J54" s="99"/>
      <c r="K54" s="99"/>
      <c r="L54" s="99"/>
      <c r="M54" s="99"/>
      <c r="N54" s="99"/>
      <c r="O54" s="99"/>
      <c r="P54" s="99"/>
      <c r="Q54" s="99"/>
      <c r="R54" s="99"/>
      <c r="S54" s="99"/>
      <c r="T54" s="99"/>
      <c r="U54" s="99"/>
      <c r="V54" s="99"/>
      <c r="W54" s="99"/>
      <c r="X54" s="99"/>
      <c r="Y54" s="99"/>
      <c r="Z54" s="99"/>
      <c r="AA54" s="99"/>
      <c r="AB54" s="99"/>
      <c r="AC54" s="99"/>
      <c r="AD54" s="99"/>
      <c r="AE54" s="99"/>
      <c r="AF54" s="99"/>
      <c r="AG54" s="99"/>
      <c r="AH54" s="99"/>
      <c r="AI54" s="99"/>
      <c r="AJ54" s="99"/>
      <c r="AK54" s="39"/>
      <c r="AL54" s="39"/>
      <c r="AM54" s="39"/>
      <c r="AN54" s="39"/>
      <c r="AO54" s="39"/>
      <c r="AP54" s="39"/>
      <c r="AQ54" s="39"/>
      <c r="AR54" s="39"/>
      <c r="AS54" s="39"/>
      <c r="AT54" s="39"/>
      <c r="AU54" s="39"/>
      <c r="AV54" s="39"/>
      <c r="AW54" s="39"/>
      <c r="AX54" s="39"/>
      <c r="AY54" s="39"/>
      <c r="AZ54" s="39"/>
      <c r="BA54" s="39"/>
      <c r="BB54" s="39"/>
      <c r="BC54" s="39"/>
    </row>
    <row r="55" spans="1:55" x14ac:dyDescent="0.35">
      <c r="A55" s="39"/>
      <c r="B55" s="39"/>
      <c r="C55" s="39"/>
      <c r="D55" s="99"/>
      <c r="E55" s="99"/>
      <c r="F55" s="99"/>
      <c r="G55" s="99"/>
      <c r="H55" s="99"/>
      <c r="I55" s="99"/>
      <c r="J55" s="99"/>
      <c r="K55" s="99"/>
      <c r="L55" s="99"/>
      <c r="M55" s="99"/>
      <c r="N55" s="99"/>
      <c r="O55" s="99"/>
      <c r="P55" s="99"/>
      <c r="Q55" s="99"/>
      <c r="R55" s="99"/>
      <c r="S55" s="99"/>
      <c r="T55" s="99"/>
      <c r="U55" s="99"/>
      <c r="V55" s="99"/>
      <c r="W55" s="99"/>
      <c r="X55" s="99"/>
      <c r="Y55" s="99"/>
      <c r="Z55" s="99"/>
      <c r="AA55" s="99"/>
      <c r="AB55" s="99"/>
      <c r="AC55" s="99"/>
      <c r="AD55" s="99"/>
      <c r="AE55" s="99"/>
      <c r="AF55" s="99"/>
      <c r="AG55" s="99"/>
      <c r="AH55" s="99"/>
      <c r="AI55" s="99"/>
      <c r="AJ55" s="99"/>
      <c r="AK55" s="39"/>
      <c r="AL55" s="39"/>
      <c r="AM55" s="39"/>
      <c r="AN55" s="39"/>
      <c r="AO55" s="39"/>
      <c r="AP55" s="39"/>
      <c r="AQ55" s="39"/>
      <c r="AR55" s="39"/>
      <c r="AS55" s="39"/>
      <c r="AT55" s="39"/>
      <c r="AU55" s="39"/>
      <c r="AV55" s="39"/>
      <c r="AW55" s="39"/>
      <c r="AX55" s="39"/>
      <c r="AY55" s="39"/>
      <c r="AZ55" s="39"/>
      <c r="BA55" s="39"/>
      <c r="BB55" s="39"/>
      <c r="BC55" s="39"/>
    </row>
    <row r="56" spans="1:55" x14ac:dyDescent="0.35">
      <c r="A56" s="39"/>
      <c r="B56" s="39"/>
      <c r="C56" s="39"/>
      <c r="D56" s="99"/>
      <c r="E56" s="99"/>
      <c r="F56" s="99"/>
      <c r="G56" s="99"/>
      <c r="H56" s="99"/>
      <c r="I56" s="99"/>
      <c r="J56" s="99"/>
      <c r="K56" s="99"/>
      <c r="L56" s="99"/>
      <c r="M56" s="99"/>
      <c r="N56" s="99"/>
      <c r="O56" s="99"/>
      <c r="P56" s="99"/>
      <c r="Q56" s="99"/>
      <c r="R56" s="99"/>
      <c r="S56" s="99"/>
      <c r="T56" s="99"/>
      <c r="U56" s="99"/>
      <c r="V56" s="99"/>
      <c r="W56" s="99"/>
      <c r="X56" s="99"/>
      <c r="Y56" s="99"/>
      <c r="Z56" s="99"/>
      <c r="AA56" s="99"/>
      <c r="AB56" s="99"/>
      <c r="AC56" s="99"/>
      <c r="AD56" s="99"/>
      <c r="AE56" s="99"/>
      <c r="AF56" s="99"/>
      <c r="AG56" s="99"/>
      <c r="AH56" s="99"/>
      <c r="AI56" s="99"/>
      <c r="AJ56" s="99"/>
      <c r="AK56" s="39"/>
      <c r="AL56" s="39"/>
      <c r="AM56" s="39"/>
      <c r="AN56" s="39"/>
      <c r="AO56" s="39"/>
      <c r="AP56" s="39"/>
      <c r="AQ56" s="39"/>
      <c r="AR56" s="39"/>
      <c r="AS56" s="39"/>
      <c r="AT56" s="39"/>
      <c r="AU56" s="39"/>
      <c r="AV56" s="39"/>
      <c r="AW56" s="39"/>
      <c r="AX56" s="39"/>
      <c r="AY56" s="39"/>
      <c r="AZ56" s="39"/>
      <c r="BA56" s="39"/>
      <c r="BB56" s="39"/>
      <c r="BC56" s="39"/>
    </row>
    <row r="57" spans="1:55" x14ac:dyDescent="0.35">
      <c r="A57" s="39"/>
      <c r="B57" s="39"/>
      <c r="C57" s="39"/>
      <c r="D57" s="99"/>
      <c r="E57" s="99"/>
      <c r="F57" s="99"/>
      <c r="G57" s="99"/>
      <c r="H57" s="99"/>
      <c r="I57" s="99"/>
      <c r="J57" s="99"/>
      <c r="K57" s="99"/>
      <c r="L57" s="99"/>
      <c r="M57" s="99"/>
      <c r="N57" s="99"/>
      <c r="O57" s="99"/>
      <c r="P57" s="99"/>
      <c r="Q57" s="99"/>
      <c r="R57" s="99"/>
      <c r="S57" s="99"/>
      <c r="T57" s="99"/>
      <c r="U57" s="99"/>
      <c r="V57" s="99"/>
      <c r="W57" s="99"/>
      <c r="X57" s="99"/>
      <c r="Y57" s="99"/>
      <c r="Z57" s="99"/>
      <c r="AA57" s="99"/>
      <c r="AB57" s="99"/>
      <c r="AC57" s="99"/>
      <c r="AD57" s="99"/>
      <c r="AE57" s="99"/>
      <c r="AF57" s="99"/>
      <c r="AG57" s="99"/>
      <c r="AH57" s="99"/>
      <c r="AI57" s="99"/>
      <c r="AJ57" s="99"/>
      <c r="AK57" s="39"/>
      <c r="AL57" s="39"/>
      <c r="AM57" s="39"/>
      <c r="AN57" s="39"/>
      <c r="AO57" s="39"/>
      <c r="AP57" s="39"/>
      <c r="AQ57" s="39"/>
      <c r="AR57" s="39"/>
      <c r="AS57" s="39"/>
      <c r="AT57" s="39"/>
      <c r="AU57" s="39"/>
      <c r="AV57" s="39"/>
      <c r="AW57" s="39"/>
      <c r="AX57" s="39"/>
      <c r="AY57" s="39"/>
      <c r="AZ57" s="39"/>
      <c r="BA57" s="39"/>
      <c r="BB57" s="39"/>
      <c r="BC57" s="39"/>
    </row>
    <row r="58" spans="1:55" x14ac:dyDescent="0.35">
      <c r="A58" s="39"/>
      <c r="B58" s="39"/>
      <c r="C58" s="39"/>
      <c r="D58" s="99"/>
      <c r="E58" s="99"/>
      <c r="F58" s="99"/>
      <c r="G58" s="99"/>
      <c r="H58" s="99"/>
      <c r="I58" s="99"/>
      <c r="J58" s="99"/>
      <c r="K58" s="99"/>
      <c r="L58" s="99"/>
      <c r="M58" s="99"/>
      <c r="N58" s="99"/>
      <c r="O58" s="99"/>
      <c r="P58" s="99"/>
      <c r="Q58" s="99"/>
      <c r="R58" s="99"/>
      <c r="S58" s="99"/>
      <c r="T58" s="99"/>
      <c r="U58" s="99"/>
      <c r="V58" s="99"/>
      <c r="W58" s="99"/>
      <c r="X58" s="99"/>
      <c r="Y58" s="99"/>
      <c r="Z58" s="99"/>
      <c r="AA58" s="99"/>
      <c r="AB58" s="99"/>
      <c r="AC58" s="99"/>
      <c r="AD58" s="99"/>
      <c r="AE58" s="99"/>
      <c r="AF58" s="99"/>
      <c r="AG58" s="99"/>
      <c r="AH58" s="99"/>
      <c r="AI58" s="99"/>
      <c r="AJ58" s="99"/>
      <c r="AK58" s="39"/>
      <c r="AL58" s="39"/>
      <c r="AM58" s="39"/>
      <c r="AN58" s="39"/>
      <c r="AO58" s="39"/>
      <c r="AP58" s="39"/>
      <c r="AQ58" s="39"/>
      <c r="AR58" s="39"/>
      <c r="AS58" s="39"/>
      <c r="AT58" s="39"/>
      <c r="AU58" s="39"/>
      <c r="AV58" s="39"/>
      <c r="AW58" s="39"/>
      <c r="AX58" s="39"/>
      <c r="AY58" s="39"/>
      <c r="AZ58" s="39"/>
      <c r="BA58" s="39"/>
      <c r="BB58" s="39"/>
      <c r="BC58" s="39"/>
    </row>
    <row r="59" spans="1:55" x14ac:dyDescent="0.35">
      <c r="A59" s="39"/>
      <c r="B59" s="39"/>
      <c r="C59" s="39"/>
      <c r="D59" s="99"/>
      <c r="E59" s="99"/>
      <c r="F59" s="99"/>
      <c r="G59" s="99"/>
      <c r="H59" s="99"/>
      <c r="I59" s="99"/>
      <c r="J59" s="99"/>
      <c r="K59" s="99"/>
      <c r="L59" s="99"/>
      <c r="M59" s="99"/>
      <c r="N59" s="99"/>
      <c r="O59" s="99"/>
      <c r="P59" s="99"/>
      <c r="Q59" s="99"/>
      <c r="R59" s="99"/>
      <c r="S59" s="99"/>
      <c r="T59" s="99"/>
      <c r="U59" s="99"/>
      <c r="V59" s="99"/>
      <c r="W59" s="99"/>
      <c r="X59" s="99"/>
      <c r="Y59" s="99"/>
      <c r="Z59" s="99"/>
      <c r="AA59" s="99"/>
      <c r="AB59" s="99"/>
      <c r="AC59" s="99"/>
      <c r="AD59" s="99"/>
      <c r="AE59" s="99"/>
      <c r="AF59" s="99"/>
      <c r="AG59" s="99"/>
      <c r="AH59" s="99"/>
      <c r="AI59" s="99"/>
      <c r="AJ59" s="99"/>
      <c r="AK59" s="39"/>
      <c r="AL59" s="39"/>
      <c r="AM59" s="39"/>
      <c r="AN59" s="39"/>
      <c r="AO59" s="39"/>
      <c r="AP59" s="39"/>
      <c r="AQ59" s="39"/>
      <c r="AR59" s="39"/>
      <c r="AS59" s="39"/>
      <c r="AT59" s="39"/>
      <c r="AU59" s="39"/>
      <c r="AV59" s="39"/>
      <c r="AW59" s="39"/>
      <c r="AX59" s="39"/>
      <c r="AY59" s="39"/>
      <c r="AZ59" s="39"/>
      <c r="BA59" s="39"/>
      <c r="BB59" s="39"/>
      <c r="BC59" s="39"/>
    </row>
    <row r="60" spans="1:55" x14ac:dyDescent="0.35">
      <c r="A60" s="39"/>
      <c r="B60" s="39"/>
      <c r="C60" s="39"/>
      <c r="D60" s="99"/>
      <c r="E60" s="99"/>
      <c r="F60" s="99"/>
      <c r="G60" s="99"/>
      <c r="H60" s="99"/>
      <c r="I60" s="99"/>
      <c r="J60" s="99"/>
      <c r="K60" s="99"/>
      <c r="L60" s="99"/>
      <c r="M60" s="99"/>
      <c r="N60" s="99"/>
      <c r="O60" s="99"/>
      <c r="P60" s="99"/>
      <c r="Q60" s="99"/>
      <c r="R60" s="99"/>
      <c r="S60" s="99"/>
      <c r="T60" s="99"/>
      <c r="U60" s="99"/>
      <c r="V60" s="99"/>
      <c r="W60" s="99"/>
      <c r="X60" s="99"/>
      <c r="Y60" s="99"/>
      <c r="Z60" s="99"/>
      <c r="AA60" s="99"/>
      <c r="AB60" s="99"/>
      <c r="AC60" s="99"/>
      <c r="AD60" s="99"/>
      <c r="AE60" s="99"/>
      <c r="AF60" s="99"/>
      <c r="AG60" s="99"/>
      <c r="AH60" s="99"/>
      <c r="AI60" s="99"/>
      <c r="AJ60" s="99"/>
      <c r="AK60" s="39"/>
      <c r="AL60" s="39"/>
      <c r="AM60" s="39"/>
      <c r="AN60" s="39"/>
      <c r="AO60" s="39"/>
      <c r="AP60" s="39"/>
      <c r="AQ60" s="39"/>
      <c r="AR60" s="39"/>
      <c r="AS60" s="39"/>
      <c r="AT60" s="39"/>
      <c r="AU60" s="39"/>
      <c r="AV60" s="39"/>
      <c r="AW60" s="39"/>
      <c r="AX60" s="39"/>
      <c r="AY60" s="39"/>
      <c r="AZ60" s="39"/>
      <c r="BA60" s="39"/>
      <c r="BB60" s="39"/>
      <c r="BC60" s="39"/>
    </row>
    <row r="61" spans="1:55" x14ac:dyDescent="0.35">
      <c r="A61" s="39"/>
      <c r="B61" s="39"/>
      <c r="C61" s="39"/>
      <c r="D61" s="99"/>
      <c r="E61" s="99"/>
      <c r="F61" s="99"/>
      <c r="G61" s="99"/>
      <c r="H61" s="99"/>
      <c r="I61" s="99"/>
      <c r="J61" s="99"/>
      <c r="K61" s="99"/>
      <c r="L61" s="99"/>
      <c r="M61" s="99"/>
      <c r="N61" s="99"/>
      <c r="O61" s="99"/>
      <c r="P61" s="99"/>
      <c r="Q61" s="99"/>
      <c r="R61" s="99"/>
      <c r="S61" s="99"/>
      <c r="T61" s="99"/>
      <c r="U61" s="99"/>
      <c r="V61" s="99"/>
      <c r="W61" s="99"/>
      <c r="X61" s="99"/>
      <c r="Y61" s="99"/>
      <c r="Z61" s="99"/>
      <c r="AA61" s="99"/>
      <c r="AB61" s="99"/>
      <c r="AC61" s="99"/>
      <c r="AD61" s="99"/>
      <c r="AE61" s="99"/>
      <c r="AF61" s="99"/>
      <c r="AG61" s="99"/>
      <c r="AH61" s="99"/>
      <c r="AI61" s="99"/>
      <c r="AJ61" s="99"/>
      <c r="AK61" s="39"/>
      <c r="AL61" s="39"/>
      <c r="AM61" s="39"/>
      <c r="AN61" s="39"/>
      <c r="AO61" s="39"/>
      <c r="AP61" s="39"/>
      <c r="AQ61" s="39"/>
      <c r="AR61" s="39"/>
      <c r="AS61" s="39"/>
      <c r="AT61" s="39"/>
      <c r="AU61" s="39"/>
      <c r="AV61" s="39"/>
      <c r="AW61" s="39"/>
      <c r="AX61" s="39"/>
      <c r="AY61" s="39"/>
      <c r="AZ61" s="39"/>
      <c r="BA61" s="39"/>
      <c r="BB61" s="39"/>
      <c r="BC61" s="39"/>
    </row>
    <row r="62" spans="1:55" x14ac:dyDescent="0.35">
      <c r="A62" s="39"/>
      <c r="B62" s="39"/>
      <c r="C62" s="39"/>
      <c r="D62" s="99"/>
      <c r="E62" s="99"/>
      <c r="F62" s="99"/>
      <c r="G62" s="99"/>
      <c r="H62" s="99"/>
      <c r="I62" s="99"/>
      <c r="J62" s="99"/>
      <c r="K62" s="99"/>
      <c r="L62" s="99"/>
      <c r="Z62" s="99"/>
      <c r="AA62" s="99"/>
      <c r="AB62" s="99"/>
      <c r="AC62" s="99"/>
      <c r="AD62" s="99"/>
      <c r="AE62" s="99"/>
      <c r="AF62" s="99"/>
      <c r="AG62" s="99"/>
      <c r="AH62" s="99"/>
      <c r="AI62" s="99"/>
      <c r="AJ62" s="99"/>
      <c r="AK62" s="39"/>
      <c r="AL62" s="39"/>
      <c r="AM62" s="39"/>
      <c r="AN62" s="39"/>
      <c r="AO62" s="39"/>
      <c r="AP62" s="39"/>
      <c r="AQ62" s="39"/>
      <c r="AR62" s="39"/>
      <c r="AS62" s="39"/>
      <c r="AT62" s="39"/>
      <c r="AU62" s="39"/>
      <c r="AV62" s="39"/>
      <c r="AW62" s="39"/>
      <c r="AX62" s="39"/>
      <c r="AY62" s="39"/>
      <c r="AZ62" s="39"/>
      <c r="BA62" s="39"/>
      <c r="BB62" s="39"/>
      <c r="BC62" s="39"/>
    </row>
    <row r="63" spans="1:55" x14ac:dyDescent="0.35">
      <c r="A63" s="39"/>
      <c r="B63" s="39"/>
      <c r="C63" s="39"/>
      <c r="D63" s="99"/>
      <c r="E63" s="99"/>
      <c r="F63" s="99"/>
      <c r="G63" s="99"/>
      <c r="H63" s="99"/>
      <c r="I63" s="99"/>
      <c r="J63" s="99"/>
      <c r="K63" s="99"/>
      <c r="L63" s="99"/>
      <c r="Z63" s="99"/>
      <c r="AA63" s="99"/>
      <c r="AB63" s="99"/>
      <c r="AC63" s="99"/>
      <c r="AD63" s="99"/>
      <c r="AE63" s="99"/>
      <c r="AF63" s="99"/>
      <c r="AG63" s="99"/>
      <c r="AH63" s="99"/>
      <c r="AI63" s="99"/>
      <c r="AJ63" s="99"/>
      <c r="AK63" s="39"/>
      <c r="AL63" s="39"/>
      <c r="AM63" s="39"/>
      <c r="AN63" s="39"/>
      <c r="AO63" s="39"/>
      <c r="AP63" s="39"/>
      <c r="AQ63" s="39"/>
      <c r="AR63" s="39"/>
      <c r="AS63" s="39"/>
      <c r="AT63" s="39"/>
      <c r="AU63" s="39"/>
      <c r="AV63" s="39"/>
      <c r="AW63" s="39"/>
      <c r="AX63" s="39"/>
      <c r="AY63" s="39"/>
      <c r="AZ63" s="39"/>
      <c r="BA63" s="39"/>
      <c r="BB63" s="39"/>
      <c r="BC63" s="39"/>
    </row>
    <row r="64" spans="1:55" x14ac:dyDescent="0.35">
      <c r="A64" s="39"/>
      <c r="B64" s="39"/>
      <c r="C64" s="39"/>
      <c r="D64" s="99"/>
      <c r="E64" s="99"/>
      <c r="F64" s="99"/>
      <c r="G64" s="99"/>
      <c r="H64" s="99"/>
      <c r="I64" s="99"/>
      <c r="J64" s="99"/>
      <c r="K64" s="99"/>
      <c r="L64" s="99"/>
      <c r="M64" s="99"/>
      <c r="N64" s="99"/>
      <c r="O64" s="99"/>
      <c r="P64" s="99"/>
      <c r="Q64" s="99"/>
      <c r="R64" s="99"/>
      <c r="S64" s="99"/>
      <c r="T64" s="99"/>
      <c r="U64" s="99"/>
      <c r="V64" s="99"/>
      <c r="W64" s="99"/>
      <c r="X64" s="99"/>
      <c r="Y64" s="99"/>
      <c r="Z64" s="99"/>
      <c r="AA64" s="99"/>
      <c r="AB64" s="99"/>
      <c r="AC64" s="99"/>
      <c r="AD64" s="99"/>
      <c r="AE64" s="99"/>
      <c r="AF64" s="99"/>
      <c r="AG64" s="99"/>
      <c r="AH64" s="99"/>
      <c r="AI64" s="99"/>
      <c r="AJ64" s="99"/>
      <c r="AK64" s="39"/>
      <c r="AL64" s="39"/>
      <c r="AM64" s="39"/>
      <c r="AN64" s="39"/>
      <c r="AO64" s="39"/>
      <c r="AP64" s="39"/>
      <c r="AQ64" s="39"/>
      <c r="AR64" s="39"/>
      <c r="AS64" s="39"/>
      <c r="AT64" s="39"/>
      <c r="AU64" s="39"/>
      <c r="AV64" s="39"/>
      <c r="AW64" s="39"/>
      <c r="AX64" s="39"/>
      <c r="AY64" s="39"/>
      <c r="AZ64" s="39"/>
      <c r="BA64" s="39"/>
      <c r="BB64" s="39"/>
      <c r="BC64" s="39"/>
    </row>
    <row r="65" spans="1:55" x14ac:dyDescent="0.35">
      <c r="A65" s="39"/>
      <c r="B65" s="39"/>
      <c r="C65" s="39"/>
      <c r="D65" s="99"/>
      <c r="E65" s="99"/>
      <c r="F65" s="99"/>
      <c r="G65" s="99"/>
      <c r="H65" s="99"/>
      <c r="I65" s="99"/>
      <c r="J65" s="99"/>
      <c r="K65" s="99"/>
      <c r="L65" s="99"/>
      <c r="M65" s="99"/>
      <c r="N65" s="99"/>
      <c r="O65" s="99"/>
      <c r="P65" s="99"/>
      <c r="Q65" s="99"/>
      <c r="R65" s="99"/>
      <c r="S65" s="99"/>
      <c r="T65" s="99"/>
      <c r="U65" s="99"/>
      <c r="V65" s="99"/>
      <c r="W65" s="99"/>
      <c r="X65" s="99"/>
      <c r="Y65" s="99"/>
      <c r="Z65" s="99"/>
      <c r="AA65" s="99"/>
      <c r="AB65" s="99"/>
      <c r="AC65" s="99"/>
      <c r="AD65" s="99"/>
      <c r="AE65" s="99"/>
      <c r="AF65" s="99"/>
      <c r="AG65" s="99"/>
      <c r="AH65" s="99"/>
      <c r="AI65" s="99"/>
      <c r="AJ65" s="99"/>
      <c r="AK65" s="39"/>
      <c r="AL65" s="39"/>
      <c r="AM65" s="39"/>
      <c r="AN65" s="39"/>
      <c r="AO65" s="39"/>
      <c r="AP65" s="39"/>
      <c r="AQ65" s="39"/>
      <c r="AR65" s="39"/>
      <c r="AS65" s="39"/>
      <c r="AT65" s="39"/>
      <c r="AU65" s="39"/>
      <c r="AV65" s="39"/>
      <c r="AW65" s="39"/>
      <c r="AX65" s="39"/>
      <c r="AY65" s="39"/>
      <c r="AZ65" s="39"/>
      <c r="BA65" s="39"/>
      <c r="BB65" s="39"/>
      <c r="BC65" s="39"/>
    </row>
    <row r="66" spans="1:55" x14ac:dyDescent="0.35">
      <c r="A66" s="39"/>
      <c r="B66" s="39"/>
      <c r="C66" s="39"/>
      <c r="D66" s="99"/>
      <c r="E66" s="99"/>
      <c r="F66" s="99"/>
      <c r="G66" s="99"/>
      <c r="H66" s="99"/>
      <c r="I66" s="99"/>
      <c r="J66" s="99"/>
      <c r="K66" s="99"/>
      <c r="L66" s="99"/>
      <c r="M66" s="99"/>
      <c r="N66" s="99"/>
      <c r="O66" s="99"/>
      <c r="P66" s="99"/>
      <c r="Q66" s="99"/>
      <c r="R66" s="99"/>
      <c r="S66" s="99"/>
      <c r="T66" s="99"/>
      <c r="U66" s="99"/>
      <c r="V66" s="99"/>
      <c r="W66" s="99"/>
      <c r="X66" s="99"/>
      <c r="Y66" s="99"/>
      <c r="Z66" s="99"/>
      <c r="AA66" s="99"/>
      <c r="AB66" s="99"/>
      <c r="AC66" s="99"/>
      <c r="AD66" s="99"/>
      <c r="AE66" s="99"/>
      <c r="AF66" s="99"/>
      <c r="AG66" s="99"/>
      <c r="AH66" s="99"/>
      <c r="AI66" s="99"/>
      <c r="AJ66" s="99"/>
      <c r="AK66" s="39"/>
      <c r="AL66" s="39"/>
      <c r="AM66" s="39"/>
      <c r="AN66" s="39"/>
      <c r="AO66" s="39"/>
      <c r="AP66" s="39"/>
      <c r="AQ66" s="39"/>
      <c r="AR66" s="39"/>
      <c r="AS66" s="39"/>
      <c r="AT66" s="39"/>
      <c r="AU66" s="39"/>
      <c r="AV66" s="39"/>
      <c r="AW66" s="39"/>
      <c r="AX66" s="39"/>
      <c r="AY66" s="39"/>
      <c r="AZ66" s="39"/>
      <c r="BA66" s="39"/>
      <c r="BB66" s="39"/>
      <c r="BC66" s="39"/>
    </row>
    <row r="67" spans="1:55" x14ac:dyDescent="0.35">
      <c r="A67" s="39"/>
      <c r="B67" s="39"/>
      <c r="C67" s="39"/>
      <c r="D67" s="99"/>
      <c r="E67" s="99"/>
      <c r="F67" s="99"/>
      <c r="G67" s="99"/>
      <c r="H67" s="99"/>
      <c r="I67" s="99"/>
      <c r="J67" s="99"/>
      <c r="K67" s="99"/>
      <c r="L67" s="99"/>
      <c r="M67" s="99"/>
      <c r="N67" s="99"/>
      <c r="O67" s="99"/>
      <c r="P67" s="99"/>
      <c r="Q67" s="99"/>
      <c r="R67" s="99"/>
      <c r="S67" s="99"/>
      <c r="T67" s="99"/>
      <c r="U67" s="99"/>
      <c r="V67" s="99"/>
      <c r="W67" s="99"/>
      <c r="X67" s="99"/>
      <c r="Y67" s="99"/>
      <c r="Z67" s="99"/>
      <c r="AA67" s="99"/>
      <c r="AB67" s="99"/>
      <c r="AC67" s="99"/>
      <c r="AD67" s="99"/>
      <c r="AE67" s="99"/>
      <c r="AF67" s="99"/>
      <c r="AG67" s="99"/>
      <c r="AH67" s="99"/>
      <c r="AI67" s="99"/>
      <c r="AJ67" s="99"/>
      <c r="AK67" s="39"/>
      <c r="AL67" s="39"/>
      <c r="AM67" s="39"/>
      <c r="AN67" s="39"/>
      <c r="AO67" s="39"/>
      <c r="AP67" s="39"/>
      <c r="AQ67" s="39"/>
      <c r="AR67" s="39"/>
      <c r="AS67" s="39"/>
      <c r="AT67" s="39"/>
      <c r="AU67" s="39"/>
      <c r="AV67" s="39"/>
      <c r="AW67" s="39"/>
      <c r="AX67" s="39"/>
      <c r="AY67" s="39"/>
      <c r="AZ67" s="39"/>
      <c r="BA67" s="39"/>
      <c r="BB67" s="39"/>
      <c r="BC67" s="39"/>
    </row>
    <row r="68" spans="1:55" x14ac:dyDescent="0.35">
      <c r="A68" s="39"/>
      <c r="B68" s="39"/>
      <c r="C68" s="39"/>
      <c r="D68" s="99"/>
      <c r="E68" s="99"/>
      <c r="F68" s="99"/>
      <c r="G68" s="99"/>
      <c r="H68" s="99"/>
      <c r="I68" s="99"/>
      <c r="J68" s="99"/>
      <c r="K68" s="99"/>
      <c r="L68" s="99"/>
      <c r="M68" s="99"/>
      <c r="N68" s="99"/>
      <c r="O68" s="99"/>
      <c r="P68" s="99"/>
      <c r="Q68" s="99"/>
      <c r="R68" s="99"/>
      <c r="S68" s="99"/>
      <c r="T68" s="99"/>
      <c r="U68" s="99"/>
      <c r="V68" s="99"/>
      <c r="W68" s="99"/>
      <c r="X68" s="99"/>
      <c r="Y68" s="99"/>
      <c r="Z68" s="99"/>
      <c r="AA68" s="99"/>
      <c r="AB68" s="99"/>
      <c r="AC68" s="99"/>
      <c r="AD68" s="99"/>
      <c r="AE68" s="99"/>
      <c r="AF68" s="99"/>
      <c r="AG68" s="99"/>
      <c r="AH68" s="99"/>
      <c r="AI68" s="99"/>
      <c r="AJ68" s="99"/>
      <c r="AK68" s="39"/>
      <c r="AL68" s="39"/>
      <c r="AM68" s="39"/>
      <c r="AN68" s="39"/>
      <c r="AO68" s="39"/>
      <c r="AP68" s="39"/>
      <c r="AQ68" s="39"/>
      <c r="AR68" s="39"/>
      <c r="AS68" s="39"/>
      <c r="AT68" s="39"/>
      <c r="AU68" s="39"/>
      <c r="AV68" s="39"/>
      <c r="AW68" s="39"/>
      <c r="AX68" s="39"/>
      <c r="AY68" s="39"/>
      <c r="AZ68" s="39"/>
      <c r="BA68" s="39"/>
      <c r="BB68" s="39"/>
      <c r="BC68" s="39"/>
    </row>
    <row r="69" spans="1:55" x14ac:dyDescent="0.35">
      <c r="A69" s="39"/>
      <c r="B69" s="39"/>
      <c r="C69" s="39"/>
      <c r="D69" s="99"/>
      <c r="E69" s="99"/>
      <c r="F69" s="99"/>
      <c r="G69" s="99"/>
      <c r="H69" s="99"/>
      <c r="I69" s="99"/>
      <c r="J69" s="99"/>
      <c r="K69" s="99"/>
      <c r="L69" s="99"/>
      <c r="M69" s="99"/>
      <c r="N69" s="99"/>
      <c r="O69" s="99"/>
      <c r="P69" s="99"/>
      <c r="Q69" s="99"/>
      <c r="R69" s="99"/>
      <c r="S69" s="99"/>
      <c r="T69" s="99"/>
      <c r="U69" s="99"/>
      <c r="V69" s="99"/>
      <c r="W69" s="99"/>
      <c r="X69" s="99"/>
      <c r="Y69" s="99"/>
      <c r="Z69" s="99"/>
      <c r="AA69" s="99"/>
      <c r="AB69" s="99"/>
      <c r="AC69" s="99"/>
      <c r="AD69" s="99"/>
      <c r="AE69" s="99"/>
      <c r="AF69" s="99"/>
      <c r="AG69" s="99"/>
      <c r="AH69" s="99"/>
      <c r="AI69" s="99"/>
      <c r="AJ69" s="99"/>
      <c r="AK69" s="39"/>
      <c r="AL69" s="39"/>
      <c r="AM69" s="39"/>
      <c r="AN69" s="39"/>
      <c r="AO69" s="39"/>
      <c r="AP69" s="39"/>
      <c r="AQ69" s="39"/>
      <c r="AR69" s="39"/>
      <c r="AS69" s="39"/>
      <c r="AT69" s="39"/>
      <c r="AU69" s="39"/>
      <c r="AV69" s="39"/>
      <c r="AW69" s="39"/>
      <c r="AX69" s="39"/>
      <c r="AY69" s="39"/>
      <c r="AZ69" s="39"/>
      <c r="BA69" s="39"/>
      <c r="BB69" s="39"/>
      <c r="BC69" s="39"/>
    </row>
    <row r="70" spans="1:55" x14ac:dyDescent="0.35">
      <c r="A70" s="39"/>
      <c r="B70" s="39"/>
      <c r="C70" s="39"/>
      <c r="D70" s="99"/>
      <c r="E70" s="99"/>
      <c r="F70" s="99"/>
      <c r="G70" s="99"/>
      <c r="H70" s="99"/>
      <c r="I70" s="99"/>
      <c r="J70" s="99"/>
      <c r="K70" s="99"/>
      <c r="L70" s="99"/>
      <c r="M70" s="99"/>
      <c r="N70" s="99"/>
      <c r="O70" s="99"/>
      <c r="P70" s="99"/>
      <c r="Q70" s="99"/>
      <c r="R70" s="99"/>
      <c r="S70" s="99"/>
      <c r="T70" s="99"/>
      <c r="U70" s="99"/>
      <c r="V70" s="99"/>
      <c r="W70" s="99"/>
      <c r="X70" s="99"/>
      <c r="Y70" s="99"/>
      <c r="Z70" s="99"/>
      <c r="AA70" s="99"/>
      <c r="AB70" s="99"/>
      <c r="AC70" s="99"/>
      <c r="AD70" s="99"/>
      <c r="AE70" s="99"/>
      <c r="AF70" s="99"/>
      <c r="AG70" s="99"/>
      <c r="AH70" s="99"/>
      <c r="AI70" s="99"/>
      <c r="AJ70" s="99"/>
      <c r="AK70" s="39"/>
      <c r="AL70" s="39"/>
      <c r="AM70" s="39"/>
      <c r="AN70" s="39"/>
      <c r="AO70" s="39"/>
      <c r="AP70" s="39"/>
      <c r="AQ70" s="39"/>
      <c r="AR70" s="39"/>
      <c r="AS70" s="39"/>
      <c r="AT70" s="39"/>
      <c r="AU70" s="39"/>
      <c r="AV70" s="39"/>
      <c r="AW70" s="39"/>
      <c r="AX70" s="39"/>
      <c r="AY70" s="39"/>
      <c r="AZ70" s="39"/>
      <c r="BA70" s="39"/>
      <c r="BB70" s="39"/>
      <c r="BC70" s="39"/>
    </row>
    <row r="71" spans="1:55" x14ac:dyDescent="0.35">
      <c r="A71" s="39"/>
      <c r="B71" s="39"/>
      <c r="C71" s="39"/>
      <c r="D71" s="99"/>
      <c r="E71" s="99"/>
      <c r="F71" s="99"/>
      <c r="G71" s="99"/>
      <c r="H71" s="99"/>
      <c r="I71" s="99"/>
      <c r="J71" s="99"/>
      <c r="K71" s="99"/>
      <c r="L71" s="99"/>
      <c r="M71" s="99"/>
      <c r="N71" s="99"/>
      <c r="O71" s="99"/>
      <c r="P71" s="99"/>
      <c r="Q71" s="99"/>
      <c r="R71" s="99"/>
      <c r="S71" s="99"/>
      <c r="T71" s="99"/>
      <c r="U71" s="99"/>
      <c r="V71" s="99"/>
      <c r="W71" s="99"/>
      <c r="X71" s="99"/>
      <c r="Y71" s="99"/>
      <c r="Z71" s="99"/>
      <c r="AA71" s="99"/>
      <c r="AB71" s="99"/>
      <c r="AC71" s="99"/>
      <c r="AD71" s="99"/>
      <c r="AE71" s="99"/>
      <c r="AF71" s="99"/>
      <c r="AG71" s="99"/>
      <c r="AH71" s="99"/>
      <c r="AI71" s="99"/>
      <c r="AJ71" s="99"/>
      <c r="AK71" s="39"/>
      <c r="AL71" s="39"/>
      <c r="AM71" s="39"/>
      <c r="AN71" s="39"/>
      <c r="AO71" s="39"/>
      <c r="AP71" s="39"/>
      <c r="AQ71" s="39"/>
      <c r="AR71" s="39"/>
      <c r="AS71" s="39"/>
      <c r="AT71" s="39"/>
      <c r="AU71" s="39"/>
      <c r="AV71" s="39"/>
      <c r="AW71" s="39"/>
      <c r="AX71" s="39"/>
      <c r="AY71" s="39"/>
      <c r="AZ71" s="39"/>
      <c r="BA71" s="39"/>
      <c r="BB71" s="39"/>
      <c r="BC71" s="39"/>
    </row>
    <row r="72" spans="1:55" x14ac:dyDescent="0.35">
      <c r="A72" s="39"/>
      <c r="B72" s="39"/>
      <c r="C72" s="39"/>
      <c r="D72" s="99"/>
      <c r="E72" s="99"/>
      <c r="F72" s="99"/>
      <c r="G72" s="99"/>
      <c r="H72" s="99"/>
      <c r="I72" s="99"/>
      <c r="J72" s="99"/>
      <c r="K72" s="99"/>
      <c r="L72" s="99"/>
      <c r="M72" s="99"/>
      <c r="N72" s="99"/>
      <c r="O72" s="99"/>
      <c r="P72" s="99"/>
      <c r="Q72" s="99"/>
      <c r="R72" s="99"/>
      <c r="S72" s="99"/>
      <c r="T72" s="99"/>
      <c r="U72" s="99"/>
      <c r="V72" s="99"/>
      <c r="W72" s="99"/>
      <c r="X72" s="99"/>
      <c r="Y72" s="99"/>
      <c r="Z72" s="99"/>
      <c r="AA72" s="99"/>
      <c r="AB72" s="99"/>
      <c r="AC72" s="99"/>
      <c r="AD72" s="99"/>
      <c r="AE72" s="99"/>
      <c r="AF72" s="99"/>
      <c r="AG72" s="99"/>
      <c r="AH72" s="99"/>
      <c r="AI72" s="99"/>
      <c r="AJ72" s="99"/>
      <c r="AK72" s="39"/>
      <c r="AL72" s="39"/>
      <c r="AM72" s="39"/>
      <c r="AN72" s="39"/>
      <c r="AO72" s="39"/>
      <c r="AP72" s="39"/>
      <c r="AQ72" s="39"/>
      <c r="AR72" s="39"/>
      <c r="AS72" s="39"/>
      <c r="AT72" s="39"/>
      <c r="AU72" s="39"/>
      <c r="AV72" s="39"/>
      <c r="AW72" s="39"/>
      <c r="AX72" s="39"/>
      <c r="AY72" s="39"/>
      <c r="AZ72" s="39"/>
      <c r="BA72" s="39"/>
      <c r="BB72" s="39"/>
      <c r="BC72" s="39"/>
    </row>
    <row r="73" spans="1:55" x14ac:dyDescent="0.35">
      <c r="A73" s="39"/>
      <c r="B73" s="39"/>
      <c r="C73" s="39"/>
      <c r="D73" s="99"/>
      <c r="E73" s="99"/>
      <c r="F73" s="99"/>
      <c r="G73" s="99"/>
      <c r="H73" s="99"/>
      <c r="I73" s="99"/>
      <c r="J73" s="99"/>
      <c r="K73" s="99"/>
      <c r="L73" s="99"/>
      <c r="M73" s="99"/>
      <c r="N73" s="99"/>
      <c r="O73" s="99"/>
      <c r="P73" s="99"/>
      <c r="Q73" s="99"/>
      <c r="R73" s="99"/>
      <c r="S73" s="99"/>
      <c r="T73" s="99"/>
      <c r="U73" s="99"/>
      <c r="V73" s="99"/>
      <c r="W73" s="99"/>
      <c r="X73" s="99"/>
      <c r="Y73" s="99"/>
      <c r="Z73" s="99"/>
      <c r="AA73" s="99"/>
      <c r="AB73" s="99"/>
      <c r="AC73" s="99"/>
      <c r="AD73" s="99"/>
      <c r="AE73" s="99"/>
      <c r="AF73" s="99"/>
      <c r="AG73" s="99"/>
      <c r="AH73" s="99"/>
      <c r="AI73" s="99"/>
      <c r="AJ73" s="99"/>
      <c r="AK73" s="39"/>
      <c r="AL73" s="39"/>
      <c r="AM73" s="39"/>
      <c r="AN73" s="39"/>
      <c r="AO73" s="39"/>
      <c r="AP73" s="39"/>
      <c r="AQ73" s="39"/>
      <c r="AR73" s="39"/>
      <c r="AS73" s="39"/>
      <c r="AT73" s="39"/>
      <c r="AU73" s="39"/>
      <c r="AV73" s="39"/>
      <c r="AW73" s="39"/>
      <c r="AX73" s="39"/>
      <c r="AY73" s="39"/>
      <c r="AZ73" s="39"/>
      <c r="BA73" s="39"/>
      <c r="BB73" s="39"/>
      <c r="BC73" s="39"/>
    </row>
    <row r="74" spans="1:55" x14ac:dyDescent="0.35">
      <c r="A74" s="39"/>
      <c r="B74" s="39"/>
      <c r="C74" s="39"/>
      <c r="D74" s="99"/>
      <c r="E74" s="99"/>
      <c r="F74" s="99"/>
      <c r="G74" s="99"/>
      <c r="H74" s="99"/>
      <c r="I74" s="99"/>
      <c r="J74" s="99"/>
      <c r="K74" s="99"/>
      <c r="L74" s="99"/>
      <c r="M74" s="99"/>
      <c r="N74" s="99"/>
      <c r="O74" s="99"/>
      <c r="P74" s="99"/>
      <c r="Q74" s="99"/>
      <c r="R74" s="99"/>
      <c r="S74" s="99"/>
      <c r="T74" s="99"/>
      <c r="U74" s="99"/>
      <c r="V74" s="99"/>
      <c r="W74" s="99"/>
      <c r="X74" s="99"/>
      <c r="Y74" s="99"/>
      <c r="Z74" s="99"/>
      <c r="AA74" s="99"/>
      <c r="AB74" s="99"/>
      <c r="AC74" s="99"/>
      <c r="AD74" s="99"/>
      <c r="AE74" s="99"/>
      <c r="AF74" s="99"/>
      <c r="AG74" s="99"/>
      <c r="AH74" s="99"/>
      <c r="AI74" s="99"/>
      <c r="AJ74" s="99"/>
      <c r="AK74" s="39"/>
      <c r="AL74" s="39"/>
      <c r="AM74" s="39"/>
      <c r="AN74" s="39"/>
      <c r="AO74" s="39"/>
      <c r="AP74" s="39"/>
      <c r="AQ74" s="39"/>
      <c r="AR74" s="39"/>
      <c r="AS74" s="39"/>
      <c r="AT74" s="39"/>
      <c r="AU74" s="39"/>
      <c r="AV74" s="39"/>
      <c r="AW74" s="39"/>
      <c r="AX74" s="39"/>
      <c r="AY74" s="39"/>
      <c r="AZ74" s="39"/>
      <c r="BA74" s="39"/>
      <c r="BB74" s="39"/>
      <c r="BC74" s="39"/>
    </row>
    <row r="75" spans="1:55" x14ac:dyDescent="0.35">
      <c r="A75" s="39"/>
      <c r="B75" s="39"/>
      <c r="C75" s="39"/>
      <c r="D75" s="99"/>
      <c r="E75" s="99"/>
      <c r="F75" s="99"/>
      <c r="G75" s="99"/>
      <c r="H75" s="99"/>
      <c r="I75" s="99"/>
      <c r="J75" s="99"/>
      <c r="K75" s="99"/>
      <c r="L75" s="99"/>
      <c r="M75" s="99"/>
      <c r="N75" s="99"/>
      <c r="O75" s="99"/>
      <c r="P75" s="99"/>
      <c r="Q75" s="99"/>
      <c r="R75" s="99"/>
      <c r="S75" s="99"/>
      <c r="T75" s="99"/>
      <c r="U75" s="99"/>
      <c r="V75" s="99"/>
      <c r="W75" s="99"/>
      <c r="X75" s="99"/>
      <c r="Y75" s="99"/>
      <c r="Z75" s="99"/>
      <c r="AA75" s="99"/>
      <c r="AB75" s="99"/>
      <c r="AC75" s="99"/>
      <c r="AD75" s="99"/>
      <c r="AE75" s="99"/>
      <c r="AF75" s="99"/>
      <c r="AG75" s="99"/>
      <c r="AH75" s="99"/>
      <c r="AI75" s="99"/>
      <c r="AJ75" s="99"/>
      <c r="AK75" s="39"/>
      <c r="AL75" s="39"/>
      <c r="AM75" s="39"/>
      <c r="AN75" s="39"/>
      <c r="AO75" s="39"/>
      <c r="AP75" s="39"/>
      <c r="AQ75" s="39"/>
      <c r="AR75" s="39"/>
      <c r="AS75" s="39"/>
      <c r="AT75" s="39"/>
      <c r="AU75" s="39"/>
      <c r="AV75" s="39"/>
      <c r="AW75" s="39"/>
      <c r="AX75" s="39"/>
      <c r="AY75" s="39"/>
      <c r="AZ75" s="39"/>
      <c r="BA75" s="39"/>
      <c r="BB75" s="39"/>
      <c r="BC75" s="39"/>
    </row>
    <row r="76" spans="1:55" x14ac:dyDescent="0.35">
      <c r="A76" s="39"/>
      <c r="B76" s="39"/>
      <c r="C76" s="39"/>
      <c r="D76" s="99"/>
      <c r="E76" s="99"/>
      <c r="F76" s="99"/>
      <c r="G76" s="99"/>
      <c r="H76" s="99"/>
      <c r="I76" s="99"/>
      <c r="J76" s="99"/>
      <c r="K76" s="99"/>
      <c r="L76" s="99"/>
      <c r="M76" s="99"/>
      <c r="N76" s="99"/>
      <c r="O76" s="99"/>
      <c r="P76" s="99"/>
      <c r="Q76" s="99"/>
      <c r="R76" s="99"/>
      <c r="S76" s="99"/>
      <c r="T76" s="99"/>
      <c r="U76" s="99"/>
      <c r="V76" s="99"/>
      <c r="W76" s="99"/>
      <c r="X76" s="99"/>
      <c r="Y76" s="99"/>
      <c r="Z76" s="99"/>
      <c r="AA76" s="99"/>
      <c r="AB76" s="99"/>
      <c r="AC76" s="99"/>
      <c r="AD76" s="99"/>
      <c r="AE76" s="99"/>
      <c r="AF76" s="99"/>
      <c r="AG76" s="99"/>
      <c r="AH76" s="99"/>
      <c r="AI76" s="99"/>
      <c r="AJ76" s="99"/>
      <c r="AK76" s="39"/>
      <c r="AL76" s="39"/>
      <c r="AM76" s="39"/>
      <c r="AN76" s="39"/>
      <c r="AO76" s="39"/>
      <c r="AP76" s="39"/>
      <c r="AQ76" s="39"/>
      <c r="AR76" s="39"/>
      <c r="AS76" s="39"/>
      <c r="AT76" s="39"/>
      <c r="AU76" s="39"/>
      <c r="AV76" s="39"/>
      <c r="AW76" s="39"/>
      <c r="AX76" s="39"/>
      <c r="AY76" s="39"/>
      <c r="AZ76" s="39"/>
      <c r="BA76" s="39"/>
      <c r="BB76" s="39"/>
      <c r="BC76" s="39"/>
    </row>
    <row r="77" spans="1:55" x14ac:dyDescent="0.35">
      <c r="A77" s="39"/>
      <c r="B77" s="39"/>
      <c r="C77" s="39"/>
      <c r="D77" s="99"/>
      <c r="E77" s="99"/>
      <c r="F77" s="99"/>
      <c r="G77" s="99"/>
      <c r="H77" s="99"/>
      <c r="I77" s="99"/>
      <c r="J77" s="99"/>
      <c r="K77" s="99"/>
      <c r="L77" s="99"/>
      <c r="M77" s="99"/>
      <c r="N77" s="99"/>
      <c r="O77" s="99"/>
      <c r="P77" s="99"/>
      <c r="Q77" s="99"/>
      <c r="R77" s="99"/>
      <c r="S77" s="99"/>
      <c r="T77" s="99"/>
      <c r="U77" s="99"/>
      <c r="V77" s="99"/>
      <c r="W77" s="99"/>
      <c r="X77" s="99"/>
      <c r="Y77" s="99"/>
      <c r="Z77" s="99"/>
      <c r="AA77" s="99"/>
      <c r="AB77" s="99"/>
      <c r="AC77" s="99"/>
      <c r="AD77" s="99"/>
      <c r="AE77" s="99"/>
      <c r="AF77" s="99"/>
      <c r="AG77" s="99"/>
      <c r="AH77" s="99"/>
      <c r="AI77" s="99"/>
      <c r="AJ77" s="99"/>
      <c r="AK77" s="39"/>
      <c r="AL77" s="39"/>
      <c r="AM77" s="39"/>
      <c r="AN77" s="39"/>
      <c r="AO77" s="39"/>
      <c r="AP77" s="39"/>
      <c r="AQ77" s="39"/>
      <c r="AR77" s="39"/>
      <c r="AS77" s="39"/>
      <c r="AT77" s="39"/>
      <c r="AU77" s="39"/>
      <c r="AV77" s="39"/>
      <c r="AW77" s="39"/>
      <c r="AX77" s="39"/>
      <c r="AY77" s="39"/>
      <c r="AZ77" s="39"/>
      <c r="BA77" s="39"/>
      <c r="BB77" s="39"/>
      <c r="BC77" s="39"/>
    </row>
    <row r="78" spans="1:55" x14ac:dyDescent="0.35">
      <c r="A78" s="39"/>
      <c r="B78" s="39"/>
      <c r="C78" s="39"/>
      <c r="D78" s="99"/>
      <c r="E78" s="99"/>
      <c r="F78" s="99"/>
      <c r="G78" s="99"/>
      <c r="H78" s="99"/>
      <c r="I78" s="99"/>
      <c r="J78" s="99"/>
      <c r="K78" s="99"/>
      <c r="L78" s="99"/>
      <c r="M78" s="99"/>
      <c r="N78" s="99"/>
      <c r="O78" s="99"/>
      <c r="P78" s="99"/>
      <c r="Q78" s="99"/>
      <c r="R78" s="99"/>
      <c r="S78" s="99"/>
      <c r="T78" s="99"/>
      <c r="U78" s="99"/>
      <c r="V78" s="99"/>
      <c r="W78" s="99"/>
      <c r="X78" s="99"/>
      <c r="Y78" s="99"/>
      <c r="Z78" s="99"/>
      <c r="AA78" s="99"/>
      <c r="AB78" s="99"/>
      <c r="AC78" s="99"/>
      <c r="AD78" s="99"/>
      <c r="AE78" s="99"/>
      <c r="AF78" s="99"/>
      <c r="AG78" s="99"/>
      <c r="AH78" s="99"/>
      <c r="AI78" s="99"/>
      <c r="AJ78" s="99"/>
    </row>
    <row r="79" spans="1:55" x14ac:dyDescent="0.35">
      <c r="A79" s="39"/>
      <c r="B79" s="39"/>
      <c r="C79" s="39"/>
      <c r="D79" s="99"/>
      <c r="E79" s="99"/>
      <c r="F79" s="99"/>
      <c r="G79" s="99"/>
      <c r="H79" s="99"/>
      <c r="I79" s="99"/>
      <c r="J79" s="99"/>
      <c r="K79" s="99"/>
      <c r="L79" s="99"/>
      <c r="M79" s="99"/>
      <c r="N79" s="99"/>
      <c r="O79" s="99"/>
      <c r="P79" s="99"/>
      <c r="Q79" s="99"/>
      <c r="R79" s="99"/>
      <c r="S79" s="99"/>
      <c r="T79" s="99"/>
      <c r="U79" s="99"/>
      <c r="V79" s="99"/>
      <c r="W79" s="99"/>
      <c r="X79" s="99"/>
      <c r="Y79" s="99"/>
      <c r="Z79" s="99"/>
      <c r="AA79" s="99"/>
      <c r="AB79" s="99"/>
      <c r="AC79" s="99"/>
      <c r="AD79" s="99"/>
      <c r="AE79" s="99"/>
      <c r="AF79" s="99"/>
      <c r="AG79" s="99"/>
      <c r="AH79" s="99"/>
      <c r="AI79" s="99"/>
      <c r="AJ79" s="99"/>
    </row>
    <row r="80" spans="1:55" x14ac:dyDescent="0.35">
      <c r="A80" s="39"/>
      <c r="B80" s="39"/>
      <c r="C80" s="39"/>
      <c r="D80" s="99"/>
      <c r="E80" s="99"/>
      <c r="F80" s="99"/>
      <c r="G80" s="99"/>
      <c r="H80" s="99"/>
      <c r="I80" s="99"/>
      <c r="J80" s="99"/>
      <c r="K80" s="99"/>
      <c r="L80" s="99"/>
      <c r="M80" s="99"/>
      <c r="N80" s="99"/>
      <c r="O80" s="99"/>
      <c r="P80" s="99"/>
      <c r="Q80" s="99"/>
      <c r="R80" s="99"/>
      <c r="S80" s="99"/>
      <c r="T80" s="99"/>
      <c r="U80" s="99"/>
      <c r="V80" s="99"/>
      <c r="W80" s="99"/>
      <c r="X80" s="99"/>
      <c r="Y80" s="99"/>
      <c r="Z80" s="99"/>
      <c r="AA80" s="99"/>
      <c r="AB80" s="99"/>
      <c r="AC80" s="99"/>
      <c r="AD80" s="99"/>
      <c r="AE80" s="99"/>
      <c r="AF80" s="99"/>
      <c r="AG80" s="99"/>
      <c r="AH80" s="99"/>
      <c r="AI80" s="99"/>
      <c r="AJ80" s="99"/>
    </row>
    <row r="81" spans="1:36" x14ac:dyDescent="0.35">
      <c r="A81" s="39"/>
      <c r="B81" s="39"/>
      <c r="C81" s="39"/>
      <c r="D81" s="99"/>
      <c r="E81" s="99"/>
      <c r="F81" s="99"/>
      <c r="G81" s="99"/>
      <c r="H81" s="99"/>
      <c r="I81" s="99"/>
      <c r="J81" s="99"/>
      <c r="K81" s="99"/>
      <c r="L81" s="99"/>
      <c r="M81" s="99"/>
      <c r="N81" s="99"/>
      <c r="O81" s="99"/>
      <c r="P81" s="99"/>
      <c r="Q81" s="99"/>
      <c r="R81" s="99"/>
      <c r="S81" s="99"/>
      <c r="T81" s="99"/>
      <c r="U81" s="99"/>
      <c r="V81" s="99"/>
      <c r="W81" s="99"/>
      <c r="X81" s="99"/>
      <c r="Y81" s="99"/>
      <c r="Z81" s="99"/>
      <c r="AA81" s="99"/>
      <c r="AB81" s="99"/>
      <c r="AC81" s="99"/>
      <c r="AD81" s="99"/>
      <c r="AE81" s="99"/>
      <c r="AF81" s="99"/>
      <c r="AG81" s="99"/>
      <c r="AH81" s="99"/>
      <c r="AI81" s="99"/>
      <c r="AJ81" s="99"/>
    </row>
    <row r="82" spans="1:36" x14ac:dyDescent="0.35">
      <c r="A82" s="39"/>
      <c r="B82" s="39"/>
      <c r="C82" s="39"/>
      <c r="D82" s="99"/>
      <c r="E82" s="99"/>
      <c r="F82" s="99"/>
      <c r="G82" s="99"/>
      <c r="H82" s="99"/>
      <c r="I82" s="99"/>
      <c r="J82" s="99"/>
      <c r="K82" s="99"/>
      <c r="L82" s="99"/>
      <c r="M82" s="99"/>
      <c r="N82" s="99"/>
      <c r="O82" s="99"/>
      <c r="P82" s="99"/>
      <c r="Q82" s="99"/>
      <c r="R82" s="99"/>
      <c r="S82" s="99"/>
      <c r="T82" s="99"/>
      <c r="U82" s="99"/>
      <c r="V82" s="99"/>
      <c r="W82" s="99"/>
      <c r="X82" s="99"/>
      <c r="Y82" s="99"/>
      <c r="Z82" s="99"/>
      <c r="AA82" s="99"/>
      <c r="AB82" s="99"/>
      <c r="AC82" s="99"/>
      <c r="AD82" s="99"/>
      <c r="AE82" s="99"/>
      <c r="AF82" s="99"/>
      <c r="AG82" s="99"/>
      <c r="AH82" s="99"/>
      <c r="AI82" s="99"/>
      <c r="AJ82" s="99"/>
    </row>
    <row r="83" spans="1:36" x14ac:dyDescent="0.35">
      <c r="A83" s="39"/>
      <c r="B83" s="39"/>
      <c r="C83" s="39"/>
      <c r="D83" s="99"/>
      <c r="E83" s="99"/>
      <c r="F83" s="99"/>
      <c r="G83" s="99"/>
      <c r="H83" s="99"/>
      <c r="I83" s="99"/>
      <c r="J83" s="99"/>
      <c r="K83" s="99"/>
      <c r="L83" s="99"/>
      <c r="M83" s="99"/>
      <c r="N83" s="99"/>
      <c r="O83" s="99"/>
      <c r="P83" s="99"/>
      <c r="Q83" s="99"/>
      <c r="R83" s="99"/>
      <c r="S83" s="99"/>
      <c r="T83" s="99"/>
      <c r="U83" s="99"/>
      <c r="V83" s="99"/>
      <c r="W83" s="99"/>
      <c r="X83" s="99"/>
      <c r="Y83" s="99"/>
      <c r="Z83" s="99"/>
      <c r="AA83" s="99"/>
      <c r="AB83" s="99"/>
      <c r="AC83" s="99"/>
      <c r="AD83" s="99"/>
      <c r="AE83" s="99"/>
      <c r="AF83" s="99"/>
      <c r="AG83" s="99"/>
      <c r="AH83" s="99"/>
      <c r="AI83" s="99"/>
      <c r="AJ83" s="99"/>
    </row>
    <row r="84" spans="1:36" x14ac:dyDescent="0.35">
      <c r="A84" s="39"/>
      <c r="B84" s="39"/>
      <c r="C84" s="39"/>
      <c r="D84" s="99"/>
      <c r="E84" s="99"/>
      <c r="F84" s="99"/>
      <c r="G84" s="99"/>
      <c r="H84" s="99"/>
      <c r="I84" s="99"/>
      <c r="J84" s="99"/>
      <c r="K84" s="99"/>
      <c r="L84" s="99"/>
      <c r="M84" s="99"/>
      <c r="N84" s="99"/>
      <c r="O84" s="99"/>
      <c r="P84" s="99"/>
      <c r="Q84" s="99"/>
      <c r="R84" s="99"/>
      <c r="S84" s="99"/>
      <c r="T84" s="99"/>
      <c r="U84" s="99"/>
      <c r="V84" s="99"/>
      <c r="W84" s="99"/>
      <c r="X84" s="99"/>
      <c r="Y84" s="99"/>
      <c r="Z84" s="99"/>
      <c r="AA84" s="99"/>
      <c r="AB84" s="99"/>
      <c r="AC84" s="99"/>
      <c r="AD84" s="99"/>
      <c r="AE84" s="99"/>
      <c r="AF84" s="99"/>
      <c r="AG84" s="99"/>
      <c r="AH84" s="99"/>
      <c r="AI84" s="99"/>
      <c r="AJ84" s="99"/>
    </row>
    <row r="85" spans="1:36" x14ac:dyDescent="0.35">
      <c r="A85" s="39"/>
      <c r="B85" s="39"/>
      <c r="C85" s="39"/>
      <c r="D85" s="99"/>
      <c r="E85" s="99"/>
      <c r="F85" s="99"/>
      <c r="G85" s="99"/>
      <c r="H85" s="99"/>
      <c r="I85" s="99"/>
      <c r="J85" s="99"/>
      <c r="K85" s="99"/>
      <c r="L85" s="99"/>
      <c r="M85" s="99"/>
      <c r="N85" s="99"/>
      <c r="O85" s="99"/>
      <c r="P85" s="99"/>
      <c r="Q85" s="99"/>
      <c r="R85" s="99"/>
      <c r="S85" s="99"/>
      <c r="T85" s="99"/>
      <c r="U85" s="99"/>
      <c r="V85" s="99"/>
      <c r="W85" s="99"/>
      <c r="X85" s="99"/>
      <c r="Y85" s="99"/>
      <c r="Z85" s="99"/>
      <c r="AA85" s="99"/>
      <c r="AB85" s="99"/>
      <c r="AC85" s="99"/>
      <c r="AD85" s="99"/>
      <c r="AE85" s="99"/>
      <c r="AF85" s="99"/>
      <c r="AG85" s="99"/>
      <c r="AH85" s="99"/>
      <c r="AI85" s="99"/>
      <c r="AJ85" s="99"/>
    </row>
    <row r="86" spans="1:36" x14ac:dyDescent="0.35">
      <c r="A86" s="39"/>
      <c r="B86" s="39"/>
      <c r="C86" s="39"/>
      <c r="D86" s="99"/>
      <c r="E86" s="99"/>
      <c r="F86" s="99"/>
      <c r="G86" s="99"/>
      <c r="H86" s="99"/>
      <c r="I86" s="99"/>
      <c r="J86" s="99"/>
      <c r="K86" s="99"/>
      <c r="L86" s="99"/>
      <c r="M86" s="99"/>
      <c r="N86" s="99"/>
      <c r="O86" s="99"/>
      <c r="P86" s="99"/>
      <c r="Q86" s="99"/>
      <c r="R86" s="99"/>
      <c r="S86" s="99"/>
      <c r="T86" s="99"/>
      <c r="U86" s="99"/>
      <c r="V86" s="99"/>
      <c r="W86" s="99"/>
      <c r="X86" s="99"/>
      <c r="Y86" s="99"/>
      <c r="Z86" s="99"/>
      <c r="AA86" s="99"/>
      <c r="AB86" s="99"/>
      <c r="AC86" s="99"/>
      <c r="AD86" s="99"/>
      <c r="AE86" s="99"/>
      <c r="AF86" s="99"/>
      <c r="AG86" s="99"/>
      <c r="AH86" s="99"/>
      <c r="AI86" s="99"/>
      <c r="AJ86" s="99"/>
    </row>
    <row r="87" spans="1:36" hidden="1" x14ac:dyDescent="0.35">
      <c r="A87" s="39"/>
      <c r="B87" s="39"/>
      <c r="C87" s="39"/>
      <c r="D87" s="99"/>
      <c r="E87" s="99"/>
      <c r="F87" s="99"/>
      <c r="G87" s="99"/>
      <c r="H87" s="99"/>
      <c r="I87" s="99"/>
      <c r="J87" s="99"/>
      <c r="K87" s="99"/>
      <c r="L87" s="99"/>
      <c r="M87" s="99"/>
      <c r="N87" s="99"/>
      <c r="O87" s="99"/>
      <c r="P87" s="99"/>
      <c r="Q87" s="99"/>
      <c r="R87" s="99"/>
      <c r="S87" s="99"/>
      <c r="T87" s="99"/>
      <c r="U87" s="99"/>
      <c r="V87" s="99"/>
      <c r="W87" s="99"/>
      <c r="X87" s="99"/>
      <c r="Y87" s="99"/>
      <c r="Z87" s="99"/>
      <c r="AA87" s="99"/>
      <c r="AB87" s="99"/>
      <c r="AC87" s="99"/>
      <c r="AD87" s="99"/>
      <c r="AE87" s="99"/>
      <c r="AF87" s="99"/>
      <c r="AG87" s="99"/>
      <c r="AH87" s="99"/>
      <c r="AI87" s="99"/>
      <c r="AJ87" s="99"/>
    </row>
    <row r="88" spans="1:36" hidden="1" x14ac:dyDescent="0.35">
      <c r="A88" s="39"/>
      <c r="B88" s="39"/>
      <c r="C88" s="39"/>
      <c r="D88" s="99"/>
      <c r="E88" s="99"/>
      <c r="F88" s="99"/>
      <c r="G88" s="99"/>
      <c r="H88" s="99"/>
      <c r="I88" s="99"/>
      <c r="J88" s="99"/>
      <c r="K88" s="99"/>
      <c r="L88" s="99"/>
      <c r="M88" s="99"/>
      <c r="N88" s="99"/>
      <c r="O88" s="99"/>
      <c r="P88" s="99"/>
      <c r="Q88" s="99"/>
      <c r="R88" s="99"/>
      <c r="S88" s="99"/>
      <c r="T88" s="99"/>
      <c r="U88" s="99"/>
      <c r="V88" s="99"/>
      <c r="W88" s="99"/>
      <c r="X88" s="99"/>
      <c r="Y88" s="99"/>
      <c r="Z88" s="99"/>
      <c r="AA88" s="99"/>
      <c r="AB88" s="99"/>
      <c r="AC88" s="99"/>
      <c r="AD88" s="99"/>
      <c r="AE88" s="99"/>
      <c r="AF88" s="99"/>
      <c r="AG88" s="99"/>
      <c r="AH88" s="99"/>
      <c r="AI88" s="99"/>
      <c r="AJ88" s="99"/>
    </row>
    <row r="89" spans="1:36" hidden="1" x14ac:dyDescent="0.35">
      <c r="A89" s="39"/>
      <c r="B89" s="39"/>
      <c r="C89" s="39"/>
      <c r="D89" s="99"/>
      <c r="E89" s="99"/>
      <c r="F89" s="99"/>
      <c r="G89" s="99"/>
      <c r="H89" s="99"/>
      <c r="I89" s="99"/>
      <c r="J89" s="99"/>
      <c r="K89" s="99"/>
      <c r="L89" s="99"/>
      <c r="M89" s="99"/>
      <c r="N89" s="99"/>
      <c r="O89" s="99"/>
      <c r="P89" s="99"/>
      <c r="Q89" s="99"/>
      <c r="R89" s="99"/>
      <c r="S89" s="99"/>
      <c r="T89" s="99"/>
      <c r="U89" s="99"/>
      <c r="V89" s="99"/>
      <c r="W89" s="99"/>
      <c r="X89" s="99"/>
      <c r="Y89" s="99"/>
      <c r="Z89" s="99"/>
      <c r="AA89" s="99"/>
      <c r="AB89" s="99"/>
      <c r="AC89" s="99"/>
      <c r="AD89" s="99"/>
      <c r="AE89" s="99"/>
      <c r="AF89" s="99"/>
      <c r="AG89" s="99"/>
      <c r="AH89" s="99"/>
      <c r="AI89" s="99"/>
      <c r="AJ89" s="99"/>
    </row>
    <row r="90" spans="1:36" hidden="1" x14ac:dyDescent="0.35">
      <c r="A90" s="39"/>
      <c r="B90" s="39"/>
      <c r="C90" s="39"/>
      <c r="D90" s="99"/>
      <c r="E90" s="99"/>
      <c r="F90" s="99"/>
      <c r="G90" s="99"/>
      <c r="H90" s="99"/>
      <c r="I90" s="99"/>
      <c r="J90" s="99"/>
      <c r="K90" s="99"/>
      <c r="L90" s="99"/>
      <c r="M90" s="99"/>
      <c r="N90" s="99"/>
      <c r="O90" s="99"/>
      <c r="P90" s="99"/>
      <c r="Q90" s="99"/>
      <c r="R90" s="99"/>
      <c r="S90" s="99"/>
      <c r="T90" s="99"/>
      <c r="U90" s="99"/>
      <c r="V90" s="99"/>
      <c r="W90" s="99"/>
      <c r="X90" s="99"/>
      <c r="Y90" s="99"/>
      <c r="Z90" s="99"/>
      <c r="AA90" s="99"/>
      <c r="AB90" s="99"/>
      <c r="AC90" s="99"/>
      <c r="AD90" s="99"/>
      <c r="AE90" s="99"/>
      <c r="AF90" s="99"/>
      <c r="AG90" s="99"/>
      <c r="AH90" s="99"/>
      <c r="AI90" s="99"/>
      <c r="AJ90" s="99"/>
    </row>
    <row r="91" spans="1:36" hidden="1" x14ac:dyDescent="0.35">
      <c r="A91" s="39"/>
      <c r="B91" s="39"/>
      <c r="C91" s="39"/>
      <c r="D91" s="99"/>
      <c r="E91" s="99"/>
      <c r="F91" s="99"/>
      <c r="G91" s="99"/>
      <c r="H91" s="99"/>
      <c r="I91" s="99"/>
      <c r="J91" s="99"/>
      <c r="K91" s="99"/>
      <c r="L91" s="99"/>
      <c r="M91" s="99"/>
      <c r="N91" s="99"/>
      <c r="O91" s="99"/>
      <c r="P91" s="99"/>
      <c r="Q91" s="99"/>
      <c r="R91" s="99"/>
      <c r="S91" s="99"/>
      <c r="T91" s="99"/>
      <c r="U91" s="99"/>
      <c r="V91" s="99"/>
      <c r="W91" s="99"/>
      <c r="X91" s="99"/>
      <c r="Y91" s="99"/>
      <c r="Z91" s="99"/>
      <c r="AA91" s="99"/>
      <c r="AB91" s="99"/>
      <c r="AC91" s="99"/>
      <c r="AD91" s="99"/>
      <c r="AE91" s="99"/>
      <c r="AF91" s="99"/>
      <c r="AG91" s="99"/>
      <c r="AH91" s="99"/>
      <c r="AI91" s="99"/>
      <c r="AJ91" s="99"/>
    </row>
    <row r="92" spans="1:36" hidden="1" x14ac:dyDescent="0.35">
      <c r="A92" s="39"/>
      <c r="B92" s="39"/>
      <c r="C92" s="39"/>
      <c r="D92" s="99"/>
      <c r="E92" s="99"/>
      <c r="F92" s="99"/>
      <c r="G92" s="99"/>
      <c r="H92" s="99"/>
      <c r="I92" s="99"/>
      <c r="J92" s="99"/>
      <c r="K92" s="99"/>
      <c r="L92" s="99"/>
      <c r="M92" s="99"/>
      <c r="N92" s="99"/>
      <c r="O92" s="99"/>
      <c r="P92" s="99"/>
      <c r="Q92" s="99"/>
      <c r="R92" s="99"/>
      <c r="S92" s="99"/>
      <c r="T92" s="99"/>
      <c r="U92" s="99"/>
      <c r="V92" s="99"/>
      <c r="W92" s="99"/>
      <c r="X92" s="99"/>
      <c r="Y92" s="99"/>
      <c r="Z92" s="99"/>
      <c r="AA92" s="99"/>
      <c r="AB92" s="99"/>
      <c r="AC92" s="99"/>
      <c r="AD92" s="99"/>
      <c r="AE92" s="99"/>
      <c r="AF92" s="99"/>
      <c r="AG92" s="99"/>
      <c r="AH92" s="99"/>
      <c r="AI92" s="99"/>
      <c r="AJ92" s="99"/>
    </row>
    <row r="93" spans="1:36" hidden="1" x14ac:dyDescent="0.35">
      <c r="A93" s="39"/>
      <c r="B93" s="39"/>
      <c r="C93" s="39"/>
      <c r="D93" s="99"/>
      <c r="E93" s="99"/>
      <c r="F93" s="99"/>
      <c r="G93" s="99"/>
      <c r="H93" s="99"/>
      <c r="I93" s="99"/>
      <c r="J93" s="99"/>
      <c r="K93" s="99"/>
      <c r="L93" s="99"/>
      <c r="M93" s="99"/>
      <c r="N93" s="99"/>
      <c r="O93" s="99"/>
      <c r="P93" s="99"/>
      <c r="Q93" s="99"/>
      <c r="R93" s="99"/>
      <c r="S93" s="99"/>
      <c r="T93" s="99"/>
      <c r="U93" s="99"/>
      <c r="V93" s="99"/>
      <c r="W93" s="99"/>
      <c r="X93" s="99"/>
      <c r="Y93" s="99"/>
      <c r="Z93" s="99"/>
      <c r="AA93" s="99"/>
      <c r="AB93" s="99"/>
      <c r="AC93" s="99"/>
      <c r="AD93" s="99"/>
      <c r="AE93" s="99"/>
      <c r="AF93" s="99"/>
      <c r="AG93" s="99"/>
      <c r="AH93" s="99"/>
      <c r="AI93" s="99"/>
      <c r="AJ93" s="99"/>
    </row>
    <row r="94" spans="1:36" hidden="1" x14ac:dyDescent="0.35">
      <c r="A94" s="39"/>
      <c r="B94" s="39"/>
      <c r="C94" s="39"/>
      <c r="D94" s="99"/>
      <c r="E94" s="99"/>
      <c r="F94" s="99"/>
      <c r="G94" s="99"/>
      <c r="H94" s="99"/>
      <c r="I94" s="99"/>
      <c r="J94" s="99"/>
      <c r="K94" s="99"/>
      <c r="L94" s="99"/>
      <c r="M94" s="99"/>
      <c r="N94" s="99"/>
      <c r="O94" s="99"/>
      <c r="P94" s="99"/>
      <c r="Q94" s="99"/>
      <c r="R94" s="99"/>
      <c r="S94" s="99"/>
      <c r="T94" s="99"/>
      <c r="U94" s="99"/>
      <c r="V94" s="99"/>
      <c r="W94" s="99"/>
      <c r="X94" s="99"/>
      <c r="Y94" s="99"/>
      <c r="Z94" s="99"/>
      <c r="AA94" s="99"/>
      <c r="AB94" s="99"/>
      <c r="AC94" s="99"/>
      <c r="AD94" s="99"/>
      <c r="AE94" s="99"/>
      <c r="AF94" s="99"/>
      <c r="AG94" s="99"/>
      <c r="AH94" s="99"/>
      <c r="AI94" s="99"/>
      <c r="AJ94" s="99"/>
    </row>
    <row r="95" spans="1:36" hidden="1" x14ac:dyDescent="0.35">
      <c r="A95" s="39"/>
      <c r="B95" s="39"/>
      <c r="C95" s="39"/>
      <c r="D95" s="99"/>
      <c r="E95" s="99"/>
      <c r="F95" s="99"/>
      <c r="G95" s="99"/>
      <c r="H95" s="99"/>
      <c r="I95" s="99"/>
      <c r="J95" s="99"/>
      <c r="K95" s="99"/>
      <c r="L95" s="99"/>
      <c r="M95" s="99"/>
      <c r="N95" s="99"/>
      <c r="O95" s="99"/>
      <c r="P95" s="99"/>
      <c r="Q95" s="99"/>
      <c r="R95" s="99"/>
      <c r="S95" s="99"/>
      <c r="T95" s="99"/>
      <c r="U95" s="99"/>
      <c r="V95" s="99"/>
      <c r="W95" s="99"/>
      <c r="X95" s="99"/>
      <c r="Y95" s="99"/>
      <c r="Z95" s="99"/>
      <c r="AA95" s="99"/>
      <c r="AB95" s="99"/>
      <c r="AC95" s="99"/>
      <c r="AD95" s="99"/>
      <c r="AE95" s="99"/>
      <c r="AF95" s="99"/>
      <c r="AG95" s="99"/>
      <c r="AH95" s="99"/>
      <c r="AI95" s="99"/>
      <c r="AJ95" s="99"/>
    </row>
    <row r="96" spans="1:36" hidden="1" x14ac:dyDescent="0.35">
      <c r="A96" s="39"/>
      <c r="B96" s="39"/>
      <c r="C96" s="39"/>
      <c r="D96" s="99"/>
      <c r="E96" s="99"/>
      <c r="F96" s="99"/>
      <c r="G96" s="99"/>
      <c r="H96" s="99"/>
      <c r="I96" s="99"/>
      <c r="J96" s="99"/>
      <c r="K96" s="99"/>
      <c r="L96" s="99"/>
      <c r="M96" s="99"/>
      <c r="N96" s="99"/>
      <c r="O96" s="99"/>
      <c r="P96" s="99"/>
      <c r="Q96" s="99"/>
      <c r="R96" s="99"/>
      <c r="S96" s="99"/>
      <c r="T96" s="99"/>
      <c r="U96" s="99"/>
      <c r="V96" s="99"/>
      <c r="W96" s="99"/>
      <c r="X96" s="99"/>
      <c r="Y96" s="99"/>
      <c r="Z96" s="99"/>
      <c r="AA96" s="99"/>
      <c r="AB96" s="99"/>
      <c r="AC96" s="99"/>
      <c r="AD96" s="99"/>
      <c r="AE96" s="99"/>
      <c r="AF96" s="99"/>
      <c r="AG96" s="99"/>
      <c r="AH96" s="99"/>
      <c r="AI96" s="99"/>
      <c r="AJ96" s="99"/>
    </row>
    <row r="97" spans="1:36" hidden="1" x14ac:dyDescent="0.35">
      <c r="A97" s="39"/>
      <c r="B97" s="39"/>
      <c r="C97" s="3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row>
    <row r="98" spans="1:36" hidden="1" x14ac:dyDescent="0.35">
      <c r="A98" s="39"/>
      <c r="B98" s="39"/>
      <c r="C98" s="39"/>
      <c r="D98" s="99"/>
      <c r="E98" s="99"/>
      <c r="F98" s="99"/>
      <c r="G98" s="99"/>
      <c r="H98" s="99"/>
      <c r="I98" s="99"/>
      <c r="J98" s="99"/>
      <c r="K98" s="99"/>
      <c r="L98" s="99"/>
      <c r="M98" s="99"/>
      <c r="N98" s="99"/>
      <c r="O98" s="99"/>
      <c r="P98" s="99"/>
      <c r="Q98" s="99"/>
      <c r="R98" s="99"/>
      <c r="S98" s="99"/>
      <c r="T98" s="99"/>
      <c r="U98" s="99"/>
      <c r="V98" s="99"/>
      <c r="W98" s="99"/>
      <c r="X98" s="99"/>
      <c r="Y98" s="99"/>
      <c r="Z98" s="99"/>
      <c r="AA98" s="99"/>
      <c r="AB98" s="99"/>
      <c r="AC98" s="99"/>
      <c r="AD98" s="99"/>
      <c r="AE98" s="99"/>
      <c r="AF98" s="99"/>
      <c r="AG98" s="99"/>
      <c r="AH98" s="99"/>
      <c r="AI98" s="99"/>
      <c r="AJ98" s="99"/>
    </row>
    <row r="99" spans="1:36" hidden="1" x14ac:dyDescent="0.35">
      <c r="A99" s="39"/>
      <c r="B99" s="39"/>
      <c r="C99" s="39"/>
      <c r="D99" s="99"/>
      <c r="E99" s="99"/>
      <c r="F99" s="99"/>
      <c r="G99" s="99"/>
      <c r="H99" s="99"/>
      <c r="I99" s="99"/>
      <c r="J99" s="99"/>
      <c r="K99" s="99"/>
      <c r="L99" s="99"/>
      <c r="M99" s="99"/>
      <c r="N99" s="99"/>
      <c r="O99" s="99"/>
      <c r="P99" s="99"/>
      <c r="Q99" s="99"/>
      <c r="R99" s="99"/>
      <c r="S99" s="99"/>
      <c r="T99" s="99"/>
      <c r="U99" s="99"/>
      <c r="V99" s="99"/>
      <c r="W99" s="99"/>
      <c r="X99" s="99"/>
      <c r="Y99" s="99"/>
      <c r="Z99" s="99"/>
      <c r="AA99" s="99"/>
      <c r="AB99" s="99"/>
      <c r="AC99" s="99"/>
      <c r="AD99" s="99"/>
      <c r="AE99" s="99"/>
      <c r="AF99" s="99"/>
      <c r="AG99" s="99"/>
      <c r="AH99" s="99"/>
      <c r="AI99" s="99"/>
      <c r="AJ99" s="99"/>
    </row>
    <row r="100" spans="1:36" hidden="1" x14ac:dyDescent="0.35">
      <c r="A100" s="39"/>
      <c r="B100" s="39"/>
      <c r="C100" s="39"/>
    </row>
    <row r="101" spans="1:36" x14ac:dyDescent="0.35"/>
    <row r="102" spans="1:36" x14ac:dyDescent="0.35"/>
  </sheetData>
  <mergeCells count="1">
    <mergeCell ref="B47:N48"/>
  </mergeCells>
  <pageMargins left="0.7" right="0.7" top="0.78740157499999996" bottom="0.78740157499999996"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8"/>
  <dimension ref="A1:MF636"/>
  <sheetViews>
    <sheetView zoomScale="70" zoomScaleNormal="70" workbookViewId="0"/>
  </sheetViews>
  <sheetFormatPr defaultColWidth="0" defaultRowHeight="14.5" zeroHeight="1" x14ac:dyDescent="0.35"/>
  <cols>
    <col min="1" max="1" width="13.6328125" style="105" customWidth="1"/>
    <col min="2" max="2" width="14" style="105" customWidth="1"/>
    <col min="3" max="26" width="12.90625" style="105" customWidth="1"/>
    <col min="27" max="32" width="0" style="105" hidden="1" customWidth="1"/>
    <col min="33" max="16384" width="11.54296875" style="105" hidden="1"/>
  </cols>
  <sheetData>
    <row r="1" spans="1:344" x14ac:dyDescent="0.35">
      <c r="A1" s="104"/>
      <c r="B1" s="104"/>
      <c r="C1" s="104"/>
      <c r="D1" s="104"/>
      <c r="E1" s="104"/>
      <c r="F1" s="104"/>
      <c r="G1" s="104"/>
      <c r="H1" s="104"/>
      <c r="I1" s="104"/>
      <c r="J1" s="104"/>
      <c r="K1" s="104"/>
      <c r="L1" s="104"/>
      <c r="M1" s="104"/>
      <c r="N1" s="104"/>
      <c r="O1" s="104"/>
      <c r="P1" s="104"/>
      <c r="Q1" s="104"/>
      <c r="R1" s="104"/>
      <c r="S1" s="104"/>
      <c r="T1" s="104"/>
      <c r="U1" s="104"/>
      <c r="V1" s="104"/>
      <c r="W1" s="104"/>
      <c r="X1" s="104"/>
      <c r="Y1" s="104"/>
      <c r="Z1" s="104"/>
    </row>
    <row r="2" spans="1:344" x14ac:dyDescent="0.35">
      <c r="A2" s="104"/>
      <c r="B2" s="104"/>
      <c r="C2" s="104"/>
      <c r="D2" s="104"/>
      <c r="E2" s="104"/>
      <c r="F2" s="104"/>
      <c r="G2" s="104"/>
      <c r="H2" s="104"/>
      <c r="I2" s="104"/>
      <c r="J2" s="104"/>
      <c r="K2" s="104"/>
      <c r="L2" s="104"/>
      <c r="M2" s="104"/>
      <c r="N2" s="104"/>
      <c r="O2" s="104"/>
      <c r="P2" s="104"/>
      <c r="Q2" s="104"/>
      <c r="R2" s="104"/>
      <c r="S2" s="104"/>
      <c r="T2" s="104"/>
      <c r="U2" s="104"/>
      <c r="V2" s="104"/>
      <c r="W2" s="104"/>
      <c r="X2" s="104"/>
      <c r="Y2" s="104"/>
      <c r="Z2" s="104"/>
    </row>
    <row r="3" spans="1:344" x14ac:dyDescent="0.35">
      <c r="A3" s="104"/>
      <c r="B3" s="104"/>
      <c r="C3" s="104"/>
      <c r="D3" s="104" t="s">
        <v>1269</v>
      </c>
      <c r="E3" s="104"/>
      <c r="F3" s="104"/>
      <c r="G3" s="104"/>
      <c r="H3" s="104"/>
      <c r="I3" s="104"/>
      <c r="J3" s="104"/>
      <c r="K3" s="104"/>
      <c r="L3" s="104"/>
      <c r="M3" s="104"/>
      <c r="N3" s="104"/>
      <c r="O3" s="104"/>
      <c r="P3" s="104"/>
      <c r="Q3" s="104"/>
      <c r="R3" s="104"/>
      <c r="S3" s="104"/>
      <c r="T3" s="104"/>
      <c r="U3" s="104"/>
      <c r="V3" s="104"/>
      <c r="W3" s="104"/>
      <c r="X3" s="104"/>
      <c r="Y3" s="104"/>
      <c r="Z3" s="104"/>
    </row>
    <row r="4" spans="1:344" ht="14.4" customHeight="1" thickBot="1" x14ac:dyDescent="0.4">
      <c r="A4" s="104"/>
      <c r="B4" s="104"/>
      <c r="C4" s="104"/>
      <c r="D4" s="104"/>
      <c r="E4" s="104"/>
      <c r="F4" s="104"/>
      <c r="G4" s="104"/>
      <c r="H4" s="104"/>
      <c r="I4" s="104"/>
      <c r="J4" s="104"/>
      <c r="K4" s="104"/>
      <c r="L4" s="104"/>
      <c r="M4" s="104"/>
      <c r="N4" s="104"/>
      <c r="O4" s="104"/>
      <c r="P4" s="104"/>
      <c r="Q4" s="104"/>
      <c r="R4" s="104"/>
      <c r="S4" s="104"/>
      <c r="T4" s="104"/>
      <c r="U4" s="104"/>
      <c r="V4" s="104"/>
      <c r="W4" s="104"/>
      <c r="X4" s="104"/>
      <c r="Y4" s="104"/>
      <c r="Z4" s="104"/>
    </row>
    <row r="5" spans="1:344" x14ac:dyDescent="0.35">
      <c r="A5" s="833" t="s">
        <v>1670</v>
      </c>
      <c r="B5" s="835" t="s">
        <v>2009</v>
      </c>
      <c r="C5" s="104"/>
      <c r="D5" s="104"/>
      <c r="E5" s="104"/>
      <c r="F5" s="104"/>
      <c r="G5" s="104"/>
      <c r="H5" s="104"/>
      <c r="I5" s="104"/>
      <c r="J5" s="104"/>
      <c r="K5" s="104"/>
      <c r="L5" s="104"/>
      <c r="M5" s="104"/>
      <c r="N5" s="104"/>
      <c r="O5" s="104"/>
      <c r="P5" s="104"/>
      <c r="Q5" s="104"/>
      <c r="R5" s="104"/>
      <c r="S5" s="104"/>
      <c r="T5" s="104"/>
      <c r="U5" s="104"/>
      <c r="V5" s="104"/>
      <c r="W5" s="104"/>
      <c r="X5" s="104"/>
      <c r="Y5" s="104"/>
      <c r="Z5" s="104"/>
    </row>
    <row r="6" spans="1:344" ht="15" thickBot="1" x14ac:dyDescent="0.4">
      <c r="A6" s="834"/>
      <c r="B6" s="836"/>
      <c r="C6" s="104"/>
      <c r="D6" s="104"/>
      <c r="F6" s="104"/>
      <c r="G6" s="104"/>
      <c r="H6" s="104"/>
      <c r="I6" s="104"/>
      <c r="J6" s="104"/>
      <c r="K6" s="104"/>
      <c r="L6" s="104"/>
      <c r="M6" s="104"/>
      <c r="N6" s="104"/>
      <c r="O6" s="104"/>
      <c r="P6" s="104"/>
      <c r="Q6" s="104"/>
      <c r="R6" s="104"/>
      <c r="S6" s="104"/>
      <c r="T6" s="104"/>
      <c r="U6" s="104"/>
      <c r="V6" s="104"/>
      <c r="W6" s="104"/>
      <c r="X6" s="104"/>
      <c r="Y6" s="104"/>
      <c r="Z6" s="104"/>
    </row>
    <row r="7" spans="1:344" ht="29" customHeight="1" thickBot="1" x14ac:dyDescent="0.4">
      <c r="A7" s="663" t="s">
        <v>1221</v>
      </c>
      <c r="B7" s="673">
        <v>2</v>
      </c>
      <c r="C7" s="39"/>
      <c r="D7" s="39"/>
      <c r="E7" s="39"/>
      <c r="F7" s="39"/>
      <c r="G7" s="39"/>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c r="JA7"/>
      <c r="JB7"/>
      <c r="JC7"/>
      <c r="JD7"/>
      <c r="JE7"/>
      <c r="JF7"/>
      <c r="JG7"/>
      <c r="JH7"/>
      <c r="JI7"/>
      <c r="JJ7"/>
      <c r="JK7"/>
      <c r="JL7"/>
      <c r="JM7"/>
      <c r="JN7"/>
      <c r="JO7"/>
      <c r="JP7"/>
      <c r="JQ7"/>
      <c r="JR7"/>
      <c r="JS7"/>
      <c r="JT7"/>
      <c r="JU7"/>
      <c r="JV7"/>
      <c r="JW7"/>
      <c r="JX7"/>
      <c r="JY7"/>
      <c r="JZ7"/>
      <c r="KA7"/>
      <c r="KB7"/>
      <c r="KC7"/>
      <c r="KD7"/>
      <c r="KE7"/>
      <c r="KF7"/>
      <c r="KG7"/>
      <c r="KH7"/>
      <c r="KI7"/>
      <c r="KJ7"/>
      <c r="KK7"/>
      <c r="KL7"/>
      <c r="KM7"/>
      <c r="KN7"/>
      <c r="KO7"/>
      <c r="KP7"/>
      <c r="KQ7"/>
      <c r="KR7"/>
      <c r="KS7"/>
      <c r="KT7"/>
      <c r="KU7"/>
      <c r="KV7"/>
      <c r="KW7"/>
      <c r="KX7"/>
      <c r="KY7"/>
      <c r="KZ7"/>
      <c r="LA7"/>
      <c r="LB7"/>
      <c r="LC7"/>
      <c r="LD7"/>
      <c r="LE7"/>
      <c r="LF7"/>
      <c r="LG7"/>
      <c r="LH7"/>
      <c r="LI7"/>
      <c r="LJ7"/>
      <c r="LK7"/>
      <c r="LL7"/>
      <c r="LM7"/>
      <c r="LN7"/>
      <c r="LO7"/>
      <c r="LP7"/>
      <c r="LQ7"/>
      <c r="LR7"/>
      <c r="LS7"/>
      <c r="LT7"/>
      <c r="LU7"/>
      <c r="LV7"/>
      <c r="LW7"/>
      <c r="LX7"/>
      <c r="LY7"/>
      <c r="LZ7"/>
      <c r="MA7"/>
      <c r="MB7"/>
      <c r="MC7"/>
      <c r="MD7"/>
      <c r="ME7"/>
      <c r="MF7"/>
    </row>
    <row r="8" spans="1:344" ht="29" customHeight="1" thickTop="1" x14ac:dyDescent="0.35">
      <c r="A8" s="104"/>
      <c r="B8" s="39"/>
      <c r="C8" s="39"/>
      <c r="D8" s="39"/>
      <c r="E8" s="39"/>
      <c r="F8" s="104"/>
      <c r="G8" s="766" t="s">
        <v>1219</v>
      </c>
      <c r="H8" s="766" t="s">
        <v>1231</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row>
    <row r="9" spans="1:344" ht="29" customHeight="1" x14ac:dyDescent="0.35">
      <c r="A9" s="104"/>
      <c r="B9" s="39"/>
      <c r="C9" s="100"/>
      <c r="D9" s="100"/>
      <c r="E9" s="100"/>
      <c r="F9" s="761" t="s">
        <v>1262</v>
      </c>
      <c r="G9" s="765">
        <v>600</v>
      </c>
      <c r="H9" s="765">
        <v>600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row>
    <row r="10" spans="1:344" ht="29" customHeight="1" x14ac:dyDescent="0.35">
      <c r="A10" s="104"/>
      <c r="B10" s="100"/>
      <c r="C10" s="672"/>
      <c r="D10" s="672"/>
      <c r="E10" s="672"/>
      <c r="F10" s="762" t="s">
        <v>1672</v>
      </c>
      <c r="G10" s="765">
        <v>4</v>
      </c>
      <c r="H10" s="765">
        <v>4</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c r="JA10"/>
      <c r="JB10"/>
      <c r="JC10"/>
      <c r="JD10"/>
      <c r="JE10"/>
      <c r="JF10"/>
      <c r="JG10"/>
      <c r="JH10"/>
      <c r="JI10"/>
      <c r="JJ10"/>
      <c r="JK10"/>
      <c r="JL10"/>
      <c r="JM10"/>
      <c r="JN10"/>
      <c r="JO10"/>
      <c r="JP10"/>
      <c r="JQ10"/>
      <c r="JR10"/>
      <c r="JS10"/>
      <c r="JT10"/>
      <c r="JU10"/>
      <c r="JV10"/>
      <c r="JW10"/>
      <c r="JX10"/>
      <c r="JY10"/>
      <c r="JZ10"/>
      <c r="KA10"/>
      <c r="KB10"/>
      <c r="KC10"/>
      <c r="KD10"/>
      <c r="KE10"/>
      <c r="KF10"/>
      <c r="KG10"/>
      <c r="KH10"/>
      <c r="KI10"/>
      <c r="KJ10"/>
      <c r="KK10"/>
      <c r="KL10"/>
      <c r="KM10"/>
      <c r="KN10"/>
      <c r="KO10"/>
      <c r="KP10"/>
      <c r="KQ10"/>
      <c r="KR10"/>
      <c r="KS10"/>
      <c r="KT10"/>
      <c r="KU10"/>
      <c r="KV10"/>
      <c r="KW10"/>
      <c r="KX10"/>
      <c r="KY10"/>
      <c r="KZ10"/>
      <c r="LA10"/>
      <c r="LB10"/>
      <c r="LC10"/>
      <c r="LD10"/>
      <c r="LE10"/>
      <c r="LF10"/>
      <c r="LG10"/>
      <c r="LH10"/>
      <c r="LI10"/>
      <c r="LJ10"/>
      <c r="LK10"/>
      <c r="LL10"/>
      <c r="LM10"/>
      <c r="LN10"/>
      <c r="LO10"/>
      <c r="LP10"/>
      <c r="LQ10"/>
      <c r="LR10"/>
      <c r="LS10"/>
      <c r="LT10"/>
      <c r="LU10"/>
      <c r="LV10"/>
      <c r="LW10"/>
      <c r="LX10"/>
      <c r="LY10"/>
      <c r="LZ10"/>
      <c r="MA10"/>
      <c r="MB10"/>
      <c r="MC10"/>
      <c r="MD10"/>
      <c r="ME10"/>
      <c r="MF10"/>
    </row>
    <row r="11" spans="1:344" ht="29" customHeight="1" x14ac:dyDescent="0.35">
      <c r="A11" s="104"/>
      <c r="B11" s="100"/>
      <c r="C11" s="672"/>
      <c r="D11" s="672"/>
      <c r="E11" s="672"/>
      <c r="F11" s="761" t="s">
        <v>1673</v>
      </c>
      <c r="G11" s="765">
        <v>10000</v>
      </c>
      <c r="H11" s="765">
        <v>10000</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c r="JA11"/>
      <c r="JB11"/>
      <c r="JC11"/>
      <c r="JD11"/>
      <c r="JE11"/>
      <c r="JF11"/>
      <c r="JG11"/>
      <c r="JH11"/>
      <c r="JI11"/>
      <c r="JJ11"/>
      <c r="JK11"/>
      <c r="JL11"/>
      <c r="JM11"/>
      <c r="JN11"/>
      <c r="JO11"/>
      <c r="JP11"/>
      <c r="JQ11"/>
      <c r="JR11"/>
      <c r="JS11"/>
      <c r="JT11"/>
      <c r="JU11"/>
      <c r="JV11"/>
      <c r="JW11"/>
      <c r="JX11"/>
      <c r="JY11"/>
      <c r="JZ11"/>
      <c r="KA11"/>
      <c r="KB11"/>
      <c r="KC11"/>
      <c r="KD11"/>
      <c r="KE11"/>
      <c r="KF11"/>
      <c r="KG11"/>
      <c r="KH11"/>
      <c r="KI11"/>
      <c r="KJ11"/>
      <c r="KK11"/>
      <c r="KL11"/>
      <c r="KM11"/>
      <c r="KN11"/>
      <c r="KO11"/>
      <c r="KP11"/>
      <c r="KQ11"/>
      <c r="KR11"/>
      <c r="KS11"/>
      <c r="KT11"/>
      <c r="KU11"/>
      <c r="KV11"/>
      <c r="KW11"/>
      <c r="KX11"/>
      <c r="KY11"/>
      <c r="KZ11"/>
      <c r="LA11"/>
      <c r="LB11"/>
      <c r="LC11"/>
      <c r="LD11"/>
      <c r="LE11"/>
      <c r="LF11"/>
      <c r="LG11"/>
      <c r="LH11"/>
      <c r="LI11"/>
      <c r="LJ11"/>
      <c r="LK11"/>
      <c r="LL11"/>
      <c r="LM11"/>
      <c r="LN11"/>
      <c r="LO11"/>
      <c r="LP11"/>
      <c r="LQ11"/>
      <c r="LR11"/>
      <c r="LS11"/>
      <c r="LT11"/>
      <c r="LU11"/>
      <c r="LV11"/>
      <c r="LW11"/>
      <c r="LX11"/>
      <c r="LY11"/>
      <c r="LZ11"/>
      <c r="MA11"/>
      <c r="MB11"/>
      <c r="MC11"/>
      <c r="MD11"/>
      <c r="ME11"/>
      <c r="MF11"/>
    </row>
    <row r="12" spans="1:344" ht="29" customHeight="1" x14ac:dyDescent="0.35">
      <c r="A12" s="104"/>
      <c r="B12" s="100"/>
      <c r="C12" s="672"/>
      <c r="D12" s="672"/>
      <c r="E12" s="672"/>
      <c r="F12" s="763"/>
      <c r="G12" s="767" t="s">
        <v>1220</v>
      </c>
      <c r="H12" s="767" t="s">
        <v>1220</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row>
    <row r="13" spans="1:344" ht="29" customHeight="1" x14ac:dyDescent="0.35">
      <c r="A13" s="104"/>
      <c r="B13" s="100"/>
      <c r="C13" s="672"/>
      <c r="D13" s="672"/>
      <c r="E13" s="672"/>
      <c r="F13" s="764" t="s">
        <v>1665</v>
      </c>
      <c r="G13" s="768">
        <v>0</v>
      </c>
      <c r="H13" s="768">
        <v>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row>
    <row r="14" spans="1:344" ht="29" customHeight="1" x14ac:dyDescent="0.35">
      <c r="A14" s="104"/>
      <c r="B14" s="100"/>
      <c r="C14" s="672"/>
      <c r="D14" s="672"/>
      <c r="E14" s="672"/>
      <c r="F14" s="764" t="s">
        <v>1662</v>
      </c>
      <c r="G14" s="768">
        <v>233.89012702154142</v>
      </c>
      <c r="H14" s="768">
        <v>233.89012702154142</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c r="FI14"/>
      <c r="FJ14"/>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c r="JA14"/>
      <c r="JB14"/>
      <c r="JC14"/>
      <c r="JD14"/>
      <c r="JE14"/>
      <c r="JF14"/>
      <c r="JG14"/>
      <c r="JH14"/>
      <c r="JI14"/>
      <c r="JJ14"/>
      <c r="JK14"/>
      <c r="JL14"/>
      <c r="JM14"/>
      <c r="JN14"/>
      <c r="JO14"/>
      <c r="JP14"/>
      <c r="JQ14"/>
      <c r="JR14"/>
      <c r="JS14"/>
      <c r="JT14"/>
      <c r="JU14"/>
      <c r="JV14"/>
      <c r="JW14"/>
      <c r="JX14"/>
      <c r="JY14"/>
      <c r="JZ14"/>
      <c r="KA14"/>
      <c r="KB14"/>
      <c r="KC14"/>
      <c r="KD14"/>
      <c r="KE14"/>
      <c r="KF14"/>
      <c r="KG14"/>
      <c r="KH14"/>
      <c r="KI14"/>
      <c r="KJ14"/>
      <c r="KK14"/>
      <c r="KL14"/>
      <c r="KM14"/>
      <c r="KN14"/>
      <c r="KO14"/>
      <c r="KP14"/>
      <c r="KQ14"/>
      <c r="KR14"/>
      <c r="KS14"/>
      <c r="KT14"/>
      <c r="KU14"/>
      <c r="KV14"/>
      <c r="KW14"/>
      <c r="KX14"/>
      <c r="KY14"/>
      <c r="KZ14"/>
      <c r="LA14"/>
      <c r="LB14"/>
      <c r="LC14"/>
      <c r="LD14"/>
      <c r="LE14"/>
      <c r="LF14"/>
      <c r="LG14"/>
      <c r="LH14"/>
      <c r="LI14"/>
      <c r="LJ14"/>
      <c r="LK14"/>
      <c r="LL14"/>
      <c r="LM14"/>
      <c r="LN14"/>
      <c r="LO14"/>
      <c r="LP14"/>
      <c r="LQ14"/>
      <c r="LR14"/>
      <c r="LS14"/>
      <c r="LT14"/>
      <c r="LU14"/>
      <c r="LV14"/>
      <c r="LW14"/>
      <c r="LX14"/>
      <c r="LY14"/>
      <c r="LZ14"/>
      <c r="MA14"/>
      <c r="MB14"/>
      <c r="MC14"/>
      <c r="MD14"/>
      <c r="ME14"/>
      <c r="MF14"/>
    </row>
    <row r="15" spans="1:344" ht="29" customHeight="1" x14ac:dyDescent="0.35">
      <c r="A15" s="104"/>
      <c r="B15" s="100"/>
      <c r="C15" s="672"/>
      <c r="D15" s="672"/>
      <c r="E15" s="672"/>
      <c r="F15" s="764" t="s">
        <v>1259</v>
      </c>
      <c r="G15" s="768">
        <v>1.9260681608594872</v>
      </c>
      <c r="H15" s="768">
        <v>1.9260681608594872</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c r="ED15"/>
      <c r="EE15"/>
      <c r="EF15"/>
      <c r="EG15"/>
      <c r="EH15"/>
      <c r="EI15"/>
      <c r="EJ15"/>
      <c r="EK15"/>
      <c r="EL15"/>
      <c r="EM15"/>
      <c r="EN15"/>
      <c r="EO15"/>
      <c r="EP15"/>
      <c r="EQ15"/>
      <c r="ER15"/>
      <c r="ES15"/>
      <c r="ET15"/>
      <c r="EU15"/>
      <c r="EV15"/>
      <c r="EW15"/>
      <c r="EX15"/>
      <c r="EY15"/>
      <c r="EZ15"/>
      <c r="FA15"/>
      <c r="FB15"/>
      <c r="FC15"/>
      <c r="FD15"/>
      <c r="FE15"/>
      <c r="FF15"/>
      <c r="FG15"/>
      <c r="FH15"/>
      <c r="FI15"/>
      <c r="FJ15"/>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c r="JA15"/>
      <c r="JB15"/>
      <c r="JC15"/>
      <c r="JD15"/>
      <c r="JE15"/>
      <c r="JF15"/>
      <c r="JG15"/>
      <c r="JH15"/>
      <c r="JI15"/>
      <c r="JJ15"/>
      <c r="JK15"/>
      <c r="JL15"/>
      <c r="JM15"/>
      <c r="JN15"/>
      <c r="JO15"/>
      <c r="JP15"/>
      <c r="JQ15"/>
      <c r="JR15"/>
      <c r="JS15"/>
      <c r="JT15"/>
      <c r="JU15"/>
      <c r="JV15"/>
      <c r="JW15"/>
      <c r="JX15"/>
      <c r="JY15"/>
      <c r="JZ15"/>
      <c r="KA15"/>
      <c r="KB15"/>
      <c r="KC15"/>
      <c r="KD15"/>
      <c r="KE15"/>
      <c r="KF15"/>
      <c r="KG15"/>
      <c r="KH15"/>
      <c r="KI15"/>
      <c r="KJ15"/>
      <c r="KK15"/>
      <c r="KL15"/>
      <c r="KM15"/>
      <c r="KN15"/>
      <c r="KO15"/>
      <c r="KP15"/>
      <c r="KQ15"/>
      <c r="KR15"/>
      <c r="KS15"/>
      <c r="KT15"/>
      <c r="KU15"/>
      <c r="KV15"/>
      <c r="KW15"/>
      <c r="KX15"/>
      <c r="KY15"/>
      <c r="KZ15"/>
      <c r="LA15"/>
      <c r="LB15"/>
      <c r="LC15"/>
      <c r="LD15"/>
      <c r="LE15"/>
      <c r="LF15"/>
      <c r="LG15"/>
      <c r="LH15"/>
      <c r="LI15"/>
      <c r="LJ15"/>
      <c r="LK15"/>
      <c r="LL15"/>
      <c r="LM15"/>
      <c r="LN15"/>
      <c r="LO15"/>
      <c r="LP15"/>
      <c r="LQ15"/>
      <c r="LR15"/>
      <c r="LS15"/>
      <c r="LT15"/>
      <c r="LU15"/>
      <c r="LV15"/>
      <c r="LW15"/>
      <c r="LX15"/>
      <c r="LY15"/>
      <c r="LZ15"/>
      <c r="MA15"/>
      <c r="MB15"/>
      <c r="MC15"/>
      <c r="MD15"/>
      <c r="ME15"/>
      <c r="MF15"/>
    </row>
    <row r="16" spans="1:344" ht="29" customHeight="1" x14ac:dyDescent="0.35">
      <c r="A16" s="104"/>
      <c r="B16" s="671"/>
      <c r="C16" s="39"/>
      <c r="D16" s="39"/>
      <c r="E16" s="39"/>
      <c r="F16" s="764" t="s">
        <v>1260</v>
      </c>
      <c r="G16" s="768">
        <v>0</v>
      </c>
      <c r="H16" s="768">
        <v>0</v>
      </c>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row>
    <row r="17" spans="1:344" ht="29" customHeight="1" x14ac:dyDescent="0.35">
      <c r="A17" s="104"/>
      <c r="B17" s="39"/>
      <c r="C17" s="39"/>
      <c r="D17" s="39"/>
      <c r="E17" s="39"/>
      <c r="F17" s="764" t="s">
        <v>1199</v>
      </c>
      <c r="G17" s="768">
        <v>4732.2879999999996</v>
      </c>
      <c r="H17" s="768">
        <v>4732.2879999999996</v>
      </c>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row>
    <row r="18" spans="1:344" ht="29" customHeight="1" x14ac:dyDescent="0.35">
      <c r="A18" s="104"/>
      <c r="B18" s="39"/>
      <c r="C18" s="39"/>
      <c r="D18" s="39"/>
      <c r="E18" s="39"/>
      <c r="F18" s="764" t="s">
        <v>1081</v>
      </c>
      <c r="G18" s="768">
        <v>0</v>
      </c>
      <c r="H18" s="768">
        <v>0</v>
      </c>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c r="ED18"/>
      <c r="EE18"/>
      <c r="EF18"/>
      <c r="EG18"/>
      <c r="EH18"/>
      <c r="EI18"/>
      <c r="EJ18"/>
      <c r="EK18"/>
      <c r="EL18"/>
      <c r="EM18"/>
      <c r="EN18"/>
      <c r="EO18"/>
      <c r="EP18"/>
      <c r="EQ18"/>
      <c r="ER18"/>
      <c r="ES18"/>
      <c r="ET18"/>
      <c r="EU18"/>
      <c r="EV18"/>
      <c r="EW18"/>
      <c r="EX18"/>
      <c r="EY18"/>
      <c r="EZ18"/>
      <c r="FA18"/>
      <c r="FB18"/>
      <c r="FC18"/>
      <c r="FD18"/>
      <c r="FE18"/>
      <c r="FF18"/>
      <c r="FG18"/>
      <c r="FH18"/>
      <c r="FI18"/>
      <c r="FJ18"/>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c r="JA18"/>
      <c r="JB18"/>
      <c r="JC18"/>
      <c r="JD18"/>
      <c r="JE18"/>
      <c r="JF18"/>
      <c r="JG18"/>
      <c r="JH18"/>
      <c r="JI18"/>
      <c r="JJ18"/>
      <c r="JK18"/>
      <c r="JL18"/>
      <c r="JM18"/>
      <c r="JN18"/>
      <c r="JO18"/>
      <c r="JP18"/>
      <c r="JQ18"/>
      <c r="JR18"/>
      <c r="JS18"/>
      <c r="JT18"/>
      <c r="JU18"/>
      <c r="JV18"/>
      <c r="JW18"/>
      <c r="JX18"/>
      <c r="JY18"/>
      <c r="JZ18"/>
      <c r="KA18"/>
      <c r="KB18"/>
      <c r="KC18"/>
      <c r="KD18"/>
      <c r="KE18"/>
      <c r="KF18"/>
      <c r="KG18"/>
      <c r="KH18"/>
      <c r="KI18"/>
      <c r="KJ18"/>
      <c r="KK18"/>
      <c r="KL18"/>
      <c r="KM18"/>
      <c r="KN18"/>
      <c r="KO18"/>
      <c r="KP18"/>
      <c r="KQ18"/>
      <c r="KR18"/>
      <c r="KS18"/>
      <c r="KT18"/>
      <c r="KU18"/>
      <c r="KV18"/>
      <c r="KW18"/>
      <c r="KX18"/>
      <c r="KY18"/>
      <c r="KZ18"/>
      <c r="LA18"/>
      <c r="LB18"/>
      <c r="LC18"/>
      <c r="LD18"/>
      <c r="LE18"/>
      <c r="LF18"/>
      <c r="LG18"/>
      <c r="LH18"/>
      <c r="LI18"/>
      <c r="LJ18"/>
      <c r="LK18"/>
      <c r="LL18"/>
      <c r="LM18"/>
      <c r="LN18"/>
      <c r="LO18"/>
      <c r="LP18"/>
      <c r="LQ18"/>
      <c r="LR18"/>
      <c r="LS18"/>
      <c r="LT18"/>
      <c r="LU18"/>
      <c r="LV18"/>
      <c r="LW18"/>
      <c r="LX18"/>
      <c r="LY18"/>
      <c r="LZ18"/>
      <c r="MA18"/>
      <c r="MB18"/>
      <c r="MC18"/>
      <c r="MD18"/>
      <c r="ME18"/>
      <c r="MF18"/>
    </row>
    <row r="19" spans="1:344" ht="29" customHeight="1" x14ac:dyDescent="0.35">
      <c r="A19" s="104"/>
      <c r="B19" s="39"/>
      <c r="C19" s="39"/>
      <c r="D19" s="39"/>
      <c r="E19" s="39"/>
      <c r="F19" s="764" t="s">
        <v>1082</v>
      </c>
      <c r="G19" s="768">
        <v>46.171730769230763</v>
      </c>
      <c r="H19" s="768">
        <v>46.171730769230763</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row>
    <row r="20" spans="1:344" ht="29" customHeight="1" x14ac:dyDescent="0.35">
      <c r="A20" s="104"/>
      <c r="B20" s="39"/>
      <c r="C20" s="39"/>
      <c r="D20" s="39"/>
      <c r="E20" s="39"/>
      <c r="F20" s="764" t="s">
        <v>1663</v>
      </c>
      <c r="G20" s="768">
        <v>358.95398399999999</v>
      </c>
      <c r="H20" s="768">
        <v>358.95398399999999</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row>
    <row r="21" spans="1:344" ht="29" customHeight="1" x14ac:dyDescent="0.35">
      <c r="A21" s="104"/>
      <c r="B21" s="39"/>
      <c r="C21" s="39"/>
      <c r="D21" s="39"/>
      <c r="E21" s="39"/>
      <c r="F21" s="764" t="s">
        <v>1664</v>
      </c>
      <c r="G21" s="768">
        <v>426.42935999999992</v>
      </c>
      <c r="H21" s="768">
        <v>426.42935999999992</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c r="ED21"/>
      <c r="EE21"/>
      <c r="EF21"/>
      <c r="EG21"/>
      <c r="EH21"/>
      <c r="EI21"/>
      <c r="EJ21"/>
      <c r="EK21"/>
      <c r="EL21"/>
      <c r="EM21"/>
      <c r="EN21"/>
      <c r="EO21"/>
      <c r="EP21"/>
      <c r="EQ21"/>
      <c r="ER21"/>
      <c r="ES21"/>
      <c r="ET21"/>
      <c r="EU21"/>
      <c r="EV21"/>
      <c r="EW21"/>
      <c r="EX21"/>
      <c r="EY21"/>
      <c r="EZ21"/>
      <c r="FA21"/>
      <c r="FB21"/>
      <c r="FC21"/>
      <c r="FD21"/>
      <c r="FE21"/>
      <c r="FF21"/>
      <c r="FG21"/>
      <c r="FH21"/>
      <c r="FI21"/>
      <c r="FJ21"/>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c r="JA21"/>
      <c r="JB21"/>
      <c r="JC21"/>
      <c r="JD21"/>
      <c r="JE21"/>
      <c r="JF21"/>
      <c r="JG21"/>
      <c r="JH21"/>
      <c r="JI21"/>
      <c r="JJ21"/>
      <c r="JK21"/>
      <c r="JL21"/>
      <c r="JM21"/>
      <c r="JN21"/>
      <c r="JO21"/>
      <c r="JP21"/>
      <c r="JQ21"/>
      <c r="JR21"/>
      <c r="JS21"/>
      <c r="JT21"/>
      <c r="JU21"/>
      <c r="JV21"/>
      <c r="JW21"/>
      <c r="JX21"/>
      <c r="JY21"/>
      <c r="JZ21"/>
      <c r="KA21"/>
      <c r="KB21"/>
      <c r="KC21"/>
      <c r="KD21"/>
      <c r="KE21"/>
      <c r="KF21"/>
      <c r="KG21"/>
      <c r="KH21"/>
      <c r="KI21"/>
      <c r="KJ21"/>
      <c r="KK21"/>
      <c r="KL21"/>
      <c r="KM21"/>
      <c r="KN21"/>
      <c r="KO21"/>
      <c r="KP21"/>
      <c r="KQ21"/>
      <c r="KR21"/>
      <c r="KS21"/>
      <c r="KT21"/>
      <c r="KU21"/>
      <c r="KV21"/>
      <c r="KW21"/>
      <c r="KX21"/>
      <c r="KY21"/>
      <c r="KZ21"/>
      <c r="LA21"/>
      <c r="LB21"/>
      <c r="LC21"/>
      <c r="LD21"/>
      <c r="LE21"/>
      <c r="LF21"/>
      <c r="LG21"/>
      <c r="LH21"/>
      <c r="LI21"/>
      <c r="LJ21"/>
      <c r="LK21"/>
      <c r="LL21"/>
      <c r="LM21"/>
      <c r="LN21"/>
      <c r="LO21"/>
      <c r="LP21"/>
      <c r="LQ21"/>
      <c r="LR21"/>
      <c r="LS21"/>
      <c r="LT21"/>
      <c r="LU21"/>
      <c r="LV21"/>
      <c r="LW21"/>
      <c r="LX21"/>
      <c r="LY21"/>
      <c r="LZ21"/>
      <c r="MA21"/>
      <c r="MB21"/>
      <c r="MC21"/>
      <c r="MD21"/>
      <c r="ME21"/>
      <c r="MF21"/>
    </row>
    <row r="22" spans="1:344" ht="29" customHeight="1" x14ac:dyDescent="0.35">
      <c r="A22" s="104"/>
      <c r="B22" s="39"/>
      <c r="C22" s="39"/>
      <c r="D22" s="39"/>
      <c r="E22" s="39"/>
      <c r="F22" s="764" t="s">
        <v>1669</v>
      </c>
      <c r="G22" s="768">
        <v>676.87199999999984</v>
      </c>
      <c r="H22" s="768">
        <v>676.87199999999984</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c r="ED22"/>
      <c r="EE22"/>
      <c r="EF22"/>
      <c r="EG22"/>
      <c r="EH22"/>
      <c r="EI22"/>
      <c r="EJ22"/>
      <c r="EK22"/>
      <c r="EL22"/>
      <c r="EM22"/>
      <c r="EN22"/>
      <c r="EO22"/>
      <c r="EP22"/>
      <c r="EQ22"/>
      <c r="ER22"/>
      <c r="ES22"/>
      <c r="ET22"/>
      <c r="EU22"/>
      <c r="EV22"/>
      <c r="EW22"/>
      <c r="EX22"/>
      <c r="EY22"/>
      <c r="EZ22"/>
      <c r="FA22"/>
      <c r="FB22"/>
      <c r="FC22"/>
      <c r="FD22"/>
      <c r="FE22"/>
      <c r="FF22"/>
      <c r="FG22"/>
      <c r="FH22"/>
      <c r="FI22"/>
      <c r="FJ22"/>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c r="JA22"/>
      <c r="JB22"/>
      <c r="JC22"/>
      <c r="JD22"/>
      <c r="JE22"/>
      <c r="JF22"/>
      <c r="JG22"/>
      <c r="JH22"/>
      <c r="JI22"/>
      <c r="JJ22"/>
      <c r="JK22"/>
      <c r="JL22"/>
      <c r="JM22"/>
      <c r="JN22"/>
      <c r="JO22"/>
      <c r="JP22"/>
      <c r="JQ22"/>
      <c r="JR22"/>
      <c r="JS22"/>
      <c r="JT22"/>
      <c r="JU22"/>
      <c r="JV22"/>
      <c r="JW22"/>
      <c r="JX22"/>
      <c r="JY22"/>
      <c r="JZ22"/>
      <c r="KA22"/>
      <c r="KB22"/>
      <c r="KC22"/>
      <c r="KD22"/>
      <c r="KE22"/>
      <c r="KF22"/>
      <c r="KG22"/>
      <c r="KH22"/>
      <c r="KI22"/>
      <c r="KJ22"/>
      <c r="KK22"/>
      <c r="KL22"/>
      <c r="KM22"/>
      <c r="KN22"/>
      <c r="KO22"/>
      <c r="KP22"/>
      <c r="KQ22"/>
      <c r="KR22"/>
      <c r="KS22"/>
      <c r="KT22"/>
      <c r="KU22"/>
      <c r="KV22"/>
      <c r="KW22"/>
      <c r="KX22"/>
      <c r="KY22"/>
      <c r="KZ22"/>
      <c r="LA22"/>
      <c r="LB22"/>
      <c r="LC22"/>
      <c r="LD22"/>
      <c r="LE22"/>
      <c r="LF22"/>
      <c r="LG22"/>
      <c r="LH22"/>
      <c r="LI22"/>
      <c r="LJ22"/>
      <c r="LK22"/>
      <c r="LL22"/>
      <c r="LM22"/>
      <c r="LN22"/>
      <c r="LO22"/>
      <c r="LP22"/>
      <c r="LQ22"/>
      <c r="LR22"/>
      <c r="LS22"/>
      <c r="LT22"/>
      <c r="LU22"/>
      <c r="LV22"/>
      <c r="LW22"/>
      <c r="LX22"/>
      <c r="LY22"/>
      <c r="LZ22"/>
      <c r="MA22"/>
      <c r="MB22"/>
      <c r="MC22"/>
      <c r="MD22"/>
      <c r="ME22"/>
      <c r="MF22"/>
    </row>
    <row r="23" spans="1:344" ht="29" customHeight="1" x14ac:dyDescent="0.35">
      <c r="A23" s="104"/>
      <c r="B23" s="39"/>
      <c r="C23" s="39"/>
      <c r="D23" s="39"/>
      <c r="E23" s="39"/>
      <c r="F23" s="764" t="s">
        <v>1217</v>
      </c>
      <c r="G23" s="768">
        <v>0</v>
      </c>
      <c r="H23" s="768">
        <v>0</v>
      </c>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c r="ED23"/>
      <c r="EE23"/>
      <c r="EF23"/>
      <c r="EG23"/>
      <c r="EH23"/>
      <c r="EI23"/>
      <c r="EJ23"/>
      <c r="EK23"/>
      <c r="EL23"/>
      <c r="EM23"/>
      <c r="EN23"/>
      <c r="EO23"/>
      <c r="EP23"/>
      <c r="EQ23"/>
      <c r="ER23"/>
      <c r="ES23"/>
      <c r="ET23"/>
      <c r="EU23"/>
      <c r="EV23"/>
      <c r="EW23"/>
      <c r="EX23"/>
      <c r="EY23"/>
      <c r="EZ23"/>
      <c r="FA23"/>
      <c r="FB23"/>
      <c r="FC23"/>
      <c r="FD23"/>
      <c r="FE23"/>
      <c r="FF23"/>
      <c r="FG23"/>
      <c r="FH23"/>
      <c r="FI23"/>
      <c r="FJ23"/>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c r="JA23"/>
      <c r="JB23"/>
      <c r="JC23"/>
      <c r="JD23"/>
      <c r="JE23"/>
      <c r="JF23"/>
      <c r="JG23"/>
      <c r="JH23"/>
      <c r="JI23"/>
      <c r="JJ23"/>
      <c r="JK23"/>
      <c r="JL23"/>
      <c r="JM23"/>
      <c r="JN23"/>
      <c r="JO23"/>
      <c r="JP23"/>
      <c r="JQ23"/>
      <c r="JR23"/>
      <c r="JS23"/>
      <c r="JT23"/>
      <c r="JU23"/>
      <c r="JV23"/>
      <c r="JW23"/>
      <c r="JX23"/>
      <c r="JY23"/>
      <c r="JZ23"/>
      <c r="KA23"/>
      <c r="KB23"/>
      <c r="KC23"/>
      <c r="KD23"/>
      <c r="KE23"/>
      <c r="KF23"/>
      <c r="KG23"/>
      <c r="KH23"/>
      <c r="KI23"/>
      <c r="KJ23"/>
      <c r="KK23"/>
      <c r="KL23"/>
      <c r="KM23"/>
      <c r="KN23"/>
      <c r="KO23"/>
      <c r="KP23"/>
      <c r="KQ23"/>
      <c r="KR23"/>
      <c r="KS23"/>
      <c r="KT23"/>
      <c r="KU23"/>
      <c r="KV23"/>
      <c r="KW23"/>
      <c r="KX23"/>
      <c r="KY23"/>
      <c r="KZ23"/>
      <c r="LA23"/>
      <c r="LB23"/>
      <c r="LC23"/>
      <c r="LD23"/>
      <c r="LE23"/>
      <c r="LF23"/>
      <c r="LG23"/>
      <c r="LH23"/>
      <c r="LI23"/>
      <c r="LJ23"/>
      <c r="LK23"/>
      <c r="LL23"/>
      <c r="LM23"/>
      <c r="LN23"/>
      <c r="LO23"/>
      <c r="LP23"/>
      <c r="LQ23"/>
      <c r="LR23"/>
      <c r="LS23"/>
      <c r="LT23"/>
      <c r="LU23"/>
      <c r="LV23"/>
      <c r="LW23"/>
      <c r="LX23"/>
      <c r="LY23"/>
      <c r="LZ23"/>
      <c r="MA23"/>
      <c r="MB23"/>
      <c r="MC23"/>
      <c r="MD23"/>
      <c r="ME23"/>
      <c r="MF23"/>
    </row>
    <row r="24" spans="1:344" ht="29" customHeight="1" x14ac:dyDescent="0.35">
      <c r="A24" s="104"/>
      <c r="B24" s="39"/>
      <c r="C24" s="39"/>
      <c r="D24" s="39"/>
      <c r="E24" s="39"/>
      <c r="F24" s="764" t="s">
        <v>1715</v>
      </c>
      <c r="G24" s="768">
        <v>0</v>
      </c>
      <c r="H24" s="768">
        <v>0</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c r="ED24"/>
      <c r="EE24"/>
      <c r="EF24"/>
      <c r="EG24"/>
      <c r="EH24"/>
      <c r="EI24"/>
      <c r="EJ24"/>
      <c r="EK24"/>
      <c r="EL24"/>
      <c r="EM24"/>
      <c r="EN24"/>
      <c r="EO24"/>
      <c r="EP24"/>
      <c r="EQ24"/>
      <c r="ER24"/>
      <c r="ES24"/>
      <c r="ET24"/>
      <c r="EU24"/>
      <c r="EV24"/>
      <c r="EW24"/>
      <c r="EX24"/>
      <c r="EY24"/>
      <c r="EZ24"/>
      <c r="FA24"/>
      <c r="FB24"/>
      <c r="FC24"/>
      <c r="FD24"/>
      <c r="FE24"/>
      <c r="FF24"/>
      <c r="FG24"/>
      <c r="FH24"/>
      <c r="FI24"/>
      <c r="FJ24"/>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c r="JA24"/>
      <c r="JB24"/>
      <c r="JC24"/>
      <c r="JD24"/>
      <c r="JE24"/>
      <c r="JF24"/>
      <c r="JG24"/>
      <c r="JH24"/>
      <c r="JI24"/>
      <c r="JJ24"/>
      <c r="JK24"/>
      <c r="JL24"/>
      <c r="JM24"/>
      <c r="JN24"/>
      <c r="JO24"/>
      <c r="JP24"/>
      <c r="JQ24"/>
      <c r="JR24"/>
      <c r="JS24"/>
      <c r="JT24"/>
      <c r="JU24"/>
      <c r="JV24"/>
      <c r="JW24"/>
      <c r="JX24"/>
      <c r="JY24"/>
      <c r="JZ24"/>
      <c r="KA24"/>
      <c r="KB24"/>
      <c r="KC24"/>
      <c r="KD24"/>
      <c r="KE24"/>
      <c r="KF24"/>
      <c r="KG24"/>
      <c r="KH24"/>
      <c r="KI24"/>
      <c r="KJ24"/>
      <c r="KK24"/>
      <c r="KL24"/>
      <c r="KM24"/>
      <c r="KN24"/>
      <c r="KO24"/>
      <c r="KP24"/>
      <c r="KQ24"/>
      <c r="KR24"/>
      <c r="KS24"/>
      <c r="KT24"/>
      <c r="KU24"/>
      <c r="KV24"/>
      <c r="KW24"/>
      <c r="KX24"/>
      <c r="KY24"/>
      <c r="KZ24"/>
      <c r="LA24"/>
      <c r="LB24"/>
      <c r="LC24"/>
      <c r="LD24"/>
      <c r="LE24"/>
      <c r="LF24"/>
      <c r="LG24"/>
      <c r="LH24"/>
      <c r="LI24"/>
      <c r="LJ24"/>
      <c r="LK24"/>
      <c r="LL24"/>
      <c r="LM24"/>
      <c r="LN24"/>
      <c r="LO24"/>
      <c r="LP24"/>
      <c r="LQ24"/>
      <c r="LR24"/>
      <c r="LS24"/>
      <c r="LT24"/>
      <c r="LU24"/>
      <c r="LV24"/>
      <c r="LW24"/>
      <c r="LX24"/>
      <c r="LY24"/>
      <c r="LZ24"/>
      <c r="MA24"/>
      <c r="MB24"/>
      <c r="MC24"/>
      <c r="MD24"/>
      <c r="ME24"/>
      <c r="MF24"/>
    </row>
    <row r="25" spans="1:344" ht="29" customHeight="1" x14ac:dyDescent="0.35">
      <c r="A25" s="104"/>
      <c r="B25" s="39"/>
      <c r="C25" s="39"/>
      <c r="D25" s="39"/>
      <c r="E25" s="39"/>
      <c r="F25" s="764" t="s">
        <v>1661</v>
      </c>
      <c r="G25" s="768">
        <v>0</v>
      </c>
      <c r="H25" s="768">
        <v>0</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c r="ED25"/>
      <c r="EE25"/>
      <c r="EF25"/>
      <c r="EG25"/>
      <c r="EH25"/>
      <c r="EI25"/>
      <c r="EJ25"/>
      <c r="EK25"/>
      <c r="EL25"/>
      <c r="EM25"/>
      <c r="EN25"/>
      <c r="EO25"/>
      <c r="EP25"/>
      <c r="EQ25"/>
      <c r="ER25"/>
      <c r="ES25"/>
      <c r="ET25"/>
      <c r="EU25"/>
      <c r="EV25"/>
      <c r="EW25"/>
      <c r="EX25"/>
      <c r="EY25"/>
      <c r="EZ25"/>
      <c r="FA25"/>
      <c r="FB25"/>
      <c r="FC25"/>
      <c r="FD25"/>
      <c r="FE25"/>
      <c r="FF25"/>
      <c r="FG25"/>
      <c r="FH25"/>
      <c r="FI25"/>
      <c r="FJ25"/>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c r="JA25"/>
      <c r="JB25"/>
      <c r="JC25"/>
      <c r="JD25"/>
      <c r="JE25"/>
      <c r="JF25"/>
      <c r="JG25"/>
      <c r="JH25"/>
      <c r="JI25"/>
      <c r="JJ25"/>
      <c r="JK25"/>
      <c r="JL25"/>
      <c r="JM25"/>
      <c r="JN25"/>
      <c r="JO25"/>
      <c r="JP25"/>
      <c r="JQ25"/>
      <c r="JR25"/>
      <c r="JS25"/>
      <c r="JT25"/>
      <c r="JU25"/>
      <c r="JV25"/>
      <c r="JW25"/>
      <c r="JX25"/>
      <c r="JY25"/>
      <c r="JZ25"/>
      <c r="KA25"/>
      <c r="KB25"/>
      <c r="KC25"/>
      <c r="KD25"/>
      <c r="KE25"/>
      <c r="KF25"/>
      <c r="KG25"/>
      <c r="KH25"/>
      <c r="KI25"/>
      <c r="KJ25"/>
      <c r="KK25"/>
      <c r="KL25"/>
      <c r="KM25"/>
      <c r="KN25"/>
      <c r="KO25"/>
      <c r="KP25"/>
      <c r="KQ25"/>
      <c r="KR25"/>
      <c r="KS25"/>
      <c r="KT25"/>
      <c r="KU25"/>
      <c r="KV25"/>
      <c r="KW25"/>
      <c r="KX25"/>
      <c r="KY25"/>
      <c r="KZ25"/>
      <c r="LA25"/>
      <c r="LB25"/>
      <c r="LC25"/>
      <c r="LD25"/>
      <c r="LE25"/>
      <c r="LF25"/>
      <c r="LG25"/>
      <c r="LH25"/>
      <c r="LI25"/>
      <c r="LJ25"/>
      <c r="LK25"/>
      <c r="LL25"/>
      <c r="LM25"/>
      <c r="LN25"/>
      <c r="LO25"/>
      <c r="LP25"/>
      <c r="LQ25"/>
      <c r="LR25"/>
      <c r="LS25"/>
      <c r="LT25"/>
      <c r="LU25"/>
      <c r="LV25"/>
      <c r="LW25"/>
      <c r="LX25"/>
      <c r="LY25"/>
      <c r="LZ25"/>
      <c r="MA25"/>
      <c r="MB25"/>
      <c r="MC25"/>
      <c r="MD25"/>
      <c r="ME25"/>
      <c r="MF25"/>
    </row>
    <row r="26" spans="1:344" ht="29" customHeight="1" x14ac:dyDescent="0.35">
      <c r="A26" s="104"/>
      <c r="B26" s="39"/>
      <c r="C26" s="39"/>
      <c r="D26" s="39"/>
      <c r="E26" s="39"/>
      <c r="F26" s="764" t="s">
        <v>1718</v>
      </c>
      <c r="G26" s="768">
        <v>0</v>
      </c>
      <c r="H26" s="768">
        <v>0</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c r="ED26"/>
      <c r="EE26"/>
      <c r="EF26"/>
      <c r="EG26"/>
      <c r="EH26"/>
      <c r="EI26"/>
      <c r="EJ26"/>
      <c r="EK26"/>
      <c r="EL26"/>
      <c r="EM26"/>
      <c r="EN26"/>
      <c r="EO26"/>
      <c r="EP26"/>
      <c r="EQ26"/>
      <c r="ER26"/>
      <c r="ES26"/>
      <c r="ET26"/>
      <c r="EU26"/>
      <c r="EV26"/>
      <c r="EW26"/>
      <c r="EX26"/>
      <c r="EY26"/>
      <c r="EZ26"/>
      <c r="FA26"/>
      <c r="FB26"/>
      <c r="FC26"/>
      <c r="FD26"/>
      <c r="FE26"/>
      <c r="FF26"/>
      <c r="FG26"/>
      <c r="FH26"/>
      <c r="FI26"/>
      <c r="FJ26"/>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c r="JA26"/>
      <c r="JB26"/>
      <c r="JC26"/>
      <c r="JD26"/>
      <c r="JE26"/>
      <c r="JF26"/>
      <c r="JG26"/>
      <c r="JH26"/>
      <c r="JI26"/>
      <c r="JJ26"/>
      <c r="JK26"/>
      <c r="JL26"/>
      <c r="JM26"/>
      <c r="JN26"/>
      <c r="JO26"/>
      <c r="JP26"/>
      <c r="JQ26"/>
      <c r="JR26"/>
      <c r="JS26"/>
      <c r="JT26"/>
      <c r="JU26"/>
      <c r="JV26"/>
      <c r="JW26"/>
      <c r="JX26"/>
      <c r="JY26"/>
      <c r="JZ26"/>
      <c r="KA26"/>
      <c r="KB26"/>
      <c r="KC26"/>
      <c r="KD26"/>
      <c r="KE26"/>
      <c r="KF26"/>
      <c r="KG26"/>
      <c r="KH26"/>
      <c r="KI26"/>
      <c r="KJ26"/>
      <c r="KK26"/>
      <c r="KL26"/>
      <c r="KM26"/>
      <c r="KN26"/>
      <c r="KO26"/>
      <c r="KP26"/>
      <c r="KQ26"/>
      <c r="KR26"/>
      <c r="KS26"/>
      <c r="KT26"/>
      <c r="KU26"/>
      <c r="KV26"/>
      <c r="KW26"/>
      <c r="KX26"/>
      <c r="KY26"/>
      <c r="KZ26"/>
      <c r="LA26"/>
      <c r="LB26"/>
      <c r="LC26"/>
      <c r="LD26"/>
      <c r="LE26"/>
      <c r="LF26"/>
      <c r="LG26"/>
      <c r="LH26"/>
      <c r="LI26"/>
      <c r="LJ26"/>
      <c r="LK26"/>
      <c r="LL26"/>
      <c r="LM26"/>
      <c r="LN26"/>
      <c r="LO26"/>
      <c r="LP26"/>
      <c r="LQ26"/>
      <c r="LR26"/>
      <c r="LS26"/>
      <c r="LT26"/>
      <c r="LU26"/>
      <c r="LV26"/>
      <c r="LW26"/>
      <c r="LX26"/>
      <c r="LY26"/>
      <c r="LZ26"/>
      <c r="MA26"/>
      <c r="MB26"/>
      <c r="MC26"/>
      <c r="MD26"/>
      <c r="ME26"/>
      <c r="MF26"/>
    </row>
    <row r="27" spans="1:344" ht="29" customHeight="1" x14ac:dyDescent="0.35">
      <c r="A27" s="104"/>
      <c r="B27" s="39"/>
      <c r="C27" s="39"/>
      <c r="D27" s="39"/>
      <c r="E27" s="39"/>
      <c r="F27" s="764" t="s">
        <v>1732</v>
      </c>
      <c r="G27" s="768">
        <v>0</v>
      </c>
      <c r="H27" s="768">
        <v>0</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c r="ED27"/>
      <c r="EE27"/>
      <c r="EF27"/>
      <c r="EG27"/>
      <c r="EH27"/>
      <c r="EI27"/>
      <c r="EJ27"/>
      <c r="EK27"/>
      <c r="EL27"/>
      <c r="EM27"/>
      <c r="EN27"/>
      <c r="EO27"/>
      <c r="EP27"/>
      <c r="EQ27"/>
      <c r="ER27"/>
      <c r="ES27"/>
      <c r="ET27"/>
      <c r="EU27"/>
      <c r="EV27"/>
      <c r="EW27"/>
      <c r="EX27"/>
      <c r="EY27"/>
      <c r="EZ27"/>
      <c r="FA27"/>
      <c r="FB27"/>
      <c r="FC27"/>
      <c r="FD27"/>
      <c r="FE27"/>
      <c r="FF27"/>
      <c r="FG27"/>
      <c r="FH27"/>
      <c r="FI27"/>
      <c r="FJ27"/>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c r="JA27"/>
      <c r="JB27"/>
      <c r="JC27"/>
      <c r="JD27"/>
      <c r="JE27"/>
      <c r="JF27"/>
      <c r="JG27"/>
      <c r="JH27"/>
      <c r="JI27"/>
      <c r="JJ27"/>
      <c r="JK27"/>
      <c r="JL27"/>
      <c r="JM27"/>
      <c r="JN27"/>
      <c r="JO27"/>
      <c r="JP27"/>
      <c r="JQ27"/>
      <c r="JR27"/>
      <c r="JS27"/>
      <c r="JT27"/>
      <c r="JU27"/>
      <c r="JV27"/>
      <c r="JW27"/>
      <c r="JX27"/>
      <c r="JY27"/>
      <c r="JZ27"/>
      <c r="KA27"/>
      <c r="KB27"/>
      <c r="KC27"/>
      <c r="KD27"/>
      <c r="KE27"/>
      <c r="KF27"/>
      <c r="KG27"/>
      <c r="KH27"/>
      <c r="KI27"/>
      <c r="KJ27"/>
      <c r="KK27"/>
      <c r="KL27"/>
      <c r="KM27"/>
      <c r="KN27"/>
      <c r="KO27"/>
      <c r="KP27"/>
      <c r="KQ27"/>
      <c r="KR27"/>
      <c r="KS27"/>
      <c r="KT27"/>
      <c r="KU27"/>
      <c r="KV27"/>
      <c r="KW27"/>
      <c r="KX27"/>
      <c r="KY27"/>
      <c r="KZ27"/>
      <c r="LA27"/>
      <c r="LB27"/>
      <c r="LC27"/>
      <c r="LD27"/>
      <c r="LE27"/>
      <c r="LF27"/>
      <c r="LG27"/>
      <c r="LH27"/>
      <c r="LI27"/>
      <c r="LJ27"/>
      <c r="LK27"/>
      <c r="LL27"/>
      <c r="LM27"/>
      <c r="LN27"/>
      <c r="LO27"/>
      <c r="LP27"/>
      <c r="LQ27"/>
      <c r="LR27"/>
      <c r="LS27"/>
      <c r="LT27"/>
      <c r="LU27"/>
      <c r="LV27"/>
      <c r="LW27"/>
      <c r="LX27"/>
      <c r="LY27"/>
      <c r="LZ27"/>
      <c r="MA27"/>
      <c r="MB27"/>
      <c r="MC27"/>
      <c r="MD27"/>
      <c r="ME27"/>
      <c r="MF27"/>
    </row>
    <row r="28" spans="1:344" ht="29" customHeight="1" x14ac:dyDescent="0.35">
      <c r="A28" s="104"/>
      <c r="B28" s="39"/>
      <c r="C28" s="39"/>
      <c r="D28" s="39"/>
      <c r="E28" s="39"/>
      <c r="F28" s="764" t="s">
        <v>1678</v>
      </c>
      <c r="G28" s="768">
        <v>1643.703982007683</v>
      </c>
      <c r="H28" s="768">
        <v>1643.703982007683</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c r="ED28"/>
      <c r="EE28"/>
      <c r="EF28"/>
      <c r="EG28"/>
      <c r="EH28"/>
      <c r="EI28"/>
      <c r="EJ28"/>
      <c r="EK28"/>
      <c r="EL28"/>
      <c r="EM28"/>
      <c r="EN28"/>
      <c r="EO28"/>
      <c r="EP28"/>
      <c r="EQ28"/>
      <c r="ER28"/>
      <c r="ES28"/>
      <c r="ET28"/>
      <c r="EU28"/>
      <c r="EV28"/>
      <c r="EW28"/>
      <c r="EX28"/>
      <c r="EY28"/>
      <c r="EZ28"/>
      <c r="FA28"/>
      <c r="FB28"/>
      <c r="FC28"/>
      <c r="FD28"/>
      <c r="FE28"/>
      <c r="FF28"/>
      <c r="FG28"/>
      <c r="FH28"/>
      <c r="FI28"/>
      <c r="FJ28"/>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c r="JA28"/>
      <c r="JB28"/>
      <c r="JC28"/>
      <c r="JD28"/>
      <c r="JE28"/>
      <c r="JF28"/>
      <c r="JG28"/>
      <c r="JH28"/>
      <c r="JI28"/>
      <c r="JJ28"/>
      <c r="JK28"/>
      <c r="JL28"/>
      <c r="JM28"/>
      <c r="JN28"/>
      <c r="JO28"/>
      <c r="JP28"/>
      <c r="JQ28"/>
      <c r="JR28"/>
      <c r="JS28"/>
      <c r="JT28"/>
      <c r="JU28"/>
      <c r="JV28"/>
      <c r="JW28"/>
      <c r="JX28"/>
      <c r="JY28"/>
      <c r="JZ28"/>
      <c r="KA28"/>
      <c r="KB28"/>
      <c r="KC28"/>
      <c r="KD28"/>
      <c r="KE28"/>
      <c r="KF28"/>
      <c r="KG28"/>
      <c r="KH28"/>
      <c r="KI28"/>
      <c r="KJ28"/>
      <c r="KK28"/>
      <c r="KL28"/>
      <c r="KM28"/>
      <c r="KN28"/>
      <c r="KO28"/>
      <c r="KP28"/>
      <c r="KQ28"/>
      <c r="KR28"/>
      <c r="KS28"/>
      <c r="KT28"/>
      <c r="KU28"/>
      <c r="KV28"/>
      <c r="KW28"/>
      <c r="KX28"/>
      <c r="KY28"/>
      <c r="KZ28"/>
      <c r="LA28"/>
      <c r="LB28"/>
      <c r="LC28"/>
      <c r="LD28"/>
      <c r="LE28"/>
      <c r="LF28"/>
      <c r="LG28"/>
      <c r="LH28"/>
      <c r="LI28"/>
      <c r="LJ28"/>
      <c r="LK28"/>
      <c r="LL28"/>
      <c r="LM28"/>
      <c r="LN28"/>
      <c r="LO28"/>
      <c r="LP28"/>
      <c r="LQ28"/>
      <c r="LR28"/>
      <c r="LS28"/>
      <c r="LT28"/>
      <c r="LU28"/>
      <c r="LV28"/>
      <c r="LW28"/>
      <c r="LX28"/>
      <c r="LY28"/>
      <c r="LZ28"/>
      <c r="MA28"/>
      <c r="MB28"/>
      <c r="MC28"/>
      <c r="MD28"/>
      <c r="ME28"/>
      <c r="MF28"/>
    </row>
    <row r="29" spans="1:344" ht="29" customHeight="1" x14ac:dyDescent="0.35">
      <c r="A29" s="104"/>
      <c r="B29" s="39"/>
      <c r="C29" s="39"/>
      <c r="D29" s="39"/>
      <c r="E29" s="39"/>
      <c r="F29" s="764" t="s">
        <v>797</v>
      </c>
      <c r="G29" s="768">
        <v>328</v>
      </c>
      <c r="H29" s="768">
        <v>328</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c r="ED29"/>
      <c r="EE29"/>
      <c r="EF29"/>
      <c r="EG29"/>
      <c r="EH29"/>
      <c r="EI29"/>
      <c r="EJ29"/>
      <c r="EK29"/>
      <c r="EL29"/>
      <c r="EM29"/>
      <c r="EN29"/>
      <c r="EO29"/>
      <c r="EP29"/>
      <c r="EQ29"/>
      <c r="ER29"/>
      <c r="ES29"/>
      <c r="ET29"/>
      <c r="EU29"/>
      <c r="EV29"/>
      <c r="EW29"/>
      <c r="EX29"/>
      <c r="EY29"/>
      <c r="EZ29"/>
      <c r="FA29"/>
      <c r="FB29"/>
      <c r="FC29"/>
      <c r="FD29"/>
      <c r="FE29"/>
      <c r="FF29"/>
      <c r="FG29"/>
      <c r="FH29"/>
      <c r="FI29"/>
      <c r="FJ29"/>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c r="JA29"/>
      <c r="JB29"/>
      <c r="JC29"/>
      <c r="JD29"/>
      <c r="JE29"/>
      <c r="JF29"/>
      <c r="JG29"/>
      <c r="JH29"/>
      <c r="JI29"/>
      <c r="JJ29"/>
      <c r="JK29"/>
      <c r="JL29"/>
      <c r="JM29"/>
      <c r="JN29"/>
      <c r="JO29"/>
      <c r="JP29"/>
      <c r="JQ29"/>
      <c r="JR29"/>
      <c r="JS29"/>
      <c r="JT29"/>
      <c r="JU29"/>
      <c r="JV29"/>
      <c r="JW29"/>
      <c r="JX29"/>
      <c r="JY29"/>
      <c r="JZ29"/>
      <c r="KA29"/>
      <c r="KB29"/>
      <c r="KC29"/>
      <c r="KD29"/>
      <c r="KE29"/>
      <c r="KF29"/>
      <c r="KG29"/>
      <c r="KH29"/>
      <c r="KI29"/>
      <c r="KJ29"/>
      <c r="KK29"/>
      <c r="KL29"/>
      <c r="KM29"/>
      <c r="KN29"/>
      <c r="KO29"/>
      <c r="KP29"/>
      <c r="KQ29"/>
      <c r="KR29"/>
      <c r="KS29"/>
      <c r="KT29"/>
      <c r="KU29"/>
      <c r="KV29"/>
      <c r="KW29"/>
      <c r="KX29"/>
      <c r="KY29"/>
      <c r="KZ29"/>
      <c r="LA29"/>
      <c r="LB29"/>
      <c r="LC29"/>
      <c r="LD29"/>
      <c r="LE29"/>
      <c r="LF29"/>
      <c r="LG29"/>
      <c r="LH29"/>
      <c r="LI29"/>
      <c r="LJ29"/>
      <c r="LK29"/>
      <c r="LL29"/>
      <c r="LM29"/>
      <c r="LN29"/>
      <c r="LO29"/>
      <c r="LP29"/>
      <c r="LQ29"/>
      <c r="LR29"/>
      <c r="LS29"/>
      <c r="LT29"/>
      <c r="LU29"/>
      <c r="LV29"/>
      <c r="LW29"/>
      <c r="LX29"/>
      <c r="LY29"/>
      <c r="LZ29"/>
      <c r="MA29"/>
      <c r="MB29"/>
      <c r="MC29"/>
      <c r="MD29"/>
      <c r="ME29"/>
      <c r="MF29"/>
    </row>
    <row r="30" spans="1:344" ht="29" customHeight="1" thickBot="1" x14ac:dyDescent="0.4">
      <c r="A30" s="104"/>
      <c r="B30" s="39"/>
      <c r="C30" s="39"/>
      <c r="D30" s="104"/>
      <c r="E30" s="39"/>
      <c r="F30" s="764" t="s">
        <v>1671</v>
      </c>
      <c r="G30" s="768">
        <v>0</v>
      </c>
      <c r="H30" s="768">
        <v>0</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c r="ED30"/>
      <c r="EE30"/>
      <c r="EF30"/>
      <c r="EG30"/>
      <c r="EH30"/>
      <c r="EI30"/>
      <c r="EJ30"/>
      <c r="EK30"/>
      <c r="EL30"/>
      <c r="EM30"/>
      <c r="EN30"/>
      <c r="EO30"/>
      <c r="EP30"/>
      <c r="EQ30"/>
      <c r="ER30"/>
      <c r="ES30"/>
      <c r="ET30"/>
      <c r="EU30"/>
      <c r="EV30"/>
      <c r="EW30"/>
      <c r="EX30"/>
      <c r="EY30"/>
      <c r="EZ30"/>
      <c r="FA30"/>
      <c r="FB30"/>
      <c r="FC30"/>
      <c r="FD30"/>
      <c r="FE30"/>
      <c r="FF30"/>
      <c r="FG30"/>
      <c r="FH30"/>
      <c r="FI30"/>
      <c r="FJ30"/>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c r="JA30"/>
      <c r="JB30"/>
      <c r="JC30"/>
      <c r="JD30"/>
      <c r="JE30"/>
      <c r="JF30"/>
      <c r="JG30"/>
      <c r="JH30"/>
      <c r="JI30"/>
      <c r="JJ30"/>
      <c r="JK30"/>
      <c r="JL30"/>
      <c r="JM30"/>
      <c r="JN30"/>
      <c r="JO30"/>
      <c r="JP30"/>
      <c r="JQ30"/>
      <c r="JR30"/>
      <c r="JS30"/>
      <c r="JT30"/>
      <c r="JU30"/>
      <c r="JV30"/>
      <c r="JW30"/>
      <c r="JX30"/>
      <c r="JY30"/>
      <c r="JZ30"/>
      <c r="KA30"/>
      <c r="KB30"/>
      <c r="KC30"/>
      <c r="KD30"/>
      <c r="KE30"/>
      <c r="KF30"/>
      <c r="KG30"/>
      <c r="KH30"/>
      <c r="KI30"/>
      <c r="KJ30"/>
      <c r="KK30"/>
      <c r="KL30"/>
      <c r="KM30"/>
      <c r="KN30"/>
      <c r="KO30"/>
      <c r="KP30"/>
      <c r="KQ30"/>
      <c r="KR30"/>
      <c r="KS30"/>
      <c r="KT30"/>
      <c r="KU30"/>
      <c r="KV30"/>
      <c r="KW30"/>
      <c r="KX30"/>
      <c r="KY30"/>
      <c r="KZ30"/>
      <c r="LA30"/>
      <c r="LB30"/>
      <c r="LC30"/>
      <c r="LD30"/>
      <c r="LE30"/>
      <c r="LF30"/>
      <c r="LG30"/>
      <c r="LH30"/>
      <c r="LI30"/>
      <c r="LJ30"/>
      <c r="LK30"/>
      <c r="LL30"/>
      <c r="LM30"/>
      <c r="LN30"/>
      <c r="LO30"/>
      <c r="LP30"/>
      <c r="LQ30"/>
      <c r="LR30"/>
      <c r="LS30"/>
      <c r="LT30"/>
      <c r="LU30"/>
      <c r="LV30"/>
      <c r="LW30"/>
      <c r="LX30"/>
      <c r="LY30"/>
      <c r="LZ30"/>
      <c r="MA30"/>
      <c r="MB30"/>
      <c r="MC30"/>
      <c r="MD30"/>
      <c r="ME30"/>
      <c r="MF30"/>
    </row>
    <row r="31" spans="1:344" ht="29" customHeight="1" thickTop="1" thickBot="1" x14ac:dyDescent="0.4">
      <c r="A31" s="104"/>
      <c r="B31" s="104"/>
      <c r="C31" s="104"/>
      <c r="D31" s="104"/>
      <c r="E31" s="104"/>
      <c r="F31"/>
      <c r="G31" s="769">
        <v>6476.5312699516307</v>
      </c>
      <c r="H31" s="769">
        <v>6476.5312699516307</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c r="ED31"/>
      <c r="EE31"/>
      <c r="EF31"/>
      <c r="EG31"/>
      <c r="EH31"/>
      <c r="EI31"/>
      <c r="EJ31"/>
      <c r="EK31"/>
      <c r="EL31"/>
      <c r="EM31"/>
      <c r="EN31"/>
      <c r="EO31"/>
      <c r="EP31"/>
      <c r="EQ31"/>
      <c r="ER31"/>
      <c r="ES31"/>
      <c r="ET31"/>
      <c r="EU31"/>
      <c r="EV31"/>
      <c r="EW31"/>
      <c r="EX31"/>
      <c r="EY31"/>
      <c r="EZ31"/>
      <c r="FA31"/>
      <c r="FB31"/>
      <c r="FC31"/>
      <c r="FD31"/>
      <c r="FE31"/>
      <c r="FF31"/>
      <c r="FG31"/>
      <c r="FH31"/>
      <c r="FI31"/>
      <c r="FJ31"/>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c r="JA31"/>
      <c r="JB31"/>
      <c r="JC31"/>
      <c r="JD31"/>
      <c r="JE31"/>
      <c r="JF31"/>
      <c r="JG31"/>
      <c r="JH31"/>
      <c r="JI31"/>
      <c r="JJ31"/>
      <c r="JK31"/>
      <c r="JL31"/>
      <c r="JM31"/>
      <c r="JN31"/>
      <c r="JO31"/>
      <c r="JP31"/>
      <c r="JQ31"/>
      <c r="JR31"/>
      <c r="JS31"/>
      <c r="JT31"/>
      <c r="JU31"/>
      <c r="JV31"/>
      <c r="JW31"/>
      <c r="JX31"/>
      <c r="JY31"/>
      <c r="JZ31"/>
      <c r="KA31"/>
      <c r="KB31"/>
      <c r="KC31"/>
      <c r="KD31"/>
      <c r="KE31"/>
      <c r="KF31"/>
      <c r="KG31"/>
      <c r="KH31"/>
      <c r="KI31"/>
      <c r="KJ31"/>
      <c r="KK31"/>
      <c r="KL31"/>
      <c r="KM31"/>
      <c r="KN31"/>
      <c r="KO31"/>
      <c r="KP31"/>
      <c r="KQ31"/>
      <c r="KR31"/>
      <c r="KS31"/>
      <c r="KT31"/>
      <c r="KU31"/>
      <c r="KV31"/>
      <c r="KW31"/>
      <c r="KX31"/>
      <c r="KY31"/>
      <c r="KZ31"/>
      <c r="LA31"/>
      <c r="LB31"/>
      <c r="LC31"/>
      <c r="LD31"/>
      <c r="LE31"/>
      <c r="LF31"/>
      <c r="LG31"/>
      <c r="LH31"/>
      <c r="LI31"/>
      <c r="LJ31"/>
      <c r="LK31"/>
      <c r="LL31"/>
      <c r="LM31"/>
      <c r="LN31"/>
      <c r="LO31"/>
      <c r="LP31"/>
      <c r="LQ31"/>
      <c r="LR31"/>
      <c r="LS31"/>
      <c r="LT31"/>
      <c r="LU31"/>
      <c r="LV31"/>
      <c r="LW31"/>
      <c r="LX31"/>
      <c r="LY31"/>
      <c r="LZ31"/>
      <c r="MA31"/>
      <c r="MB31"/>
      <c r="MC31"/>
      <c r="MD31"/>
      <c r="ME31"/>
      <c r="MF31"/>
    </row>
    <row r="32" spans="1:344" ht="29" customHeight="1" thickTop="1" x14ac:dyDescent="0.35">
      <c r="A32" s="104"/>
      <c r="B32" s="104"/>
      <c r="C32" s="104"/>
      <c r="D32" s="104"/>
      <c r="E32" s="104"/>
      <c r="G32"/>
      <c r="H32"/>
      <c r="I32" s="39"/>
      <c r="J32" s="39"/>
      <c r="K32" s="39"/>
      <c r="L32" s="39"/>
      <c r="M32" s="39"/>
      <c r="N32" s="39"/>
      <c r="O32" s="39"/>
      <c r="P32"/>
      <c r="Q32"/>
      <c r="R32"/>
      <c r="S32"/>
      <c r="T32"/>
      <c r="U32"/>
      <c r="V32" s="104"/>
      <c r="W32" s="104"/>
      <c r="X32" s="104"/>
      <c r="Y32" s="104"/>
      <c r="Z32" s="104"/>
    </row>
    <row r="33" spans="1:305" ht="29" customHeight="1" x14ac:dyDescent="0.35">
      <c r="A33" s="104"/>
      <c r="B33" s="741" t="s">
        <v>1272</v>
      </c>
      <c r="C33" s="770" t="s">
        <v>1219</v>
      </c>
      <c r="D33" s="770" t="s">
        <v>1231</v>
      </c>
      <c r="E33" s="771" t="s">
        <v>1680</v>
      </c>
      <c r="F33"/>
      <c r="G33"/>
      <c r="H33"/>
      <c r="I33"/>
      <c r="J33"/>
      <c r="K33"/>
      <c r="L33"/>
      <c r="M33"/>
      <c r="N33"/>
      <c r="O33"/>
      <c r="P33"/>
      <c r="Q33"/>
      <c r="R33"/>
      <c r="S33"/>
      <c r="T33"/>
      <c r="U33"/>
      <c r="V33"/>
      <c r="W33"/>
      <c r="X33"/>
      <c r="Y33"/>
      <c r="Z33"/>
      <c r="AA33" s="752" t="s">
        <v>1709</v>
      </c>
      <c r="AB33" s="752" t="s">
        <v>1710</v>
      </c>
      <c r="AC33" s="752" t="s">
        <v>1711</v>
      </c>
      <c r="AD33" s="752" t="s">
        <v>1712</v>
      </c>
      <c r="AE33" s="752" t="s">
        <v>1713</v>
      </c>
      <c r="AF33" s="752" t="s">
        <v>1714</v>
      </c>
      <c r="AG33" s="741" t="s">
        <v>1733</v>
      </c>
      <c r="AH33" s="752" t="s">
        <v>1734</v>
      </c>
      <c r="AI33" s="752" t="s">
        <v>1735</v>
      </c>
      <c r="AJ33" s="752" t="s">
        <v>1736</v>
      </c>
      <c r="AK33" s="752" t="s">
        <v>1737</v>
      </c>
      <c r="AL33" s="752" t="s">
        <v>1738</v>
      </c>
      <c r="AM33" s="752" t="s">
        <v>1739</v>
      </c>
      <c r="AN33" s="752" t="s">
        <v>1740</v>
      </c>
      <c r="AO33" s="752" t="s">
        <v>1741</v>
      </c>
      <c r="AP33" s="752" t="s">
        <v>1742</v>
      </c>
      <c r="AQ33" s="752" t="s">
        <v>1743</v>
      </c>
      <c r="AR33" s="752" t="s">
        <v>1744</v>
      </c>
      <c r="AS33" s="752" t="s">
        <v>1745</v>
      </c>
      <c r="AT33" s="752" t="s">
        <v>1746</v>
      </c>
      <c r="AU33" s="752" t="s">
        <v>1747</v>
      </c>
      <c r="AV33" s="752" t="s">
        <v>1748</v>
      </c>
      <c r="AW33" s="752" t="s">
        <v>1749</v>
      </c>
      <c r="AX33" s="752" t="s">
        <v>1750</v>
      </c>
      <c r="AY33" s="752" t="s">
        <v>1751</v>
      </c>
      <c r="AZ33" s="752" t="s">
        <v>1752</v>
      </c>
      <c r="BA33" s="752" t="s">
        <v>1753</v>
      </c>
      <c r="BB33" s="752" t="s">
        <v>1754</v>
      </c>
      <c r="BC33" s="752" t="s">
        <v>1755</v>
      </c>
      <c r="BD33" s="752" t="s">
        <v>1756</v>
      </c>
      <c r="BE33" s="752" t="s">
        <v>1757</v>
      </c>
      <c r="BF33" s="752" t="s">
        <v>1758</v>
      </c>
      <c r="BG33" s="752" t="s">
        <v>1759</v>
      </c>
      <c r="BH33" s="752" t="s">
        <v>1760</v>
      </c>
      <c r="BI33" s="752" t="s">
        <v>1761</v>
      </c>
      <c r="BJ33" s="752" t="s">
        <v>1762</v>
      </c>
      <c r="BK33" s="752" t="s">
        <v>1763</v>
      </c>
      <c r="BL33" s="752" t="s">
        <v>1764</v>
      </c>
      <c r="BM33" s="752" t="s">
        <v>1765</v>
      </c>
      <c r="BN33" s="752" t="s">
        <v>1766</v>
      </c>
      <c r="BO33" s="752" t="s">
        <v>1767</v>
      </c>
      <c r="BP33" s="752" t="s">
        <v>1768</v>
      </c>
      <c r="BQ33" s="752" t="s">
        <v>1769</v>
      </c>
      <c r="BR33" s="752" t="s">
        <v>1770</v>
      </c>
      <c r="BS33" s="752" t="s">
        <v>1771</v>
      </c>
      <c r="BT33" s="752" t="s">
        <v>1772</v>
      </c>
      <c r="BU33" s="752" t="s">
        <v>1773</v>
      </c>
      <c r="BV33" s="752" t="s">
        <v>1774</v>
      </c>
      <c r="BW33" s="752" t="s">
        <v>1775</v>
      </c>
      <c r="BX33" s="752" t="s">
        <v>1776</v>
      </c>
      <c r="BY33" s="752" t="s">
        <v>1777</v>
      </c>
      <c r="BZ33" s="752" t="s">
        <v>1778</v>
      </c>
      <c r="CA33" s="752" t="s">
        <v>1779</v>
      </c>
      <c r="CB33" s="752" t="s">
        <v>1780</v>
      </c>
      <c r="CC33" s="752" t="s">
        <v>1781</v>
      </c>
      <c r="CD33" s="752" t="s">
        <v>1782</v>
      </c>
      <c r="CE33" s="752" t="s">
        <v>1783</v>
      </c>
      <c r="CF33" s="752" t="s">
        <v>1784</v>
      </c>
      <c r="CG33" s="752" t="s">
        <v>1785</v>
      </c>
      <c r="CH33" s="752" t="s">
        <v>1786</v>
      </c>
      <c r="CI33" s="752" t="s">
        <v>1787</v>
      </c>
      <c r="CJ33" s="752" t="s">
        <v>1788</v>
      </c>
      <c r="CK33" s="752" t="s">
        <v>1789</v>
      </c>
      <c r="CL33" s="752" t="s">
        <v>1790</v>
      </c>
      <c r="CM33" s="752" t="s">
        <v>1791</v>
      </c>
      <c r="CN33" s="752" t="s">
        <v>1792</v>
      </c>
      <c r="CO33" s="752" t="s">
        <v>1793</v>
      </c>
      <c r="CP33" s="752" t="s">
        <v>1794</v>
      </c>
      <c r="CQ33" s="752" t="s">
        <v>1795</v>
      </c>
      <c r="CR33" s="752" t="s">
        <v>1796</v>
      </c>
      <c r="CS33" s="752" t="s">
        <v>1797</v>
      </c>
      <c r="CT33" s="752" t="s">
        <v>1798</v>
      </c>
      <c r="CU33" s="752" t="s">
        <v>1799</v>
      </c>
      <c r="CV33" s="752" t="s">
        <v>1800</v>
      </c>
      <c r="CW33" s="752" t="s">
        <v>1801</v>
      </c>
      <c r="CX33" s="752" t="s">
        <v>1802</v>
      </c>
      <c r="CY33" s="752" t="s">
        <v>1803</v>
      </c>
      <c r="CZ33" s="752" t="s">
        <v>1804</v>
      </c>
      <c r="DA33" s="752" t="s">
        <v>1805</v>
      </c>
      <c r="DB33" s="752" t="s">
        <v>1806</v>
      </c>
      <c r="DC33" s="752" t="s">
        <v>1807</v>
      </c>
      <c r="DD33" s="752" t="s">
        <v>1808</v>
      </c>
      <c r="DE33" s="752" t="s">
        <v>1809</v>
      </c>
      <c r="DF33" s="752" t="s">
        <v>1810</v>
      </c>
      <c r="DG33" s="752" t="s">
        <v>1811</v>
      </c>
      <c r="DH33" s="752" t="s">
        <v>1812</v>
      </c>
      <c r="DI33" s="752" t="s">
        <v>1813</v>
      </c>
      <c r="DJ33" s="752" t="s">
        <v>1814</v>
      </c>
      <c r="DK33" s="752" t="s">
        <v>1815</v>
      </c>
      <c r="DL33" s="752" t="s">
        <v>1816</v>
      </c>
      <c r="DM33" s="752" t="s">
        <v>1817</v>
      </c>
      <c r="DN33" s="752" t="s">
        <v>1818</v>
      </c>
      <c r="DO33" s="752" t="s">
        <v>1819</v>
      </c>
      <c r="DP33" s="752" t="s">
        <v>1820</v>
      </c>
      <c r="DQ33" s="752" t="s">
        <v>1821</v>
      </c>
      <c r="DR33" s="752" t="s">
        <v>1822</v>
      </c>
      <c r="DS33" s="752" t="s">
        <v>1823</v>
      </c>
      <c r="DT33" s="752" t="s">
        <v>1824</v>
      </c>
      <c r="DU33" s="752" t="s">
        <v>1825</v>
      </c>
      <c r="DV33" s="752" t="s">
        <v>1826</v>
      </c>
      <c r="DW33" s="752" t="s">
        <v>1827</v>
      </c>
      <c r="DX33" s="752" t="s">
        <v>1828</v>
      </c>
      <c r="DY33" s="752" t="s">
        <v>1829</v>
      </c>
      <c r="DZ33" s="752" t="s">
        <v>1830</v>
      </c>
      <c r="EA33" s="752" t="s">
        <v>1831</v>
      </c>
      <c r="EB33" s="752" t="s">
        <v>1832</v>
      </c>
      <c r="EC33" s="752" t="s">
        <v>1833</v>
      </c>
      <c r="ED33" s="752" t="s">
        <v>1834</v>
      </c>
      <c r="EE33" s="752" t="s">
        <v>1835</v>
      </c>
      <c r="EF33" s="752" t="s">
        <v>1836</v>
      </c>
      <c r="EG33" s="752" t="s">
        <v>1837</v>
      </c>
      <c r="EH33" s="752" t="s">
        <v>1838</v>
      </c>
      <c r="EI33" s="752" t="s">
        <v>1839</v>
      </c>
      <c r="EJ33" s="752" t="s">
        <v>1840</v>
      </c>
      <c r="EK33" s="752" t="s">
        <v>1841</v>
      </c>
      <c r="EL33" s="752" t="s">
        <v>1842</v>
      </c>
      <c r="EM33" s="752" t="s">
        <v>1843</v>
      </c>
      <c r="EN33" s="752" t="s">
        <v>1844</v>
      </c>
      <c r="EO33" s="752" t="s">
        <v>1845</v>
      </c>
      <c r="EP33" s="752" t="s">
        <v>1846</v>
      </c>
      <c r="EQ33" s="752" t="s">
        <v>1847</v>
      </c>
      <c r="ER33" s="752" t="s">
        <v>1848</v>
      </c>
      <c r="ES33" s="752" t="s">
        <v>1849</v>
      </c>
      <c r="ET33" s="752" t="s">
        <v>1850</v>
      </c>
      <c r="EU33" s="752" t="s">
        <v>1851</v>
      </c>
      <c r="EV33" s="752" t="s">
        <v>1852</v>
      </c>
      <c r="EW33" s="752" t="s">
        <v>1853</v>
      </c>
      <c r="EX33" s="752" t="s">
        <v>1854</v>
      </c>
      <c r="EY33" s="752" t="s">
        <v>1855</v>
      </c>
      <c r="EZ33" s="752" t="s">
        <v>1856</v>
      </c>
      <c r="FA33" s="752" t="s">
        <v>1857</v>
      </c>
      <c r="FB33" s="752" t="s">
        <v>1858</v>
      </c>
      <c r="FC33" s="752" t="s">
        <v>1859</v>
      </c>
      <c r="FD33" s="752" t="s">
        <v>1860</v>
      </c>
      <c r="FE33" s="752" t="s">
        <v>1861</v>
      </c>
      <c r="FF33" s="752" t="s">
        <v>1862</v>
      </c>
      <c r="FG33" s="752" t="s">
        <v>1863</v>
      </c>
      <c r="FH33" s="752" t="s">
        <v>1864</v>
      </c>
      <c r="FI33" s="752" t="s">
        <v>1865</v>
      </c>
      <c r="FJ33" s="752" t="s">
        <v>1866</v>
      </c>
      <c r="FK33" s="752" t="s">
        <v>1867</v>
      </c>
      <c r="FL33" s="752" t="s">
        <v>1868</v>
      </c>
      <c r="FM33" s="752" t="s">
        <v>1869</v>
      </c>
      <c r="FN33" s="752" t="s">
        <v>1870</v>
      </c>
      <c r="FO33" s="752" t="s">
        <v>1871</v>
      </c>
      <c r="FP33" s="752" t="s">
        <v>1872</v>
      </c>
      <c r="FQ33" s="752" t="s">
        <v>1873</v>
      </c>
      <c r="FR33" s="752" t="s">
        <v>1874</v>
      </c>
      <c r="FS33" s="752" t="s">
        <v>1875</v>
      </c>
      <c r="FT33" s="752" t="s">
        <v>1876</v>
      </c>
      <c r="FU33" s="752" t="s">
        <v>1877</v>
      </c>
      <c r="FV33" s="752" t="s">
        <v>1878</v>
      </c>
      <c r="FW33" s="752" t="s">
        <v>1879</v>
      </c>
      <c r="FX33" s="752" t="s">
        <v>1880</v>
      </c>
      <c r="FY33" s="752" t="s">
        <v>1881</v>
      </c>
      <c r="FZ33" s="752" t="s">
        <v>1882</v>
      </c>
      <c r="GA33" s="752" t="s">
        <v>1883</v>
      </c>
      <c r="GB33" s="752" t="s">
        <v>1884</v>
      </c>
      <c r="GC33" s="752" t="s">
        <v>1885</v>
      </c>
      <c r="GD33" s="752" t="s">
        <v>1886</v>
      </c>
      <c r="GE33" s="752" t="s">
        <v>1887</v>
      </c>
      <c r="GF33" s="752" t="s">
        <v>1888</v>
      </c>
      <c r="GG33" s="752" t="s">
        <v>1889</v>
      </c>
      <c r="GH33" s="752" t="s">
        <v>1890</v>
      </c>
      <c r="GI33" s="752" t="s">
        <v>1891</v>
      </c>
      <c r="GJ33" s="752" t="s">
        <v>1892</v>
      </c>
      <c r="GK33" s="752" t="s">
        <v>1893</v>
      </c>
      <c r="GL33" s="752" t="s">
        <v>1894</v>
      </c>
      <c r="GM33" s="752" t="s">
        <v>1895</v>
      </c>
      <c r="GN33" s="752" t="s">
        <v>1896</v>
      </c>
      <c r="GO33" s="752" t="s">
        <v>1897</v>
      </c>
      <c r="GP33" s="752" t="s">
        <v>1898</v>
      </c>
      <c r="GQ33" s="752" t="s">
        <v>1899</v>
      </c>
      <c r="GR33" s="752" t="s">
        <v>1900</v>
      </c>
      <c r="GS33" s="752" t="s">
        <v>1901</v>
      </c>
      <c r="GT33" s="752" t="s">
        <v>1902</v>
      </c>
      <c r="GU33" s="752" t="s">
        <v>1903</v>
      </c>
      <c r="GV33" s="752" t="s">
        <v>1904</v>
      </c>
      <c r="GW33" s="752" t="s">
        <v>1905</v>
      </c>
      <c r="GX33" s="752" t="s">
        <v>1906</v>
      </c>
      <c r="GY33" s="752" t="s">
        <v>1907</v>
      </c>
      <c r="GZ33" s="752" t="s">
        <v>1908</v>
      </c>
      <c r="HA33" s="752" t="s">
        <v>1909</v>
      </c>
      <c r="HB33" s="752" t="s">
        <v>1910</v>
      </c>
      <c r="HC33" s="752" t="s">
        <v>1911</v>
      </c>
      <c r="HD33" s="752" t="s">
        <v>1912</v>
      </c>
      <c r="HE33" s="752" t="s">
        <v>1913</v>
      </c>
      <c r="HF33" s="752" t="s">
        <v>1914</v>
      </c>
      <c r="HG33" s="752" t="s">
        <v>1915</v>
      </c>
      <c r="HH33" s="752" t="s">
        <v>1916</v>
      </c>
      <c r="HI33" s="752" t="s">
        <v>1917</v>
      </c>
      <c r="HJ33" s="752" t="s">
        <v>1918</v>
      </c>
      <c r="HK33" s="752" t="s">
        <v>1919</v>
      </c>
      <c r="HL33" s="752" t="s">
        <v>1920</v>
      </c>
      <c r="HM33" s="752" t="s">
        <v>1921</v>
      </c>
      <c r="HN33" s="752" t="s">
        <v>1922</v>
      </c>
      <c r="HO33" s="752" t="s">
        <v>1923</v>
      </c>
      <c r="HP33" s="752" t="s">
        <v>1924</v>
      </c>
      <c r="HQ33" s="752" t="s">
        <v>1925</v>
      </c>
      <c r="HR33" s="752" t="s">
        <v>1926</v>
      </c>
      <c r="HS33" s="752" t="s">
        <v>1927</v>
      </c>
      <c r="HT33" s="752" t="s">
        <v>1928</v>
      </c>
      <c r="HU33" s="752" t="s">
        <v>1929</v>
      </c>
      <c r="HV33" s="752" t="s">
        <v>1930</v>
      </c>
      <c r="HW33" s="752" t="s">
        <v>1931</v>
      </c>
      <c r="HX33" s="752" t="s">
        <v>1932</v>
      </c>
      <c r="HY33" s="752" t="s">
        <v>1933</v>
      </c>
      <c r="HZ33" s="752" t="s">
        <v>1934</v>
      </c>
      <c r="IA33" s="752" t="s">
        <v>1935</v>
      </c>
      <c r="IB33" s="752" t="s">
        <v>1936</v>
      </c>
      <c r="IC33" s="752" t="s">
        <v>1937</v>
      </c>
      <c r="ID33" s="752" t="s">
        <v>1938</v>
      </c>
      <c r="IE33" s="752" t="s">
        <v>1939</v>
      </c>
      <c r="IF33" s="752" t="s">
        <v>1940</v>
      </c>
      <c r="IG33" s="752" t="s">
        <v>1941</v>
      </c>
      <c r="IH33" s="752" t="s">
        <v>1942</v>
      </c>
      <c r="II33" s="752" t="s">
        <v>1943</v>
      </c>
      <c r="IJ33" s="752" t="s">
        <v>1944</v>
      </c>
      <c r="IK33" s="752" t="s">
        <v>1945</v>
      </c>
      <c r="IL33" s="752" t="s">
        <v>1946</v>
      </c>
      <c r="IM33" s="752" t="s">
        <v>1947</v>
      </c>
      <c r="IN33" s="752" t="s">
        <v>1948</v>
      </c>
      <c r="IO33" s="752" t="s">
        <v>1949</v>
      </c>
      <c r="IP33" s="752" t="s">
        <v>1950</v>
      </c>
      <c r="IQ33" s="752" t="s">
        <v>1951</v>
      </c>
      <c r="IR33" s="752" t="s">
        <v>1952</v>
      </c>
      <c r="IS33" s="752" t="s">
        <v>1953</v>
      </c>
      <c r="IT33" s="752" t="s">
        <v>1954</v>
      </c>
      <c r="IU33" s="752" t="s">
        <v>1955</v>
      </c>
      <c r="IV33" s="752" t="s">
        <v>1956</v>
      </c>
      <c r="IW33" s="752" t="s">
        <v>1957</v>
      </c>
      <c r="IX33" s="752" t="s">
        <v>1958</v>
      </c>
      <c r="IY33" s="752" t="s">
        <v>1959</v>
      </c>
      <c r="IZ33" s="752" t="s">
        <v>1960</v>
      </c>
      <c r="JA33" s="752" t="s">
        <v>1961</v>
      </c>
      <c r="JB33" s="752" t="s">
        <v>1962</v>
      </c>
      <c r="JC33" s="752" t="s">
        <v>1963</v>
      </c>
      <c r="JD33" s="752" t="s">
        <v>1964</v>
      </c>
      <c r="JE33" s="752" t="s">
        <v>1965</v>
      </c>
      <c r="JF33" s="752" t="s">
        <v>1966</v>
      </c>
      <c r="JG33" s="752" t="s">
        <v>1967</v>
      </c>
      <c r="JH33" s="752" t="s">
        <v>1968</v>
      </c>
      <c r="JI33" s="752" t="s">
        <v>1969</v>
      </c>
      <c r="JJ33" s="752" t="s">
        <v>1970</v>
      </c>
      <c r="JK33" s="752" t="s">
        <v>1971</v>
      </c>
      <c r="JL33" s="752" t="s">
        <v>1972</v>
      </c>
      <c r="JM33" s="752" t="s">
        <v>1973</v>
      </c>
      <c r="JN33" s="752" t="s">
        <v>1974</v>
      </c>
      <c r="JO33" s="752" t="s">
        <v>1975</v>
      </c>
      <c r="JP33" s="752" t="s">
        <v>1976</v>
      </c>
      <c r="JQ33" s="752" t="s">
        <v>1977</v>
      </c>
      <c r="JR33" s="752" t="s">
        <v>1978</v>
      </c>
      <c r="JS33" s="752" t="s">
        <v>1979</v>
      </c>
      <c r="JT33" s="752" t="s">
        <v>1980</v>
      </c>
      <c r="JU33" s="752" t="s">
        <v>1981</v>
      </c>
      <c r="JV33" s="752" t="s">
        <v>1982</v>
      </c>
      <c r="JW33" s="752" t="s">
        <v>1983</v>
      </c>
      <c r="JX33" s="752" t="s">
        <v>1984</v>
      </c>
      <c r="JY33" s="752" t="s">
        <v>1985</v>
      </c>
      <c r="JZ33" s="752" t="s">
        <v>1986</v>
      </c>
      <c r="KA33" s="752" t="s">
        <v>1987</v>
      </c>
      <c r="KB33" s="752" t="s">
        <v>1988</v>
      </c>
      <c r="KC33" s="752" t="s">
        <v>1989</v>
      </c>
      <c r="KD33" s="752" t="s">
        <v>1990</v>
      </c>
      <c r="KE33" s="752" t="s">
        <v>1991</v>
      </c>
      <c r="KF33" s="752" t="s">
        <v>1992</v>
      </c>
      <c r="KG33" s="752" t="s">
        <v>1993</v>
      </c>
      <c r="KH33" s="752" t="s">
        <v>1994</v>
      </c>
      <c r="KI33" s="752" t="s">
        <v>1995</v>
      </c>
      <c r="KJ33" s="752" t="s">
        <v>1996</v>
      </c>
      <c r="KK33" s="752" t="s">
        <v>1997</v>
      </c>
      <c r="KL33" s="752" t="s">
        <v>1998</v>
      </c>
      <c r="KM33" s="752" t="s">
        <v>1999</v>
      </c>
      <c r="KN33" s="752" t="s">
        <v>2000</v>
      </c>
      <c r="KO33" s="752" t="s">
        <v>2001</v>
      </c>
      <c r="KP33" s="752" t="s">
        <v>2002</v>
      </c>
      <c r="KQ33" s="755" t="s">
        <v>1680</v>
      </c>
    </row>
    <row r="34" spans="1:305" ht="29" customHeight="1" x14ac:dyDescent="0.35">
      <c r="A34" s="104"/>
      <c r="B34" s="741" t="s">
        <v>1270</v>
      </c>
      <c r="C34" s="756">
        <v>8448.2352519593005</v>
      </c>
      <c r="D34" s="756"/>
      <c r="E34" s="753">
        <v>1551.7647480410001</v>
      </c>
      <c r="F34"/>
      <c r="G34"/>
      <c r="H34"/>
      <c r="I34"/>
      <c r="J34"/>
      <c r="K34"/>
      <c r="L34"/>
      <c r="M34"/>
      <c r="N34"/>
      <c r="O34"/>
      <c r="P34"/>
      <c r="Q34"/>
      <c r="R34"/>
      <c r="S34"/>
      <c r="T34"/>
      <c r="U34"/>
      <c r="V34"/>
      <c r="W34"/>
      <c r="X34"/>
      <c r="Y34"/>
      <c r="Z34"/>
      <c r="AA34" s="757"/>
      <c r="AB34" s="757"/>
      <c r="AC34" s="757"/>
      <c r="AD34" s="757"/>
      <c r="AE34" s="757"/>
      <c r="AF34" s="757"/>
      <c r="AG34" s="756"/>
      <c r="AH34" s="757"/>
      <c r="AI34" s="757"/>
      <c r="AJ34" s="757"/>
      <c r="AK34" s="757"/>
      <c r="AL34" s="757"/>
      <c r="AM34" s="757"/>
      <c r="AN34" s="757"/>
      <c r="AO34" s="757"/>
      <c r="AP34" s="757"/>
      <c r="AQ34" s="757"/>
      <c r="AR34" s="757"/>
      <c r="AS34" s="757"/>
      <c r="AT34" s="757"/>
      <c r="AU34" s="757"/>
      <c r="AV34" s="757"/>
      <c r="AW34" s="757"/>
      <c r="AX34" s="757"/>
      <c r="AY34" s="757"/>
      <c r="AZ34" s="757">
        <v>10608.5621537718</v>
      </c>
      <c r="BA34" s="757"/>
      <c r="BB34" s="757"/>
      <c r="BC34" s="757"/>
      <c r="BD34" s="757"/>
      <c r="BE34" s="757"/>
      <c r="BF34" s="757"/>
      <c r="BG34" s="757"/>
      <c r="BH34" s="757"/>
      <c r="BI34" s="757"/>
      <c r="BJ34" s="757"/>
      <c r="BK34" s="757"/>
      <c r="BL34" s="757"/>
      <c r="BM34" s="757"/>
      <c r="BN34" s="757"/>
      <c r="BO34" s="757"/>
      <c r="BP34" s="757"/>
      <c r="BQ34" s="757"/>
      <c r="BR34" s="757"/>
      <c r="BS34" s="757"/>
      <c r="BT34" s="757"/>
      <c r="BU34" s="757"/>
      <c r="BV34" s="757"/>
      <c r="BW34" s="757"/>
      <c r="BX34" s="757"/>
      <c r="BY34" s="757"/>
      <c r="BZ34" s="757"/>
      <c r="CA34" s="757"/>
      <c r="CB34" s="757"/>
      <c r="CC34" s="757"/>
      <c r="CD34" s="757"/>
      <c r="CE34" s="757"/>
      <c r="CF34" s="757"/>
      <c r="CG34" s="757"/>
      <c r="CH34" s="757"/>
      <c r="CI34" s="757"/>
      <c r="CJ34" s="757"/>
      <c r="CK34" s="757"/>
      <c r="CL34" s="757"/>
      <c r="CM34" s="757"/>
      <c r="CN34" s="757"/>
      <c r="CO34" s="757"/>
      <c r="CP34" s="757"/>
      <c r="CQ34" s="757"/>
      <c r="CR34" s="757"/>
      <c r="CS34" s="757"/>
      <c r="CT34" s="757"/>
      <c r="CU34" s="757"/>
      <c r="CV34" s="757"/>
      <c r="CW34" s="757"/>
      <c r="CX34" s="757">
        <v>656</v>
      </c>
      <c r="CY34" s="757"/>
      <c r="CZ34" s="757"/>
      <c r="DA34" s="757"/>
      <c r="DB34" s="757"/>
      <c r="DC34" s="757"/>
      <c r="DD34" s="757"/>
      <c r="DE34" s="757"/>
      <c r="DF34" s="757"/>
      <c r="DG34" s="757"/>
      <c r="DH34" s="757"/>
      <c r="DI34" s="757"/>
      <c r="DJ34" s="757"/>
      <c r="DK34" s="757"/>
      <c r="DL34" s="757"/>
      <c r="DM34" s="757"/>
      <c r="DN34" s="757"/>
      <c r="DO34" s="757"/>
      <c r="DP34" s="757"/>
      <c r="DQ34" s="757"/>
      <c r="DR34" s="757"/>
      <c r="DS34" s="757"/>
      <c r="DT34" s="757"/>
      <c r="DU34" s="757"/>
      <c r="DV34" s="757"/>
      <c r="DW34" s="757"/>
      <c r="DX34" s="757"/>
      <c r="DY34" s="757"/>
      <c r="DZ34" s="757"/>
      <c r="EA34" s="757"/>
      <c r="EB34" s="757"/>
      <c r="EC34" s="757"/>
      <c r="ED34" s="757"/>
      <c r="EE34" s="757"/>
      <c r="EF34" s="757"/>
      <c r="EG34" s="757"/>
      <c r="EH34" s="757"/>
      <c r="EI34" s="757"/>
      <c r="EJ34" s="757"/>
      <c r="EK34" s="757"/>
      <c r="EL34" s="757"/>
      <c r="EM34" s="757"/>
      <c r="EN34" s="757"/>
      <c r="EO34" s="757"/>
      <c r="EP34" s="757"/>
      <c r="EQ34" s="757"/>
      <c r="ER34" s="757"/>
      <c r="ES34" s="757"/>
      <c r="ET34" s="757"/>
      <c r="EU34" s="757"/>
      <c r="EV34" s="757">
        <v>656</v>
      </c>
      <c r="EW34" s="757"/>
      <c r="EX34" s="757"/>
      <c r="EY34" s="757"/>
      <c r="EZ34" s="757"/>
      <c r="FA34" s="757"/>
      <c r="FB34" s="757"/>
      <c r="FC34" s="757"/>
      <c r="FD34" s="757"/>
      <c r="FE34" s="757"/>
      <c r="FF34" s="757"/>
      <c r="FG34" s="757"/>
      <c r="FH34" s="757"/>
      <c r="FI34" s="757"/>
      <c r="FJ34" s="757"/>
      <c r="FK34" s="757"/>
      <c r="FL34" s="757"/>
      <c r="FM34" s="757"/>
      <c r="FN34" s="757"/>
      <c r="FO34" s="757"/>
      <c r="FP34" s="757"/>
      <c r="FQ34" s="757"/>
      <c r="FR34" s="757"/>
      <c r="FS34" s="757"/>
      <c r="FT34" s="757"/>
      <c r="FU34" s="757"/>
      <c r="FV34" s="757"/>
      <c r="FW34" s="757"/>
      <c r="FX34" s="757"/>
      <c r="FY34" s="757"/>
      <c r="FZ34" s="757"/>
      <c r="GA34" s="757"/>
      <c r="GB34" s="757"/>
      <c r="GC34" s="757"/>
      <c r="GD34" s="757"/>
      <c r="GE34" s="757"/>
      <c r="GF34" s="757"/>
      <c r="GG34" s="757"/>
      <c r="GH34" s="757"/>
      <c r="GI34" s="757"/>
      <c r="GJ34" s="757"/>
      <c r="GK34" s="757"/>
      <c r="GL34" s="757"/>
      <c r="GM34" s="757"/>
      <c r="GN34" s="757"/>
      <c r="GO34" s="757"/>
      <c r="GP34" s="757"/>
      <c r="GQ34" s="757"/>
      <c r="GR34" s="757"/>
      <c r="GS34" s="757"/>
      <c r="GT34" s="757">
        <v>656</v>
      </c>
      <c r="GU34" s="757"/>
      <c r="GV34" s="757"/>
      <c r="GW34" s="757"/>
      <c r="GX34" s="757"/>
      <c r="GY34" s="757"/>
      <c r="GZ34" s="757"/>
      <c r="HA34" s="757"/>
      <c r="HB34" s="757"/>
      <c r="HC34" s="757"/>
      <c r="HD34" s="757"/>
      <c r="HE34" s="757"/>
      <c r="HF34" s="757"/>
      <c r="HG34" s="757"/>
      <c r="HH34" s="757"/>
      <c r="HI34" s="757"/>
      <c r="HJ34" s="757"/>
      <c r="HK34" s="757"/>
      <c r="HL34" s="757"/>
      <c r="HM34" s="757"/>
      <c r="HN34" s="757"/>
      <c r="HO34" s="757"/>
      <c r="HP34" s="757"/>
      <c r="HQ34" s="757"/>
      <c r="HR34" s="757"/>
      <c r="HS34" s="757"/>
      <c r="HT34" s="757"/>
      <c r="HU34" s="757"/>
      <c r="HV34" s="757"/>
      <c r="HW34" s="757"/>
      <c r="HX34" s="757"/>
      <c r="HY34" s="757"/>
      <c r="HZ34" s="757"/>
      <c r="IA34" s="757"/>
      <c r="IB34" s="757"/>
      <c r="IC34" s="757"/>
      <c r="ID34" s="757"/>
      <c r="IE34" s="757"/>
      <c r="IF34" s="757"/>
      <c r="IG34" s="757"/>
      <c r="IH34" s="757"/>
      <c r="II34" s="757"/>
      <c r="IJ34" s="757"/>
      <c r="IK34" s="757"/>
      <c r="IL34" s="757"/>
      <c r="IM34" s="757"/>
      <c r="IN34" s="757"/>
      <c r="IO34" s="757"/>
      <c r="IP34" s="757"/>
      <c r="IQ34" s="757"/>
      <c r="IR34" s="757">
        <v>656</v>
      </c>
      <c r="IS34" s="757"/>
      <c r="IT34" s="757"/>
      <c r="IU34" s="757"/>
      <c r="IV34" s="757"/>
      <c r="IW34" s="757"/>
      <c r="IX34" s="757"/>
      <c r="IY34" s="757"/>
      <c r="IZ34" s="757"/>
      <c r="JA34" s="757"/>
      <c r="JB34" s="757"/>
      <c r="JC34" s="757"/>
      <c r="JD34" s="757"/>
      <c r="JE34" s="757"/>
      <c r="JF34" s="757"/>
      <c r="JG34" s="757"/>
      <c r="JH34" s="757"/>
      <c r="JI34" s="757"/>
      <c r="JJ34" s="757"/>
      <c r="JK34" s="757"/>
      <c r="JL34" s="757"/>
      <c r="JM34" s="757"/>
      <c r="JN34" s="757"/>
      <c r="JO34" s="757"/>
      <c r="JP34" s="757"/>
      <c r="JQ34" s="757"/>
      <c r="JR34" s="757"/>
      <c r="JS34" s="757"/>
      <c r="JT34" s="757"/>
      <c r="JU34" s="757"/>
      <c r="JV34" s="757"/>
      <c r="JW34" s="757"/>
      <c r="JX34" s="757"/>
      <c r="JY34" s="757"/>
      <c r="JZ34" s="757"/>
      <c r="KA34" s="757"/>
      <c r="KB34" s="757"/>
      <c r="KC34" s="757"/>
      <c r="KD34" s="757"/>
      <c r="KE34" s="757"/>
      <c r="KF34" s="757"/>
      <c r="KG34" s="757"/>
      <c r="KH34" s="757"/>
      <c r="KI34" s="757"/>
      <c r="KJ34" s="757"/>
      <c r="KK34" s="757"/>
      <c r="KL34" s="757"/>
      <c r="KM34" s="757"/>
      <c r="KN34" s="757"/>
      <c r="KO34" s="757"/>
      <c r="KP34" s="757">
        <v>656</v>
      </c>
      <c r="KQ34" s="754">
        <v>-3888.5621537719999</v>
      </c>
    </row>
    <row r="35" spans="1:305" ht="29" customHeight="1" x14ac:dyDescent="0.35">
      <c r="A35" s="104"/>
      <c r="B35" s="752" t="s">
        <v>1272</v>
      </c>
      <c r="C35" s="757">
        <v>328</v>
      </c>
      <c r="D35" s="757">
        <v>8120.2352519592996</v>
      </c>
      <c r="E35" s="753">
        <v>1551.7647480410001</v>
      </c>
      <c r="F35"/>
      <c r="G35"/>
      <c r="H35"/>
      <c r="I35"/>
      <c r="J35"/>
      <c r="K35"/>
      <c r="L35"/>
      <c r="M35"/>
      <c r="N35"/>
      <c r="O35"/>
      <c r="P35"/>
      <c r="Q35"/>
      <c r="R35"/>
      <c r="S35"/>
      <c r="T35"/>
      <c r="U35"/>
      <c r="V35"/>
      <c r="W35"/>
      <c r="X35"/>
      <c r="Y35"/>
      <c r="Z35"/>
      <c r="AA35" s="757"/>
      <c r="AB35" s="757"/>
      <c r="AC35" s="757"/>
      <c r="AD35" s="757"/>
      <c r="AE35" s="757"/>
      <c r="AF35" s="757"/>
      <c r="AG35" s="756"/>
      <c r="AH35" s="757"/>
      <c r="AI35" s="757"/>
      <c r="AJ35" s="757"/>
      <c r="AK35" s="757"/>
      <c r="AL35" s="757"/>
      <c r="AM35" s="757"/>
      <c r="AN35" s="757"/>
      <c r="AO35" s="757"/>
      <c r="AP35" s="757"/>
      <c r="AQ35" s="757"/>
      <c r="AR35" s="757"/>
      <c r="AS35" s="757"/>
      <c r="AT35" s="757"/>
      <c r="AU35" s="757"/>
      <c r="AV35" s="757"/>
      <c r="AW35" s="757"/>
      <c r="AX35" s="757"/>
      <c r="AY35" s="757"/>
      <c r="AZ35" s="757">
        <v>9952.5621537717998</v>
      </c>
      <c r="BA35" s="757"/>
      <c r="BB35" s="757"/>
      <c r="BC35" s="757"/>
      <c r="BD35" s="757"/>
      <c r="BE35" s="757"/>
      <c r="BF35" s="757"/>
      <c r="BG35" s="757"/>
      <c r="BH35" s="757"/>
      <c r="BI35" s="757"/>
      <c r="BJ35" s="757"/>
      <c r="BK35" s="757"/>
      <c r="BL35" s="757"/>
      <c r="BM35" s="757"/>
      <c r="BN35" s="757"/>
      <c r="BO35" s="757"/>
      <c r="BP35" s="757"/>
      <c r="BQ35" s="757"/>
      <c r="BR35" s="757"/>
      <c r="BS35" s="757"/>
      <c r="BT35" s="757"/>
      <c r="BU35" s="757"/>
      <c r="BV35" s="757"/>
      <c r="BW35" s="757"/>
      <c r="BX35" s="757"/>
      <c r="BY35" s="757"/>
      <c r="BZ35" s="757"/>
      <c r="CA35" s="757"/>
      <c r="CB35" s="757"/>
      <c r="CC35" s="757"/>
      <c r="CD35" s="757"/>
      <c r="CE35" s="757"/>
      <c r="CF35" s="757"/>
      <c r="CG35" s="757"/>
      <c r="CH35" s="757"/>
      <c r="CI35" s="757"/>
      <c r="CJ35" s="757"/>
      <c r="CK35" s="757"/>
      <c r="CL35" s="757"/>
      <c r="CM35" s="757"/>
      <c r="CN35" s="757"/>
      <c r="CO35" s="757"/>
      <c r="CP35" s="757"/>
      <c r="CQ35" s="757"/>
      <c r="CR35" s="757"/>
      <c r="CS35" s="757"/>
      <c r="CT35" s="757"/>
      <c r="CU35" s="757"/>
      <c r="CV35" s="757"/>
      <c r="CW35" s="757"/>
      <c r="CX35" s="757"/>
      <c r="CY35" s="757"/>
      <c r="CZ35" s="757"/>
      <c r="DA35" s="757"/>
      <c r="DB35" s="757"/>
      <c r="DC35" s="757"/>
      <c r="DD35" s="757"/>
      <c r="DE35" s="757"/>
      <c r="DF35" s="757"/>
      <c r="DG35" s="757"/>
      <c r="DH35" s="757"/>
      <c r="DI35" s="757"/>
      <c r="DJ35" s="757"/>
      <c r="DK35" s="757"/>
      <c r="DL35" s="757"/>
      <c r="DM35" s="757"/>
      <c r="DN35" s="757"/>
      <c r="DO35" s="757"/>
      <c r="DP35" s="757"/>
      <c r="DQ35" s="757"/>
      <c r="DR35" s="757"/>
      <c r="DS35" s="757"/>
      <c r="DT35" s="757"/>
      <c r="DU35" s="757"/>
      <c r="DV35" s="757"/>
      <c r="DW35" s="757"/>
      <c r="DX35" s="757"/>
      <c r="DY35" s="757"/>
      <c r="DZ35" s="757"/>
      <c r="EA35" s="757"/>
      <c r="EB35" s="757"/>
      <c r="EC35" s="757"/>
      <c r="ED35" s="757"/>
      <c r="EE35" s="757"/>
      <c r="EF35" s="757"/>
      <c r="EG35" s="757"/>
      <c r="EH35" s="757"/>
      <c r="EI35" s="757"/>
      <c r="EJ35" s="757"/>
      <c r="EK35" s="757"/>
      <c r="EL35" s="757"/>
      <c r="EM35" s="757"/>
      <c r="EN35" s="757"/>
      <c r="EO35" s="757"/>
      <c r="EP35" s="757"/>
      <c r="EQ35" s="757"/>
      <c r="ER35" s="757"/>
      <c r="ES35" s="757"/>
      <c r="ET35" s="757"/>
      <c r="EU35" s="757"/>
      <c r="EV35" s="757"/>
      <c r="EW35" s="757"/>
      <c r="EX35" s="757"/>
      <c r="EY35" s="757"/>
      <c r="EZ35" s="757"/>
      <c r="FA35" s="757"/>
      <c r="FB35" s="757"/>
      <c r="FC35" s="757"/>
      <c r="FD35" s="757"/>
      <c r="FE35" s="757"/>
      <c r="FF35" s="757"/>
      <c r="FG35" s="757"/>
      <c r="FH35" s="757"/>
      <c r="FI35" s="757"/>
      <c r="FJ35" s="757"/>
      <c r="FK35" s="757"/>
      <c r="FL35" s="757"/>
      <c r="FM35" s="757"/>
      <c r="FN35" s="757"/>
      <c r="FO35" s="757"/>
      <c r="FP35" s="757"/>
      <c r="FQ35" s="757"/>
      <c r="FR35" s="757"/>
      <c r="FS35" s="757"/>
      <c r="FT35" s="757"/>
      <c r="FU35" s="757"/>
      <c r="FV35" s="757"/>
      <c r="FW35" s="757"/>
      <c r="FX35" s="757"/>
      <c r="FY35" s="757"/>
      <c r="FZ35" s="757"/>
      <c r="GA35" s="757"/>
      <c r="GB35" s="757"/>
      <c r="GC35" s="757"/>
      <c r="GD35" s="757"/>
      <c r="GE35" s="757"/>
      <c r="GF35" s="757"/>
      <c r="GG35" s="757"/>
      <c r="GH35" s="757"/>
      <c r="GI35" s="757"/>
      <c r="GJ35" s="757"/>
      <c r="GK35" s="757"/>
      <c r="GL35" s="757"/>
      <c r="GM35" s="757"/>
      <c r="GN35" s="757"/>
      <c r="GO35" s="757"/>
      <c r="GP35" s="757"/>
      <c r="GQ35" s="757"/>
      <c r="GR35" s="757"/>
      <c r="GS35" s="757"/>
      <c r="GT35" s="757"/>
      <c r="GU35" s="757"/>
      <c r="GV35" s="757"/>
      <c r="GW35" s="757"/>
      <c r="GX35" s="757"/>
      <c r="GY35" s="757"/>
      <c r="GZ35" s="757"/>
      <c r="HA35" s="757"/>
      <c r="HB35" s="757"/>
      <c r="HC35" s="757"/>
      <c r="HD35" s="757"/>
      <c r="HE35" s="757"/>
      <c r="HF35" s="757"/>
      <c r="HG35" s="757"/>
      <c r="HH35" s="757"/>
      <c r="HI35" s="757"/>
      <c r="HJ35" s="757"/>
      <c r="HK35" s="757"/>
      <c r="HL35" s="757"/>
      <c r="HM35" s="757"/>
      <c r="HN35" s="757"/>
      <c r="HO35" s="757"/>
      <c r="HP35" s="757"/>
      <c r="HQ35" s="757"/>
      <c r="HR35" s="757"/>
      <c r="HS35" s="757"/>
      <c r="HT35" s="757"/>
      <c r="HU35" s="757"/>
      <c r="HV35" s="757"/>
      <c r="HW35" s="757"/>
      <c r="HX35" s="757"/>
      <c r="HY35" s="757"/>
      <c r="HZ35" s="757"/>
      <c r="IA35" s="757"/>
      <c r="IB35" s="757"/>
      <c r="IC35" s="757"/>
      <c r="ID35" s="757"/>
      <c r="IE35" s="757"/>
      <c r="IF35" s="757"/>
      <c r="IG35" s="757"/>
      <c r="IH35" s="757"/>
      <c r="II35" s="757"/>
      <c r="IJ35" s="757"/>
      <c r="IK35" s="757"/>
      <c r="IL35" s="757"/>
      <c r="IM35" s="757"/>
      <c r="IN35" s="757"/>
      <c r="IO35" s="757"/>
      <c r="IP35" s="757"/>
      <c r="IQ35" s="757"/>
      <c r="IR35" s="757"/>
      <c r="IS35" s="757"/>
      <c r="IT35" s="757"/>
      <c r="IU35" s="757"/>
      <c r="IV35" s="757"/>
      <c r="IW35" s="757"/>
      <c r="IX35" s="757"/>
      <c r="IY35" s="757"/>
      <c r="IZ35" s="757"/>
      <c r="JA35" s="757"/>
      <c r="JB35" s="757"/>
      <c r="JC35" s="757"/>
      <c r="JD35" s="757"/>
      <c r="JE35" s="757"/>
      <c r="JF35" s="757"/>
      <c r="JG35" s="757"/>
      <c r="JH35" s="757"/>
      <c r="JI35" s="757"/>
      <c r="JJ35" s="757"/>
      <c r="JK35" s="757"/>
      <c r="JL35" s="757"/>
      <c r="JM35" s="757"/>
      <c r="JN35" s="757"/>
      <c r="JO35" s="757"/>
      <c r="JP35" s="757"/>
      <c r="JQ35" s="757"/>
      <c r="JR35" s="757"/>
      <c r="JS35" s="757"/>
      <c r="JT35" s="757"/>
      <c r="JU35" s="757"/>
      <c r="JV35" s="757"/>
      <c r="JW35" s="757"/>
      <c r="JX35" s="757"/>
      <c r="JY35" s="757"/>
      <c r="JZ35" s="757"/>
      <c r="KA35" s="757"/>
      <c r="KB35" s="757"/>
      <c r="KC35" s="757"/>
      <c r="KD35" s="757"/>
      <c r="KE35" s="757"/>
      <c r="KF35" s="757"/>
      <c r="KG35" s="757"/>
      <c r="KH35" s="757"/>
      <c r="KI35" s="757"/>
      <c r="KJ35" s="757"/>
      <c r="KK35" s="757"/>
      <c r="KL35" s="757"/>
      <c r="KM35" s="757"/>
      <c r="KN35" s="757"/>
      <c r="KO35" s="757"/>
      <c r="KP35" s="757"/>
      <c r="KQ35" s="753">
        <v>47.437846227999998</v>
      </c>
    </row>
    <row r="36" spans="1:305" ht="29" customHeight="1" x14ac:dyDescent="0.35">
      <c r="A36" s="104"/>
      <c r="B36" s="755" t="s">
        <v>1680</v>
      </c>
      <c r="C36" s="753">
        <v>0</v>
      </c>
      <c r="D36" s="754">
        <v>656</v>
      </c>
      <c r="E36" s="758">
        <v>2730.6595527034001</v>
      </c>
      <c r="F36"/>
      <c r="G36"/>
      <c r="H36"/>
      <c r="I36"/>
      <c r="J36"/>
      <c r="K36"/>
      <c r="L36"/>
      <c r="M36"/>
      <c r="N36"/>
      <c r="O36"/>
      <c r="P36"/>
      <c r="Q36"/>
      <c r="R36"/>
      <c r="S36"/>
      <c r="T36"/>
      <c r="U36"/>
      <c r="V36"/>
      <c r="W36"/>
      <c r="X36"/>
      <c r="Y36"/>
      <c r="Z36"/>
      <c r="AA36" s="757"/>
      <c r="AB36" s="757"/>
      <c r="AC36" s="757"/>
      <c r="AD36" s="757"/>
      <c r="AE36" s="757"/>
      <c r="AF36" s="757"/>
      <c r="AG36" s="756"/>
      <c r="AH36" s="757"/>
      <c r="AI36" s="757"/>
      <c r="AJ36" s="757"/>
      <c r="AK36" s="757"/>
      <c r="AL36" s="757"/>
      <c r="AM36" s="757"/>
      <c r="AN36" s="757"/>
      <c r="AO36" s="757"/>
      <c r="AP36" s="757"/>
      <c r="AQ36" s="757"/>
      <c r="AR36" s="757"/>
      <c r="AS36" s="757"/>
      <c r="AT36" s="757"/>
      <c r="AU36" s="757"/>
      <c r="AV36" s="757"/>
      <c r="AW36" s="757"/>
      <c r="AX36" s="757"/>
      <c r="AY36" s="757"/>
      <c r="AZ36" s="757">
        <v>9952.5621537717998</v>
      </c>
      <c r="BA36" s="757"/>
      <c r="BB36" s="757"/>
      <c r="BC36" s="757"/>
      <c r="BD36" s="757"/>
      <c r="BE36" s="757"/>
      <c r="BF36" s="757"/>
      <c r="BG36" s="757"/>
      <c r="BH36" s="757"/>
      <c r="BI36" s="757"/>
      <c r="BJ36" s="757"/>
      <c r="BK36" s="757"/>
      <c r="BL36" s="757"/>
      <c r="BM36" s="757"/>
      <c r="BN36" s="757"/>
      <c r="BO36" s="757"/>
      <c r="BP36" s="757"/>
      <c r="BQ36" s="757"/>
      <c r="BR36" s="757"/>
      <c r="BS36" s="757"/>
      <c r="BT36" s="757"/>
      <c r="BU36" s="757"/>
      <c r="BV36" s="757"/>
      <c r="BW36" s="757"/>
      <c r="BX36" s="757"/>
      <c r="BY36" s="757"/>
      <c r="BZ36" s="757"/>
      <c r="CA36" s="757"/>
      <c r="CB36" s="757"/>
      <c r="CC36" s="757"/>
      <c r="CD36" s="757"/>
      <c r="CE36" s="757"/>
      <c r="CF36" s="757"/>
      <c r="CG36" s="757"/>
      <c r="CH36" s="757"/>
      <c r="CI36" s="757"/>
      <c r="CJ36" s="757"/>
      <c r="CK36" s="757"/>
      <c r="CL36" s="757"/>
      <c r="CM36" s="757"/>
      <c r="CN36" s="757"/>
      <c r="CO36" s="757"/>
      <c r="CP36" s="757"/>
      <c r="CQ36" s="757"/>
      <c r="CR36" s="757"/>
      <c r="CS36" s="757"/>
      <c r="CT36" s="757"/>
      <c r="CU36" s="757"/>
      <c r="CV36" s="757"/>
      <c r="CW36" s="757"/>
      <c r="CX36" s="757"/>
      <c r="CY36" s="757"/>
      <c r="CZ36" s="757"/>
      <c r="DA36" s="757"/>
      <c r="DB36" s="757"/>
      <c r="DC36" s="757"/>
      <c r="DD36" s="757"/>
      <c r="DE36" s="757"/>
      <c r="DF36" s="757"/>
      <c r="DG36" s="757"/>
      <c r="DH36" s="757"/>
      <c r="DI36" s="757"/>
      <c r="DJ36" s="757"/>
      <c r="DK36" s="757"/>
      <c r="DL36" s="757"/>
      <c r="DM36" s="757"/>
      <c r="DN36" s="757"/>
      <c r="DO36" s="757"/>
      <c r="DP36" s="757"/>
      <c r="DQ36" s="757"/>
      <c r="DR36" s="757"/>
      <c r="DS36" s="757"/>
      <c r="DT36" s="757"/>
      <c r="DU36" s="757"/>
      <c r="DV36" s="757"/>
      <c r="DW36" s="757"/>
      <c r="DX36" s="757"/>
      <c r="DY36" s="757"/>
      <c r="DZ36" s="757"/>
      <c r="EA36" s="757"/>
      <c r="EB36" s="757"/>
      <c r="EC36" s="757"/>
      <c r="ED36" s="757"/>
      <c r="EE36" s="757"/>
      <c r="EF36" s="757"/>
      <c r="EG36" s="757"/>
      <c r="EH36" s="757"/>
      <c r="EI36" s="757"/>
      <c r="EJ36" s="757"/>
      <c r="EK36" s="757"/>
      <c r="EL36" s="757"/>
      <c r="EM36" s="757"/>
      <c r="EN36" s="757"/>
      <c r="EO36" s="757"/>
      <c r="EP36" s="757"/>
      <c r="EQ36" s="757"/>
      <c r="ER36" s="757"/>
      <c r="ES36" s="757"/>
      <c r="ET36" s="757"/>
      <c r="EU36" s="757"/>
      <c r="EV36" s="757"/>
      <c r="EW36" s="757"/>
      <c r="EX36" s="757"/>
      <c r="EY36" s="757"/>
      <c r="EZ36" s="757"/>
      <c r="FA36" s="757"/>
      <c r="FB36" s="757"/>
      <c r="FC36" s="757"/>
      <c r="FD36" s="757"/>
      <c r="FE36" s="757"/>
      <c r="FF36" s="757"/>
      <c r="FG36" s="757"/>
      <c r="FH36" s="757"/>
      <c r="FI36" s="757"/>
      <c r="FJ36" s="757"/>
      <c r="FK36" s="757"/>
      <c r="FL36" s="757"/>
      <c r="FM36" s="757"/>
      <c r="FN36" s="757"/>
      <c r="FO36" s="757"/>
      <c r="FP36" s="757"/>
      <c r="FQ36" s="757"/>
      <c r="FR36" s="757"/>
      <c r="FS36" s="757"/>
      <c r="FT36" s="757"/>
      <c r="FU36" s="757"/>
      <c r="FV36" s="757"/>
      <c r="FW36" s="757"/>
      <c r="FX36" s="757"/>
      <c r="FY36" s="757"/>
      <c r="FZ36" s="757"/>
      <c r="GA36" s="757"/>
      <c r="GB36" s="757"/>
      <c r="GC36" s="757"/>
      <c r="GD36" s="757"/>
      <c r="GE36" s="757"/>
      <c r="GF36" s="757"/>
      <c r="GG36" s="757"/>
      <c r="GH36" s="757"/>
      <c r="GI36" s="757"/>
      <c r="GJ36" s="757"/>
      <c r="GK36" s="757"/>
      <c r="GL36" s="757"/>
      <c r="GM36" s="757"/>
      <c r="GN36" s="757"/>
      <c r="GO36" s="757"/>
      <c r="GP36" s="757"/>
      <c r="GQ36" s="757"/>
      <c r="GR36" s="757"/>
      <c r="GS36" s="757"/>
      <c r="GT36" s="757"/>
      <c r="GU36" s="757"/>
      <c r="GV36" s="757"/>
      <c r="GW36" s="757"/>
      <c r="GX36" s="757"/>
      <c r="GY36" s="757"/>
      <c r="GZ36" s="757"/>
      <c r="HA36" s="757"/>
      <c r="HB36" s="757"/>
      <c r="HC36" s="757"/>
      <c r="HD36" s="757"/>
      <c r="HE36" s="757"/>
      <c r="HF36" s="757"/>
      <c r="HG36" s="757"/>
      <c r="HH36" s="757"/>
      <c r="HI36" s="757"/>
      <c r="HJ36" s="757"/>
      <c r="HK36" s="757"/>
      <c r="HL36" s="757"/>
      <c r="HM36" s="757"/>
      <c r="HN36" s="757"/>
      <c r="HO36" s="757"/>
      <c r="HP36" s="757"/>
      <c r="HQ36" s="757"/>
      <c r="HR36" s="757"/>
      <c r="HS36" s="757"/>
      <c r="HT36" s="757"/>
      <c r="HU36" s="757"/>
      <c r="HV36" s="757"/>
      <c r="HW36" s="757"/>
      <c r="HX36" s="757"/>
      <c r="HY36" s="757"/>
      <c r="HZ36" s="757"/>
      <c r="IA36" s="757"/>
      <c r="IB36" s="757"/>
      <c r="IC36" s="757"/>
      <c r="ID36" s="757"/>
      <c r="IE36" s="757"/>
      <c r="IF36" s="757"/>
      <c r="IG36" s="757"/>
      <c r="IH36" s="757"/>
      <c r="II36" s="757"/>
      <c r="IJ36" s="757"/>
      <c r="IK36" s="757"/>
      <c r="IL36" s="757"/>
      <c r="IM36" s="757"/>
      <c r="IN36" s="757"/>
      <c r="IO36" s="757"/>
      <c r="IP36" s="757"/>
      <c r="IQ36" s="757"/>
      <c r="IR36" s="757"/>
      <c r="IS36" s="757"/>
      <c r="IT36" s="757"/>
      <c r="IU36" s="757"/>
      <c r="IV36" s="757"/>
      <c r="IW36" s="757"/>
      <c r="IX36" s="757"/>
      <c r="IY36" s="757"/>
      <c r="IZ36" s="757"/>
      <c r="JA36" s="757"/>
      <c r="JB36" s="757"/>
      <c r="JC36" s="757"/>
      <c r="JD36" s="757"/>
      <c r="JE36" s="757"/>
      <c r="JF36" s="757"/>
      <c r="JG36" s="757"/>
      <c r="JH36" s="757"/>
      <c r="JI36" s="757"/>
      <c r="JJ36" s="757"/>
      <c r="JK36" s="757"/>
      <c r="JL36" s="757"/>
      <c r="JM36" s="757"/>
      <c r="JN36" s="757"/>
      <c r="JO36" s="757"/>
      <c r="JP36" s="757"/>
      <c r="JQ36" s="757"/>
      <c r="JR36" s="757"/>
      <c r="JS36" s="757"/>
      <c r="JT36" s="757"/>
      <c r="JU36" s="757"/>
      <c r="JV36" s="757"/>
      <c r="JW36" s="757"/>
      <c r="JX36" s="757"/>
      <c r="JY36" s="757"/>
      <c r="JZ36" s="757"/>
      <c r="KA36" s="757"/>
      <c r="KB36" s="757"/>
      <c r="KC36" s="757"/>
      <c r="KD36" s="757"/>
      <c r="KE36" s="757"/>
      <c r="KF36" s="757"/>
      <c r="KG36" s="757"/>
      <c r="KH36" s="757"/>
      <c r="KI36" s="757"/>
      <c r="KJ36" s="757"/>
      <c r="KK36" s="757"/>
      <c r="KL36" s="757"/>
      <c r="KM36" s="757"/>
      <c r="KN36" s="757"/>
      <c r="KO36" s="757"/>
      <c r="KP36" s="757"/>
      <c r="KQ36" s="753">
        <v>47.437846227999998</v>
      </c>
    </row>
    <row r="37" spans="1:305" ht="29" customHeight="1" x14ac:dyDescent="0.35">
      <c r="A37" s="104"/>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c r="JA37"/>
      <c r="JB37"/>
      <c r="JC37"/>
      <c r="JD37"/>
      <c r="JE37"/>
      <c r="JF37"/>
      <c r="JG37"/>
      <c r="JH37"/>
      <c r="JI37"/>
      <c r="JJ37"/>
      <c r="JK37"/>
      <c r="JL37"/>
      <c r="JM37"/>
      <c r="JN37"/>
      <c r="JO37"/>
      <c r="JP37"/>
      <c r="JQ37"/>
      <c r="JR37"/>
      <c r="JS37"/>
      <c r="JT37"/>
      <c r="JU37"/>
      <c r="JV37"/>
      <c r="JW37"/>
      <c r="JX37"/>
      <c r="JY37"/>
      <c r="JZ37"/>
      <c r="KA37"/>
      <c r="KB37"/>
      <c r="KC37"/>
      <c r="KD37"/>
      <c r="KE37"/>
      <c r="KF37"/>
      <c r="KG37"/>
      <c r="KH37"/>
      <c r="KI37"/>
      <c r="KJ37"/>
      <c r="KK37"/>
      <c r="KL37"/>
      <c r="KM37"/>
      <c r="KN37"/>
      <c r="KO37"/>
      <c r="KP37"/>
      <c r="KQ37"/>
    </row>
    <row r="38" spans="1:305" ht="29" customHeight="1" x14ac:dyDescent="0.35">
      <c r="A38" s="104"/>
      <c r="B38"/>
      <c r="C38" s="752" t="s">
        <v>1219</v>
      </c>
      <c r="D38" s="752" t="s">
        <v>1231</v>
      </c>
      <c r="E38" s="755" t="s">
        <v>1681</v>
      </c>
      <c r="F38" s="755" t="s">
        <v>1682</v>
      </c>
      <c r="G38" s="755" t="s">
        <v>1683</v>
      </c>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c r="ED38"/>
      <c r="EE38"/>
      <c r="EF38"/>
      <c r="EG38"/>
      <c r="EH38"/>
      <c r="EI38"/>
      <c r="EJ38"/>
      <c r="EK38"/>
      <c r="EL38"/>
      <c r="EM38"/>
      <c r="EN38"/>
      <c r="EO38"/>
      <c r="EP38"/>
      <c r="EQ38"/>
      <c r="ER38"/>
      <c r="ES38"/>
      <c r="ET38"/>
      <c r="EU38"/>
      <c r="EV38"/>
      <c r="EW38"/>
      <c r="EX38"/>
      <c r="EY38"/>
      <c r="EZ38"/>
      <c r="FA38"/>
      <c r="FB38"/>
      <c r="FC38"/>
      <c r="FD38"/>
      <c r="FE38"/>
      <c r="FF38"/>
      <c r="FG38"/>
      <c r="FH38"/>
      <c r="FI38"/>
      <c r="FJ38"/>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c r="JA38"/>
      <c r="JB38"/>
      <c r="JC38"/>
      <c r="JD38"/>
      <c r="JE38"/>
      <c r="JF38"/>
      <c r="JG38"/>
      <c r="JH38"/>
      <c r="JI38"/>
      <c r="JJ38"/>
      <c r="JK38"/>
      <c r="JL38"/>
      <c r="JM38"/>
      <c r="JN38"/>
      <c r="JO38"/>
      <c r="JP38"/>
      <c r="JQ38"/>
      <c r="JR38"/>
      <c r="JS38"/>
      <c r="JT38"/>
      <c r="JU38"/>
      <c r="JV38"/>
      <c r="JW38"/>
      <c r="JX38"/>
      <c r="JY38"/>
      <c r="JZ38"/>
      <c r="KA38"/>
      <c r="KB38"/>
      <c r="KC38"/>
      <c r="KD38"/>
      <c r="KE38"/>
      <c r="KF38"/>
      <c r="KG38"/>
      <c r="KH38"/>
      <c r="KI38"/>
      <c r="KJ38"/>
      <c r="KK38"/>
      <c r="KL38"/>
      <c r="KM38"/>
      <c r="KN38"/>
      <c r="KO38"/>
      <c r="KP38"/>
      <c r="KQ38"/>
    </row>
    <row r="39" spans="1:305" ht="29" customHeight="1" x14ac:dyDescent="0.35">
      <c r="A39" s="104"/>
      <c r="B39" s="752" t="s">
        <v>1270</v>
      </c>
      <c r="C39" s="757">
        <v>0.9626263437</v>
      </c>
      <c r="D39" s="757"/>
      <c r="E39" s="772">
        <v>0.9626263437</v>
      </c>
      <c r="F39" s="772">
        <v>1</v>
      </c>
      <c r="G39" s="772">
        <v>1.3880379957282258</v>
      </c>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c r="ED39"/>
      <c r="EE39"/>
      <c r="EF39"/>
      <c r="EG39"/>
      <c r="EH39"/>
      <c r="EI39"/>
      <c r="EJ39"/>
      <c r="EK39"/>
      <c r="EL39"/>
      <c r="EM39"/>
      <c r="EN39"/>
      <c r="EO39"/>
      <c r="EP39"/>
      <c r="EQ39"/>
      <c r="ER39"/>
      <c r="ES39"/>
      <c r="ET39"/>
      <c r="EU39"/>
      <c r="EV39"/>
      <c r="EW39"/>
      <c r="EX39"/>
      <c r="EY39"/>
      <c r="EZ39"/>
      <c r="FA39"/>
      <c r="FB39"/>
      <c r="FC39"/>
      <c r="FD39"/>
      <c r="FE39"/>
      <c r="FF39"/>
      <c r="FG39"/>
      <c r="FH39"/>
      <c r="FI39"/>
      <c r="FJ39"/>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c r="JA39"/>
      <c r="JB39"/>
      <c r="JC39"/>
      <c r="JD39"/>
      <c r="JE39"/>
      <c r="JF39"/>
      <c r="JG39"/>
      <c r="JH39"/>
      <c r="JI39"/>
      <c r="JJ39"/>
      <c r="JK39"/>
      <c r="JL39"/>
      <c r="JM39"/>
      <c r="JN39"/>
      <c r="JO39"/>
      <c r="JP39"/>
      <c r="JQ39"/>
      <c r="JR39"/>
      <c r="JS39"/>
      <c r="JT39"/>
      <c r="JU39"/>
      <c r="JV39"/>
      <c r="JW39"/>
      <c r="JX39"/>
      <c r="JY39"/>
      <c r="JZ39"/>
      <c r="KA39"/>
      <c r="KB39"/>
      <c r="KC39"/>
      <c r="KD39"/>
      <c r="KE39"/>
      <c r="KF39"/>
      <c r="KG39"/>
      <c r="KH39"/>
      <c r="KI39"/>
      <c r="KJ39"/>
      <c r="KK39"/>
      <c r="KL39"/>
      <c r="KM39"/>
      <c r="KN39"/>
      <c r="KO39"/>
      <c r="KP39"/>
      <c r="KQ39"/>
    </row>
    <row r="40" spans="1:305" ht="29" customHeight="1" x14ac:dyDescent="0.35">
      <c r="A40" s="104"/>
      <c r="B40" s="752" t="s">
        <v>1272</v>
      </c>
      <c r="C40" s="757">
        <v>3.7373656300000002E-2</v>
      </c>
      <c r="D40" s="757">
        <v>1</v>
      </c>
      <c r="E40" s="772">
        <v>1.0373736563</v>
      </c>
      <c r="F40" s="772">
        <v>2</v>
      </c>
      <c r="G40" s="772">
        <v>2.2530299826645073</v>
      </c>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c r="ED40"/>
      <c r="EE40"/>
      <c r="EF40"/>
      <c r="EG40"/>
      <c r="EH40"/>
      <c r="EI40"/>
      <c r="EJ40"/>
      <c r="EK40"/>
      <c r="EL40"/>
      <c r="EM40"/>
      <c r="EN40"/>
      <c r="EO40"/>
      <c r="EP40"/>
      <c r="EQ40"/>
      <c r="ER40"/>
      <c r="ES40"/>
      <c r="ET40"/>
      <c r="EU40"/>
      <c r="EV40"/>
      <c r="EW40"/>
      <c r="EX40"/>
      <c r="EY40"/>
      <c r="EZ40"/>
      <c r="FA40"/>
      <c r="FB40"/>
      <c r="FC40"/>
      <c r="FD40"/>
      <c r="FE40"/>
      <c r="FF40"/>
      <c r="FG40"/>
      <c r="FH40"/>
      <c r="FI40"/>
      <c r="FJ4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c r="JA40"/>
      <c r="JB40"/>
      <c r="JC40"/>
      <c r="JD40"/>
      <c r="JE40"/>
      <c r="JF40"/>
      <c r="JG40"/>
      <c r="JH40"/>
      <c r="JI40"/>
      <c r="JJ40"/>
      <c r="JK40"/>
      <c r="JL40"/>
      <c r="JM40"/>
      <c r="JN40"/>
      <c r="JO40"/>
      <c r="JP40"/>
      <c r="JQ40"/>
      <c r="JR40"/>
      <c r="JS40"/>
      <c r="JT40"/>
      <c r="JU40"/>
      <c r="JV40"/>
      <c r="JW40"/>
      <c r="JX40"/>
      <c r="JY40"/>
      <c r="JZ40"/>
      <c r="KA40"/>
      <c r="KB40"/>
      <c r="KC40"/>
      <c r="KD40"/>
      <c r="KE40"/>
      <c r="KF40"/>
      <c r="KG40"/>
      <c r="KH40"/>
      <c r="KI40"/>
      <c r="KJ40"/>
      <c r="KK40"/>
      <c r="KL40"/>
      <c r="KM40"/>
      <c r="KN40"/>
      <c r="KO40"/>
      <c r="KP40"/>
      <c r="KQ40"/>
    </row>
    <row r="41" spans="1:305" ht="29" customHeight="1" x14ac:dyDescent="0.35">
      <c r="A41" s="104"/>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c r="ED41"/>
      <c r="EE41"/>
      <c r="EF41"/>
      <c r="EG41"/>
      <c r="EH41"/>
      <c r="EI41"/>
      <c r="EJ41"/>
      <c r="EK41"/>
      <c r="EL41"/>
      <c r="EM41"/>
      <c r="EN41"/>
      <c r="EO41"/>
      <c r="EP41"/>
      <c r="EQ41"/>
      <c r="ER41"/>
      <c r="ES41"/>
      <c r="ET41"/>
      <c r="EU41"/>
      <c r="EV41"/>
      <c r="EW41"/>
      <c r="EX41"/>
      <c r="EY41"/>
      <c r="EZ41"/>
      <c r="FA41"/>
      <c r="FB41"/>
      <c r="FC41"/>
      <c r="FD41"/>
      <c r="FE41"/>
      <c r="FF41"/>
      <c r="FG41"/>
      <c r="FH41"/>
      <c r="FI41"/>
      <c r="FJ41"/>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c r="JA41"/>
      <c r="JB41"/>
      <c r="JC41"/>
      <c r="JD41"/>
      <c r="JE41"/>
      <c r="JF41"/>
      <c r="JG41"/>
      <c r="JH41"/>
      <c r="JI41"/>
      <c r="JJ41"/>
      <c r="JK41"/>
      <c r="JL41"/>
      <c r="JM41"/>
      <c r="JN41"/>
      <c r="JO41"/>
      <c r="JP41"/>
      <c r="JQ41"/>
      <c r="JR41"/>
      <c r="JS41"/>
      <c r="JT41"/>
      <c r="JU41"/>
      <c r="JV41"/>
      <c r="JW41"/>
      <c r="JX41"/>
      <c r="JY41"/>
      <c r="JZ41"/>
      <c r="KA41"/>
      <c r="KB41"/>
      <c r="KC41"/>
      <c r="KD41"/>
      <c r="KE41"/>
      <c r="KF41"/>
      <c r="KG41"/>
      <c r="KH41"/>
      <c r="KI41"/>
      <c r="KJ41"/>
      <c r="KK41"/>
      <c r="KL41"/>
      <c r="KM41"/>
      <c r="KN41"/>
      <c r="KO41"/>
      <c r="KP41"/>
      <c r="KQ41"/>
    </row>
    <row r="42" spans="1:305" ht="29" customHeight="1" x14ac:dyDescent="0.35">
      <c r="A42" s="104"/>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c r="ED42"/>
      <c r="EE42"/>
      <c r="EF42"/>
      <c r="EG42"/>
      <c r="EH42"/>
      <c r="EI42"/>
      <c r="EJ42"/>
      <c r="EK42"/>
      <c r="EL42"/>
      <c r="EM42"/>
      <c r="EN42"/>
      <c r="EO42"/>
      <c r="EP42"/>
      <c r="EQ42"/>
      <c r="ER42"/>
      <c r="ES42"/>
      <c r="ET42"/>
      <c r="EU42"/>
      <c r="EV42"/>
      <c r="EW42"/>
      <c r="EX42"/>
      <c r="EY42"/>
      <c r="EZ42"/>
      <c r="FA42"/>
      <c r="FB42"/>
      <c r="FC42"/>
      <c r="FD42"/>
      <c r="FE42"/>
      <c r="FF42"/>
      <c r="FG42"/>
      <c r="FH42"/>
      <c r="FI42"/>
      <c r="FJ42"/>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c r="JA42"/>
      <c r="JB42"/>
      <c r="JC42"/>
      <c r="JD42"/>
      <c r="JE42"/>
      <c r="JF42"/>
      <c r="JG42"/>
      <c r="JH42"/>
      <c r="JI42"/>
      <c r="JJ42"/>
      <c r="JK42"/>
      <c r="JL42"/>
      <c r="JM42"/>
      <c r="JN42"/>
      <c r="JO42"/>
      <c r="JP42"/>
      <c r="JQ42"/>
      <c r="JR42"/>
      <c r="JS42"/>
      <c r="JT42"/>
      <c r="JU42"/>
      <c r="JV42"/>
      <c r="JW42"/>
      <c r="JX42"/>
      <c r="JY42"/>
      <c r="JZ42"/>
      <c r="KA42"/>
      <c r="KB42"/>
      <c r="KC42"/>
      <c r="KD42"/>
      <c r="KE42"/>
      <c r="KF42"/>
      <c r="KG42"/>
      <c r="KH42"/>
      <c r="KI42"/>
      <c r="KJ42"/>
      <c r="KK42"/>
      <c r="KL42"/>
      <c r="KM42"/>
      <c r="KN42"/>
      <c r="KO42"/>
      <c r="KP42"/>
      <c r="KQ42"/>
    </row>
    <row r="43" spans="1:305" ht="29" customHeight="1" x14ac:dyDescent="0.35">
      <c r="A43" s="104"/>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c r="ED43"/>
      <c r="EE43"/>
      <c r="EF43"/>
      <c r="EG43"/>
      <c r="EH43"/>
      <c r="EI43"/>
      <c r="EJ43"/>
      <c r="EK43"/>
      <c r="EL43"/>
      <c r="EM43"/>
      <c r="EN43"/>
      <c r="EO43"/>
      <c r="EP43"/>
      <c r="EQ43"/>
      <c r="ER43"/>
      <c r="ES43"/>
      <c r="ET43"/>
      <c r="EU43"/>
      <c r="EV43"/>
      <c r="EW43"/>
      <c r="EX43"/>
      <c r="EY43"/>
      <c r="EZ43"/>
      <c r="FA43"/>
      <c r="FB43"/>
      <c r="FC43"/>
      <c r="FD43"/>
      <c r="FE43"/>
      <c r="FF43"/>
      <c r="FG43"/>
      <c r="FH43"/>
      <c r="FI43"/>
      <c r="FJ43"/>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c r="JA43"/>
      <c r="JB43"/>
      <c r="JC43"/>
      <c r="JD43"/>
      <c r="JE43"/>
      <c r="JF43"/>
      <c r="JG43"/>
      <c r="JH43"/>
      <c r="JI43"/>
      <c r="JJ43"/>
      <c r="JK43"/>
      <c r="JL43"/>
      <c r="JM43"/>
      <c r="JN43"/>
      <c r="JO43"/>
      <c r="JP43"/>
      <c r="JQ43"/>
      <c r="JR43"/>
      <c r="JS43"/>
      <c r="JT43"/>
      <c r="JU43"/>
      <c r="JV43"/>
      <c r="JW43"/>
      <c r="JX43"/>
      <c r="JY43"/>
      <c r="JZ43"/>
      <c r="KA43"/>
      <c r="KB43"/>
      <c r="KC43"/>
      <c r="KD43"/>
      <c r="KE43"/>
      <c r="KF43"/>
      <c r="KG43"/>
      <c r="KH43"/>
      <c r="KI43"/>
      <c r="KJ43"/>
      <c r="KK43"/>
      <c r="KL43"/>
      <c r="KM43"/>
      <c r="KN43"/>
      <c r="KO43"/>
      <c r="KP43"/>
      <c r="KQ43"/>
    </row>
    <row r="44" spans="1:305" ht="29" customHeight="1" x14ac:dyDescent="0.35">
      <c r="A44" s="10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c r="ED44"/>
      <c r="EE44"/>
      <c r="EF44"/>
      <c r="EG44"/>
      <c r="EH44"/>
      <c r="EI44"/>
      <c r="EJ44"/>
      <c r="EK44"/>
      <c r="EL44"/>
      <c r="EM44"/>
      <c r="EN44"/>
      <c r="EO44"/>
      <c r="EP44"/>
      <c r="EQ44"/>
      <c r="ER44"/>
      <c r="ES44"/>
      <c r="ET44"/>
      <c r="EU44"/>
      <c r="EV44"/>
      <c r="EW44"/>
      <c r="EX44"/>
      <c r="EY44"/>
      <c r="EZ44"/>
      <c r="FA44"/>
      <c r="FB44"/>
      <c r="FC44"/>
      <c r="FD44"/>
      <c r="FE44"/>
      <c r="FF44"/>
      <c r="FG44"/>
      <c r="FH44"/>
      <c r="FI44"/>
      <c r="FJ44"/>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c r="JA44"/>
      <c r="JB44"/>
      <c r="JC44"/>
      <c r="JD44"/>
      <c r="JE44"/>
      <c r="JF44"/>
      <c r="JG44"/>
      <c r="JH44"/>
      <c r="JI44"/>
      <c r="JJ44"/>
      <c r="JK44"/>
      <c r="JL44"/>
      <c r="JM44"/>
      <c r="JN44"/>
      <c r="JO44"/>
      <c r="JP44"/>
      <c r="JQ44"/>
      <c r="JR44"/>
      <c r="JS44"/>
      <c r="JT44"/>
      <c r="JU44"/>
      <c r="JV44"/>
      <c r="JW44"/>
      <c r="JX44"/>
      <c r="JY44"/>
      <c r="JZ44"/>
      <c r="KA44"/>
      <c r="KB44"/>
      <c r="KC44"/>
      <c r="KD44"/>
      <c r="KE44"/>
      <c r="KF44"/>
      <c r="KG44"/>
      <c r="KH44"/>
      <c r="KI44"/>
      <c r="KJ44"/>
      <c r="KK44"/>
      <c r="KL44"/>
      <c r="KM44"/>
      <c r="KN44"/>
      <c r="KO44"/>
      <c r="KP44"/>
      <c r="KQ44"/>
    </row>
    <row r="45" spans="1:305" ht="29" customHeight="1" x14ac:dyDescent="0.35">
      <c r="A45" s="104"/>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c r="ED45"/>
      <c r="EE45"/>
      <c r="EF45"/>
      <c r="EG45"/>
      <c r="EH45"/>
      <c r="EI45"/>
      <c r="EJ45"/>
      <c r="EK45"/>
      <c r="EL45"/>
      <c r="EM45"/>
      <c r="EN45"/>
      <c r="EO45"/>
      <c r="EP45"/>
      <c r="EQ45"/>
      <c r="ER45"/>
      <c r="ES45"/>
      <c r="ET45"/>
      <c r="EU45"/>
      <c r="EV45"/>
      <c r="EW45"/>
      <c r="EX45"/>
      <c r="EY45"/>
      <c r="EZ45"/>
      <c r="FA45"/>
      <c r="FB45"/>
      <c r="FC45"/>
      <c r="FD45"/>
      <c r="FE45"/>
      <c r="FF45"/>
      <c r="FG45"/>
      <c r="FH45"/>
      <c r="FI45"/>
      <c r="FJ45"/>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c r="JA45"/>
      <c r="JB45"/>
      <c r="JC45"/>
      <c r="JD45"/>
      <c r="JE45"/>
      <c r="JF45"/>
      <c r="JG45"/>
      <c r="JH45"/>
      <c r="JI45"/>
      <c r="JJ45"/>
      <c r="JK45"/>
      <c r="JL45"/>
      <c r="JM45"/>
      <c r="JN45"/>
      <c r="JO45"/>
      <c r="JP45"/>
      <c r="JQ45"/>
      <c r="JR45"/>
      <c r="JS45"/>
      <c r="JT45"/>
      <c r="JU45"/>
      <c r="JV45"/>
      <c r="JW45"/>
      <c r="JX45"/>
      <c r="JY45"/>
      <c r="JZ45"/>
      <c r="KA45"/>
      <c r="KB45"/>
      <c r="KC45"/>
      <c r="KD45"/>
      <c r="KE45"/>
      <c r="KF45"/>
      <c r="KG45"/>
      <c r="KH45"/>
      <c r="KI45"/>
      <c r="KJ45"/>
      <c r="KK45"/>
      <c r="KL45"/>
      <c r="KM45"/>
      <c r="KN45"/>
      <c r="KO45"/>
      <c r="KP45"/>
      <c r="KQ45"/>
    </row>
    <row r="46" spans="1:305" ht="29" customHeight="1" x14ac:dyDescent="0.35">
      <c r="A46" s="104"/>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c r="ED46"/>
      <c r="EE46"/>
      <c r="EF46"/>
      <c r="EG46"/>
      <c r="EH46"/>
      <c r="EI46"/>
      <c r="EJ46"/>
      <c r="EK46"/>
      <c r="EL46"/>
      <c r="EM46"/>
      <c r="EN46"/>
      <c r="EO46"/>
      <c r="EP46"/>
      <c r="EQ46"/>
      <c r="ER46"/>
      <c r="ES46"/>
      <c r="ET46"/>
      <c r="EU46"/>
      <c r="EV46"/>
      <c r="EW46"/>
      <c r="EX46"/>
      <c r="EY46"/>
      <c r="EZ46"/>
      <c r="FA46"/>
      <c r="FB46"/>
      <c r="FC46"/>
      <c r="FD46"/>
      <c r="FE46"/>
      <c r="FF46"/>
      <c r="FG46"/>
      <c r="FH46"/>
      <c r="FI46"/>
      <c r="FJ46"/>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c r="JA46"/>
      <c r="JB46"/>
      <c r="JC46"/>
      <c r="JD46"/>
      <c r="JE46"/>
      <c r="JF46"/>
      <c r="JG46"/>
      <c r="JH46"/>
      <c r="JI46"/>
      <c r="JJ46"/>
      <c r="JK46"/>
      <c r="JL46"/>
      <c r="JM46"/>
      <c r="JN46"/>
      <c r="JO46"/>
      <c r="JP46"/>
      <c r="JQ46"/>
      <c r="JR46"/>
      <c r="JS46"/>
      <c r="JT46"/>
      <c r="JU46"/>
      <c r="JV46"/>
      <c r="JW46"/>
      <c r="JX46"/>
      <c r="JY46"/>
      <c r="JZ46"/>
      <c r="KA46"/>
      <c r="KB46"/>
      <c r="KC46"/>
      <c r="KD46"/>
      <c r="KE46"/>
      <c r="KF46"/>
      <c r="KG46"/>
      <c r="KH46"/>
      <c r="KI46"/>
      <c r="KJ46"/>
      <c r="KK46"/>
      <c r="KL46"/>
      <c r="KM46"/>
      <c r="KN46"/>
      <c r="KO46"/>
      <c r="KP46"/>
      <c r="KQ46"/>
    </row>
    <row r="47" spans="1:305" ht="29" customHeight="1" x14ac:dyDescent="0.35">
      <c r="A47" s="104"/>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c r="ED47"/>
      <c r="EE47"/>
      <c r="EF47"/>
      <c r="EG47"/>
      <c r="EH47"/>
      <c r="EI47"/>
      <c r="EJ47"/>
      <c r="EK47"/>
      <c r="EL47"/>
      <c r="EM47"/>
      <c r="EN47"/>
      <c r="EO47"/>
      <c r="EP47"/>
      <c r="EQ47"/>
      <c r="ER47"/>
      <c r="ES47"/>
      <c r="ET47"/>
      <c r="EU47"/>
      <c r="EV47"/>
      <c r="EW47"/>
      <c r="EX47"/>
      <c r="EY47"/>
      <c r="EZ47"/>
      <c r="FA47"/>
      <c r="FB47"/>
      <c r="FC47"/>
      <c r="FD47"/>
      <c r="FE47"/>
      <c r="FF47"/>
      <c r="FG47"/>
      <c r="FH47"/>
      <c r="FI47"/>
      <c r="FJ47"/>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c r="JA47"/>
      <c r="JB47"/>
      <c r="JC47"/>
      <c r="JD47"/>
      <c r="JE47"/>
      <c r="JF47"/>
      <c r="JG47"/>
      <c r="JH47"/>
      <c r="JI47"/>
      <c r="JJ47"/>
      <c r="JK47"/>
      <c r="JL47"/>
      <c r="JM47"/>
      <c r="JN47"/>
      <c r="JO47"/>
      <c r="JP47"/>
      <c r="JQ47"/>
      <c r="JR47"/>
      <c r="JS47"/>
      <c r="JT47"/>
      <c r="JU47"/>
      <c r="JV47"/>
      <c r="JW47"/>
      <c r="JX47"/>
      <c r="JY47"/>
      <c r="JZ47"/>
      <c r="KA47"/>
      <c r="KB47"/>
      <c r="KC47"/>
      <c r="KD47"/>
      <c r="KE47"/>
      <c r="KF47"/>
      <c r="KG47"/>
      <c r="KH47"/>
      <c r="KI47"/>
      <c r="KJ47"/>
      <c r="KK47"/>
      <c r="KL47"/>
      <c r="KM47"/>
      <c r="KN47"/>
      <c r="KO47"/>
      <c r="KP47"/>
      <c r="KQ47"/>
      <c r="KR47"/>
      <c r="KS47"/>
    </row>
    <row r="48" spans="1:305" ht="29" customHeight="1" x14ac:dyDescent="0.35">
      <c r="A48" s="104"/>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c r="ED48"/>
      <c r="EE48"/>
      <c r="EF48"/>
      <c r="EG48"/>
      <c r="EH48"/>
      <c r="EI48"/>
      <c r="EJ48"/>
      <c r="EK48"/>
      <c r="EL48"/>
      <c r="EM48"/>
      <c r="EN48"/>
      <c r="EO48"/>
      <c r="EP48"/>
      <c r="EQ48"/>
      <c r="ER48"/>
      <c r="ES48"/>
      <c r="ET48"/>
      <c r="EU48"/>
      <c r="EV48"/>
      <c r="EW48"/>
      <c r="EX48"/>
      <c r="EY48"/>
      <c r="EZ48"/>
      <c r="FA48"/>
      <c r="FB48"/>
      <c r="FC48"/>
      <c r="FD48"/>
      <c r="FE48"/>
      <c r="FF48"/>
      <c r="FG48"/>
      <c r="FH48"/>
      <c r="FI48"/>
      <c r="FJ48"/>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c r="JA48"/>
      <c r="JB48"/>
      <c r="JC48"/>
      <c r="JD48"/>
      <c r="JE48"/>
      <c r="JF48"/>
      <c r="JG48"/>
      <c r="JH48"/>
      <c r="JI48"/>
      <c r="JJ48"/>
      <c r="JK48"/>
      <c r="JL48"/>
      <c r="JM48"/>
      <c r="JN48"/>
      <c r="JO48"/>
      <c r="JP48"/>
      <c r="JQ48"/>
      <c r="JR48"/>
      <c r="JS48"/>
      <c r="JT48"/>
      <c r="JU48"/>
      <c r="JV48"/>
      <c r="JW48"/>
      <c r="JX48"/>
      <c r="JY48"/>
      <c r="JZ48"/>
      <c r="KA48"/>
      <c r="KB48"/>
      <c r="KC48"/>
      <c r="KD48"/>
      <c r="KE48"/>
      <c r="KF48"/>
      <c r="KG48"/>
      <c r="KH48"/>
      <c r="KI48"/>
      <c r="KJ48"/>
      <c r="KK48"/>
      <c r="KL48"/>
      <c r="KM48"/>
      <c r="KN48"/>
      <c r="KO48"/>
      <c r="KP48"/>
      <c r="KQ48"/>
      <c r="KR48"/>
      <c r="KS48"/>
    </row>
    <row r="49" spans="1:305" ht="29" customHeight="1" x14ac:dyDescent="0.35">
      <c r="A49" s="104"/>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c r="ED49"/>
      <c r="EE49"/>
      <c r="EF49"/>
      <c r="EG49"/>
      <c r="EH49"/>
      <c r="EI49"/>
      <c r="EJ49"/>
      <c r="EK49"/>
      <c r="EL49"/>
      <c r="EM49"/>
      <c r="EN49"/>
      <c r="EO49"/>
      <c r="EP49"/>
      <c r="EQ49"/>
      <c r="ER49"/>
      <c r="ES49"/>
      <c r="ET49"/>
      <c r="EU49"/>
      <c r="EV49"/>
      <c r="EW49"/>
      <c r="EX49"/>
      <c r="EY49"/>
      <c r="EZ49"/>
      <c r="FA49"/>
      <c r="FB49"/>
      <c r="FC49"/>
      <c r="FD49"/>
      <c r="FE49"/>
      <c r="FF49"/>
      <c r="FG49"/>
      <c r="FH49"/>
      <c r="FI49"/>
      <c r="FJ49"/>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c r="JA49"/>
      <c r="JB49"/>
      <c r="JC49"/>
      <c r="JD49"/>
      <c r="JE49"/>
      <c r="JF49"/>
      <c r="JG49"/>
      <c r="JH49"/>
      <c r="JI49"/>
      <c r="JJ49"/>
      <c r="JK49"/>
      <c r="JL49"/>
      <c r="JM49"/>
      <c r="JN49"/>
      <c r="JO49"/>
      <c r="JP49"/>
      <c r="JQ49"/>
      <c r="JR49"/>
      <c r="JS49"/>
      <c r="JT49"/>
      <c r="JU49"/>
      <c r="JV49"/>
      <c r="JW49"/>
      <c r="JX49"/>
      <c r="JY49"/>
      <c r="JZ49"/>
      <c r="KA49"/>
      <c r="KB49"/>
      <c r="KC49"/>
      <c r="KD49"/>
      <c r="KE49"/>
      <c r="KF49"/>
      <c r="KG49"/>
      <c r="KH49"/>
      <c r="KI49"/>
      <c r="KJ49"/>
      <c r="KK49"/>
      <c r="KL49"/>
      <c r="KM49"/>
      <c r="KN49"/>
      <c r="KO49"/>
      <c r="KP49"/>
      <c r="KQ49"/>
      <c r="KR49"/>
      <c r="KS49"/>
    </row>
    <row r="50" spans="1:305" ht="29" customHeight="1" x14ac:dyDescent="0.35">
      <c r="A50" s="104"/>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c r="ED50"/>
      <c r="EE50"/>
      <c r="EF50"/>
      <c r="EG50"/>
      <c r="EH50"/>
      <c r="EI50"/>
      <c r="EJ50"/>
      <c r="EK50"/>
      <c r="EL50"/>
      <c r="EM50"/>
      <c r="EN50"/>
      <c r="EO50"/>
      <c r="EP50"/>
      <c r="EQ50"/>
      <c r="ER50"/>
      <c r="ES50"/>
      <c r="ET50"/>
      <c r="EU50"/>
      <c r="EV50"/>
      <c r="EW50"/>
      <c r="EX50"/>
      <c r="EY50"/>
      <c r="EZ50"/>
      <c r="FA50"/>
      <c r="FB50"/>
      <c r="FC50"/>
      <c r="FD50"/>
      <c r="FE50"/>
      <c r="FF50"/>
      <c r="FG50"/>
      <c r="FH50"/>
      <c r="FI50"/>
      <c r="FJ50"/>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c r="JA50"/>
      <c r="JB50"/>
      <c r="JC50"/>
      <c r="JD50"/>
      <c r="JE50"/>
      <c r="JF50"/>
      <c r="JG50"/>
      <c r="JH50"/>
      <c r="JI50"/>
      <c r="JJ50"/>
      <c r="JK50"/>
      <c r="JL50"/>
      <c r="JM50"/>
      <c r="JN50"/>
      <c r="JO50"/>
      <c r="JP50"/>
      <c r="JQ50"/>
      <c r="JR50"/>
      <c r="JS50"/>
      <c r="JT50"/>
      <c r="JU50"/>
      <c r="JV50"/>
      <c r="JW50"/>
      <c r="JX50"/>
      <c r="JY50"/>
      <c r="JZ50"/>
      <c r="KA50"/>
      <c r="KB50"/>
      <c r="KC50"/>
      <c r="KD50"/>
      <c r="KE50"/>
      <c r="KF50"/>
      <c r="KG50"/>
      <c r="KH50"/>
      <c r="KI50"/>
      <c r="KJ50"/>
      <c r="KK50"/>
      <c r="KL50"/>
      <c r="KM50"/>
      <c r="KN50"/>
      <c r="KO50"/>
      <c r="KP50"/>
      <c r="KQ50"/>
      <c r="KR50"/>
      <c r="KS50"/>
    </row>
    <row r="51" spans="1:305" ht="29" customHeight="1" x14ac:dyDescent="0.35">
      <c r="A51" s="228" t="s">
        <v>1271</v>
      </c>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c r="ED51"/>
      <c r="EE51"/>
      <c r="EF51"/>
      <c r="EG51"/>
      <c r="EH51"/>
      <c r="EI51"/>
      <c r="EJ51"/>
      <c r="EK51"/>
      <c r="EL51"/>
      <c r="EM51"/>
      <c r="EN51"/>
      <c r="EO51"/>
      <c r="EP51"/>
      <c r="EQ51"/>
      <c r="ER51"/>
      <c r="ES51"/>
      <c r="ET51"/>
      <c r="EU51"/>
      <c r="EV51"/>
      <c r="EW51"/>
      <c r="EX51"/>
      <c r="EY51"/>
      <c r="EZ51"/>
      <c r="FA51"/>
      <c r="FB51"/>
      <c r="FC51"/>
      <c r="FD51"/>
      <c r="FE51"/>
      <c r="FF51"/>
      <c r="FG51"/>
      <c r="FH51"/>
      <c r="FI51"/>
      <c r="FJ51"/>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c r="JA51"/>
      <c r="JB51"/>
      <c r="JC51"/>
      <c r="JD51"/>
      <c r="JE51"/>
      <c r="JF51"/>
      <c r="JG51"/>
      <c r="JH51"/>
      <c r="JI51"/>
      <c r="JJ51"/>
      <c r="JK51"/>
      <c r="JL51"/>
      <c r="JM51"/>
      <c r="JN51"/>
      <c r="JO51"/>
      <c r="JP51"/>
      <c r="JQ51"/>
      <c r="JR51"/>
      <c r="JS51"/>
      <c r="JT51"/>
      <c r="JU51"/>
      <c r="JV51"/>
      <c r="JW51"/>
      <c r="JX51"/>
      <c r="JY51"/>
      <c r="JZ51"/>
      <c r="KA51"/>
      <c r="KB51"/>
      <c r="KC51"/>
      <c r="KD51"/>
      <c r="KE51"/>
      <c r="KF51"/>
      <c r="KG51"/>
      <c r="KH51"/>
      <c r="KI51"/>
      <c r="KJ51"/>
      <c r="KK51"/>
      <c r="KL51"/>
      <c r="KM51"/>
      <c r="KN51"/>
      <c r="KO51"/>
      <c r="KP51"/>
      <c r="KQ51"/>
      <c r="KR51"/>
      <c r="KS51"/>
    </row>
    <row r="52" spans="1:305" ht="29" customHeight="1" x14ac:dyDescent="0.35">
      <c r="A52" s="104"/>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c r="ED52"/>
      <c r="EE52"/>
      <c r="EF52"/>
      <c r="EG52"/>
      <c r="EH52"/>
      <c r="EI52"/>
      <c r="EJ52"/>
      <c r="EK52"/>
      <c r="EL52"/>
      <c r="EM52"/>
      <c r="EN52"/>
      <c r="EO52"/>
      <c r="EP52"/>
      <c r="EQ52"/>
      <c r="ER52"/>
      <c r="ES52"/>
      <c r="ET52"/>
      <c r="EU52"/>
      <c r="EV52"/>
      <c r="EW52"/>
      <c r="EX52"/>
      <c r="EY52"/>
      <c r="EZ52"/>
      <c r="FA52"/>
      <c r="FB52"/>
      <c r="FC52"/>
      <c r="FD52"/>
      <c r="FE52"/>
      <c r="FF52"/>
      <c r="FG52"/>
      <c r="FH52"/>
      <c r="FI52"/>
      <c r="FJ52"/>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c r="JA52"/>
      <c r="JB52"/>
      <c r="JC52"/>
      <c r="JD52"/>
      <c r="JE52"/>
      <c r="JF52"/>
      <c r="JG52"/>
      <c r="JH52"/>
      <c r="JI52"/>
      <c r="JJ52"/>
      <c r="JK52"/>
      <c r="JL52"/>
      <c r="JM52"/>
      <c r="JN52"/>
      <c r="JO52"/>
      <c r="JP52"/>
      <c r="JQ52"/>
      <c r="JR52"/>
      <c r="JS52"/>
      <c r="JT52"/>
      <c r="JU52"/>
      <c r="JV52"/>
      <c r="JW52"/>
      <c r="JX52"/>
      <c r="JY52"/>
      <c r="JZ52"/>
      <c r="KA52"/>
      <c r="KB52"/>
      <c r="KC52"/>
      <c r="KD52"/>
      <c r="KE52"/>
      <c r="KF52"/>
      <c r="KG52"/>
      <c r="KH52"/>
      <c r="KI52"/>
      <c r="KJ52"/>
      <c r="KK52"/>
      <c r="KL52"/>
      <c r="KM52"/>
      <c r="KN52"/>
      <c r="KO52"/>
      <c r="KP52"/>
      <c r="KQ52"/>
      <c r="KR52"/>
      <c r="KS52"/>
    </row>
    <row r="53" spans="1:305" ht="29" customHeight="1" x14ac:dyDescent="0.35">
      <c r="A53" s="104"/>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c r="ED53"/>
      <c r="EE53"/>
      <c r="EF53"/>
      <c r="EG53"/>
      <c r="EH53"/>
      <c r="EI53"/>
      <c r="EJ53"/>
      <c r="EK53"/>
      <c r="EL53"/>
      <c r="EM53"/>
      <c r="EN53"/>
      <c r="EO53"/>
      <c r="EP53"/>
      <c r="EQ53"/>
      <c r="ER53"/>
      <c r="ES53"/>
      <c r="ET53"/>
      <c r="EU53"/>
      <c r="EV53"/>
      <c r="EW53"/>
      <c r="EX53"/>
      <c r="EY53"/>
      <c r="EZ53"/>
      <c r="FA53"/>
      <c r="FB53"/>
      <c r="FC53"/>
      <c r="FD53"/>
      <c r="FE53"/>
      <c r="FF53"/>
      <c r="FG53"/>
      <c r="FH53"/>
      <c r="FI53"/>
      <c r="FJ53"/>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c r="JA53"/>
      <c r="JB53"/>
      <c r="JC53"/>
      <c r="JD53"/>
      <c r="JE53"/>
      <c r="JF53"/>
      <c r="JG53"/>
      <c r="JH53"/>
      <c r="JI53"/>
      <c r="JJ53"/>
      <c r="JK53"/>
      <c r="JL53"/>
      <c r="JM53"/>
      <c r="JN53"/>
      <c r="JO53"/>
      <c r="JP53"/>
      <c r="JQ53"/>
      <c r="JR53"/>
      <c r="JS53"/>
      <c r="JT53"/>
      <c r="JU53"/>
      <c r="JV53"/>
      <c r="JW53"/>
      <c r="JX53"/>
      <c r="JY53"/>
      <c r="JZ53"/>
      <c r="KA53"/>
      <c r="KB53"/>
      <c r="KC53"/>
      <c r="KD53"/>
      <c r="KE53"/>
      <c r="KF53"/>
      <c r="KG53"/>
      <c r="KH53"/>
      <c r="KI53"/>
      <c r="KJ53"/>
      <c r="KK53"/>
      <c r="KL53"/>
      <c r="KM53"/>
      <c r="KN53"/>
      <c r="KO53"/>
      <c r="KP53"/>
      <c r="KQ53"/>
      <c r="KR53"/>
      <c r="KS53"/>
    </row>
    <row r="54" spans="1:305" ht="29" customHeight="1" x14ac:dyDescent="0.35">
      <c r="A54" s="10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c r="ED54"/>
      <c r="EE54"/>
      <c r="EF54"/>
      <c r="EG54"/>
      <c r="EH54"/>
      <c r="EI54"/>
      <c r="EJ54"/>
      <c r="EK54"/>
      <c r="EL54"/>
      <c r="EM54"/>
      <c r="EN54"/>
      <c r="EO54"/>
      <c r="EP54"/>
      <c r="EQ54"/>
      <c r="ER54"/>
      <c r="ES54"/>
      <c r="ET54"/>
      <c r="EU54"/>
      <c r="EV54"/>
      <c r="EW54"/>
      <c r="EX54"/>
      <c r="EY54"/>
      <c r="EZ54"/>
      <c r="FA54"/>
      <c r="FB54"/>
      <c r="FC54"/>
      <c r="FD54"/>
      <c r="FE54"/>
      <c r="FF54"/>
      <c r="FG54"/>
      <c r="FH54"/>
      <c r="FI54"/>
      <c r="FJ54"/>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c r="JA54"/>
      <c r="JB54"/>
      <c r="JC54"/>
      <c r="JD54"/>
      <c r="JE54"/>
      <c r="JF54"/>
      <c r="JG54"/>
      <c r="JH54"/>
      <c r="JI54"/>
      <c r="JJ54"/>
      <c r="JK54"/>
      <c r="JL54"/>
      <c r="JM54"/>
      <c r="JN54"/>
      <c r="JO54"/>
      <c r="JP54"/>
      <c r="JQ54"/>
      <c r="JR54"/>
      <c r="JS54"/>
      <c r="JT54"/>
      <c r="JU54"/>
      <c r="JV54"/>
      <c r="JW54"/>
      <c r="JX54"/>
      <c r="JY54"/>
      <c r="JZ54"/>
      <c r="KA54"/>
      <c r="KB54"/>
      <c r="KC54"/>
      <c r="KD54"/>
      <c r="KE54"/>
      <c r="KF54"/>
      <c r="KG54"/>
      <c r="KH54"/>
      <c r="KI54"/>
      <c r="KJ54"/>
      <c r="KK54"/>
      <c r="KL54"/>
      <c r="KM54"/>
      <c r="KN54"/>
      <c r="KO54"/>
      <c r="KP54"/>
      <c r="KQ54"/>
      <c r="KR54"/>
      <c r="KS54"/>
    </row>
    <row r="55" spans="1:305" ht="29" customHeight="1" x14ac:dyDescent="0.35">
      <c r="A55" s="104"/>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c r="ED55"/>
      <c r="EE55"/>
      <c r="EF55"/>
      <c r="EG55"/>
      <c r="EH55"/>
      <c r="EI55"/>
      <c r="EJ55"/>
      <c r="EK55"/>
      <c r="EL55"/>
      <c r="EM55"/>
      <c r="EN55"/>
      <c r="EO55"/>
      <c r="EP55"/>
      <c r="EQ55"/>
      <c r="ER55"/>
      <c r="ES55"/>
      <c r="ET55"/>
      <c r="EU55"/>
      <c r="EV55"/>
      <c r="EW55"/>
      <c r="EX55"/>
      <c r="EY55"/>
      <c r="EZ55"/>
      <c r="FA55"/>
      <c r="FB55"/>
      <c r="FC55"/>
      <c r="FD55"/>
      <c r="FE55"/>
      <c r="FF55"/>
      <c r="FG55"/>
      <c r="FH55"/>
      <c r="FI55"/>
      <c r="FJ55"/>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c r="JA55"/>
      <c r="JB55"/>
      <c r="JC55"/>
      <c r="JD55"/>
      <c r="JE55"/>
      <c r="JF55"/>
      <c r="JG55"/>
      <c r="JH55"/>
      <c r="JI55"/>
      <c r="JJ55"/>
      <c r="JK55"/>
      <c r="JL55"/>
      <c r="JM55"/>
      <c r="JN55"/>
      <c r="JO55"/>
      <c r="JP55"/>
      <c r="JQ55"/>
      <c r="JR55"/>
      <c r="JS55"/>
      <c r="JT55"/>
      <c r="JU55"/>
      <c r="JV55"/>
      <c r="JW55"/>
      <c r="JX55"/>
      <c r="JY55"/>
      <c r="JZ55"/>
      <c r="KA55"/>
      <c r="KB55"/>
      <c r="KC55"/>
      <c r="KD55"/>
      <c r="KE55"/>
      <c r="KF55"/>
      <c r="KG55"/>
      <c r="KH55"/>
      <c r="KI55"/>
      <c r="KJ55"/>
      <c r="KK55"/>
      <c r="KL55"/>
      <c r="KM55"/>
      <c r="KN55"/>
      <c r="KO55"/>
      <c r="KP55"/>
      <c r="KQ55"/>
      <c r="KR55"/>
      <c r="KS55"/>
    </row>
    <row r="56" spans="1:305" ht="29" customHeight="1" x14ac:dyDescent="0.35">
      <c r="A56" s="104"/>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c r="ED56"/>
      <c r="EE56"/>
      <c r="EF56"/>
      <c r="EG56"/>
      <c r="EH56"/>
      <c r="EI56"/>
      <c r="EJ56"/>
      <c r="EK56"/>
      <c r="EL56"/>
      <c r="EM56"/>
      <c r="EN56"/>
      <c r="EO56"/>
      <c r="EP56"/>
      <c r="EQ56"/>
      <c r="ER56"/>
      <c r="ES56"/>
      <c r="ET56"/>
      <c r="EU56"/>
      <c r="EV56"/>
      <c r="EW56"/>
      <c r="EX56"/>
      <c r="EY56"/>
      <c r="EZ56"/>
      <c r="FA56"/>
      <c r="FB56"/>
      <c r="FC56"/>
      <c r="FD56"/>
      <c r="FE56"/>
      <c r="FF56"/>
      <c r="FG56"/>
      <c r="FH56"/>
      <c r="FI56"/>
      <c r="FJ56"/>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c r="JA56"/>
      <c r="JB56"/>
      <c r="JC56"/>
      <c r="JD56"/>
      <c r="JE56"/>
      <c r="JF56"/>
      <c r="JG56"/>
      <c r="JH56"/>
      <c r="JI56"/>
      <c r="JJ56"/>
      <c r="JK56"/>
      <c r="JL56"/>
      <c r="JM56"/>
      <c r="JN56"/>
      <c r="JO56"/>
      <c r="JP56"/>
      <c r="JQ56"/>
      <c r="JR56"/>
      <c r="JS56"/>
      <c r="JT56"/>
      <c r="JU56"/>
      <c r="JV56"/>
      <c r="JW56"/>
      <c r="JX56"/>
      <c r="JY56"/>
      <c r="JZ56"/>
      <c r="KA56"/>
      <c r="KB56"/>
      <c r="KC56"/>
      <c r="KD56"/>
      <c r="KE56"/>
      <c r="KF56"/>
      <c r="KG56"/>
      <c r="KH56"/>
      <c r="KI56"/>
      <c r="KJ56"/>
      <c r="KK56"/>
      <c r="KL56"/>
      <c r="KM56"/>
      <c r="KN56"/>
      <c r="KO56"/>
      <c r="KP56"/>
      <c r="KQ56"/>
      <c r="KR56"/>
      <c r="KS56"/>
    </row>
    <row r="57" spans="1:305" ht="29" customHeight="1" x14ac:dyDescent="0.35">
      <c r="A57" s="104"/>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c r="FC57"/>
      <c r="FD57"/>
      <c r="FE57"/>
      <c r="FF57"/>
      <c r="FG57"/>
      <c r="FH57"/>
      <c r="FI57"/>
      <c r="FJ57"/>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c r="JA57"/>
      <c r="JB57"/>
      <c r="JC57"/>
      <c r="JD57"/>
      <c r="JE57"/>
      <c r="JF57"/>
      <c r="JG57"/>
      <c r="JH57"/>
      <c r="JI57"/>
      <c r="JJ57"/>
      <c r="JK57"/>
      <c r="JL57"/>
      <c r="JM57"/>
      <c r="JN57"/>
      <c r="JO57"/>
      <c r="JP57"/>
      <c r="JQ57"/>
      <c r="JR57"/>
      <c r="JS57"/>
      <c r="JT57"/>
      <c r="JU57"/>
      <c r="JV57"/>
      <c r="JW57"/>
      <c r="JX57"/>
      <c r="JY57"/>
      <c r="JZ57"/>
      <c r="KA57"/>
      <c r="KB57"/>
      <c r="KC57"/>
      <c r="KD57"/>
      <c r="KE57"/>
      <c r="KF57"/>
      <c r="KG57"/>
      <c r="KH57"/>
      <c r="KI57"/>
      <c r="KJ57"/>
      <c r="KK57"/>
      <c r="KL57"/>
      <c r="KM57"/>
      <c r="KN57"/>
      <c r="KO57"/>
      <c r="KP57"/>
      <c r="KQ57"/>
      <c r="KR57"/>
      <c r="KS57"/>
    </row>
    <row r="58" spans="1:305" ht="29" customHeight="1" x14ac:dyDescent="0.35">
      <c r="A58" s="104"/>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c r="ED58"/>
      <c r="EE58"/>
      <c r="EF58"/>
      <c r="EG58"/>
      <c r="EH58"/>
      <c r="EI58"/>
      <c r="EJ58"/>
      <c r="EK58"/>
      <c r="EL58"/>
      <c r="EM58"/>
      <c r="EN58"/>
      <c r="EO58"/>
      <c r="EP58"/>
      <c r="EQ58"/>
      <c r="ER58"/>
      <c r="ES58"/>
      <c r="ET58"/>
      <c r="EU58"/>
      <c r="EV58"/>
      <c r="EW58"/>
      <c r="EX58"/>
      <c r="EY58"/>
      <c r="EZ58"/>
      <c r="FA58"/>
      <c r="FB58"/>
      <c r="FC58"/>
      <c r="FD58"/>
      <c r="FE58"/>
      <c r="FF58"/>
      <c r="FG58"/>
      <c r="FH58"/>
      <c r="FI58"/>
      <c r="FJ58"/>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c r="JA58"/>
      <c r="JB58"/>
      <c r="JC58"/>
      <c r="JD58"/>
      <c r="JE58"/>
      <c r="JF58"/>
      <c r="JG58"/>
      <c r="JH58"/>
      <c r="JI58"/>
      <c r="JJ58"/>
      <c r="JK58"/>
      <c r="JL58"/>
      <c r="JM58"/>
      <c r="JN58"/>
      <c r="JO58"/>
      <c r="JP58"/>
      <c r="JQ58"/>
      <c r="JR58"/>
      <c r="JS58"/>
      <c r="JT58"/>
      <c r="JU58"/>
      <c r="JV58"/>
      <c r="JW58"/>
      <c r="JX58"/>
      <c r="JY58"/>
      <c r="JZ58"/>
      <c r="KA58"/>
      <c r="KB58"/>
      <c r="KC58"/>
      <c r="KD58"/>
      <c r="KE58"/>
      <c r="KF58"/>
      <c r="KG58"/>
      <c r="KH58"/>
      <c r="KI58"/>
      <c r="KJ58"/>
      <c r="KK58"/>
      <c r="KL58"/>
      <c r="KM58"/>
      <c r="KN58"/>
      <c r="KO58"/>
      <c r="KP58"/>
      <c r="KQ58"/>
      <c r="KR58"/>
      <c r="KS58"/>
    </row>
    <row r="59" spans="1:305" ht="29" customHeight="1" x14ac:dyDescent="0.35">
      <c r="A59" s="104"/>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c r="ED59"/>
      <c r="EE59"/>
      <c r="EF59"/>
      <c r="EG59"/>
      <c r="EH59"/>
      <c r="EI59"/>
      <c r="EJ59"/>
      <c r="EK59"/>
      <c r="EL59"/>
      <c r="EM59"/>
      <c r="EN59"/>
      <c r="EO59"/>
      <c r="EP59"/>
      <c r="EQ59"/>
      <c r="ER59"/>
      <c r="ES59"/>
      <c r="ET59"/>
      <c r="EU59"/>
      <c r="EV59"/>
      <c r="EW59"/>
      <c r="EX59"/>
      <c r="EY59"/>
      <c r="EZ59"/>
      <c r="FA59"/>
      <c r="FB59"/>
      <c r="FC59"/>
      <c r="FD59"/>
      <c r="FE59"/>
      <c r="FF59"/>
      <c r="FG59"/>
      <c r="FH59"/>
      <c r="FI59"/>
      <c r="FJ59"/>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c r="JA59"/>
      <c r="JB59"/>
      <c r="JC59"/>
      <c r="JD59"/>
      <c r="JE59"/>
      <c r="JF59"/>
      <c r="JG59"/>
      <c r="JH59"/>
      <c r="JI59"/>
      <c r="JJ59"/>
      <c r="JK59"/>
      <c r="JL59"/>
      <c r="JM59"/>
      <c r="JN59"/>
      <c r="JO59"/>
      <c r="JP59"/>
      <c r="JQ59"/>
      <c r="JR59"/>
      <c r="JS59"/>
      <c r="JT59"/>
      <c r="JU59"/>
      <c r="JV59"/>
      <c r="JW59"/>
      <c r="JX59"/>
      <c r="JY59"/>
      <c r="JZ59"/>
      <c r="KA59"/>
      <c r="KB59"/>
      <c r="KC59"/>
      <c r="KD59"/>
      <c r="KE59"/>
      <c r="KF59"/>
      <c r="KG59"/>
      <c r="KH59"/>
      <c r="KI59"/>
      <c r="KJ59"/>
      <c r="KK59"/>
      <c r="KL59"/>
      <c r="KM59"/>
      <c r="KN59"/>
      <c r="KO59"/>
      <c r="KP59"/>
      <c r="KQ59"/>
      <c r="KR59"/>
      <c r="KS59"/>
    </row>
    <row r="60" spans="1:305" ht="29" customHeight="1" x14ac:dyDescent="0.35">
      <c r="A60" s="104"/>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c r="ED60"/>
      <c r="EE60"/>
      <c r="EF60"/>
      <c r="EG60"/>
      <c r="EH60"/>
      <c r="EI60"/>
      <c r="EJ60"/>
      <c r="EK60"/>
      <c r="EL60"/>
      <c r="EM60"/>
      <c r="EN60"/>
      <c r="EO60"/>
      <c r="EP60"/>
      <c r="EQ60"/>
      <c r="ER60"/>
      <c r="ES60"/>
      <c r="ET60"/>
      <c r="EU60"/>
      <c r="EV60"/>
      <c r="EW60"/>
      <c r="EX60"/>
      <c r="EY60"/>
      <c r="EZ60"/>
      <c r="FA60"/>
      <c r="FB60"/>
      <c r="FC60"/>
      <c r="FD60"/>
      <c r="FE60"/>
      <c r="FF60"/>
      <c r="FG60"/>
      <c r="FH60"/>
      <c r="FI60"/>
      <c r="FJ60"/>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c r="JA60"/>
      <c r="JB60"/>
      <c r="JC60"/>
      <c r="JD60"/>
      <c r="JE60"/>
      <c r="JF60"/>
      <c r="JG60"/>
      <c r="JH60"/>
      <c r="JI60"/>
      <c r="JJ60"/>
      <c r="JK60"/>
      <c r="JL60"/>
      <c r="JM60"/>
      <c r="JN60"/>
      <c r="JO60"/>
      <c r="JP60"/>
      <c r="JQ60"/>
      <c r="JR60"/>
      <c r="JS60"/>
      <c r="JT60"/>
      <c r="JU60"/>
      <c r="JV60"/>
      <c r="JW60"/>
      <c r="JX60"/>
      <c r="JY60"/>
      <c r="JZ60"/>
      <c r="KA60"/>
      <c r="KB60"/>
      <c r="KC60"/>
      <c r="KD60"/>
      <c r="KE60"/>
      <c r="KF60"/>
      <c r="KG60"/>
      <c r="KH60"/>
      <c r="KI60"/>
      <c r="KJ60"/>
      <c r="KK60"/>
      <c r="KL60"/>
      <c r="KM60"/>
      <c r="KN60"/>
      <c r="KO60"/>
      <c r="KP60"/>
      <c r="KQ60"/>
      <c r="KR60"/>
      <c r="KS60"/>
    </row>
    <row r="61" spans="1:305" ht="29" customHeight="1" x14ac:dyDescent="0.35">
      <c r="A61" s="104"/>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c r="ED61"/>
      <c r="EE61"/>
      <c r="EF61"/>
      <c r="EG61"/>
      <c r="EH61"/>
      <c r="EI61"/>
      <c r="EJ61"/>
      <c r="EK61"/>
      <c r="EL61"/>
      <c r="EM61"/>
      <c r="EN61"/>
      <c r="EO61"/>
      <c r="EP61"/>
      <c r="EQ61"/>
      <c r="ER61"/>
      <c r="ES61"/>
      <c r="ET61"/>
      <c r="EU61"/>
      <c r="EV61"/>
      <c r="EW61"/>
      <c r="EX61"/>
      <c r="EY61"/>
      <c r="EZ61"/>
      <c r="FA61"/>
      <c r="FB61"/>
      <c r="FC61"/>
      <c r="FD61"/>
      <c r="FE61"/>
      <c r="FF61"/>
      <c r="FG61"/>
      <c r="FH61"/>
      <c r="FI61"/>
      <c r="FJ61"/>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c r="JA61"/>
      <c r="JB61"/>
      <c r="JC61"/>
      <c r="JD61"/>
      <c r="JE61"/>
      <c r="JF61"/>
      <c r="JG61"/>
      <c r="JH61"/>
      <c r="JI61"/>
      <c r="JJ61"/>
      <c r="JK61"/>
      <c r="JL61"/>
      <c r="JM61"/>
      <c r="JN61"/>
      <c r="JO61"/>
      <c r="JP61"/>
      <c r="JQ61"/>
      <c r="JR61"/>
      <c r="JS61"/>
      <c r="JT61"/>
      <c r="JU61"/>
      <c r="JV61"/>
      <c r="JW61"/>
      <c r="JX61"/>
      <c r="JY61"/>
      <c r="JZ61"/>
      <c r="KA61"/>
      <c r="KB61"/>
      <c r="KC61"/>
      <c r="KD61"/>
      <c r="KE61"/>
      <c r="KF61"/>
      <c r="KG61"/>
      <c r="KH61"/>
      <c r="KI61"/>
      <c r="KJ61"/>
      <c r="KK61"/>
      <c r="KL61"/>
      <c r="KM61"/>
      <c r="KN61"/>
      <c r="KO61"/>
      <c r="KP61"/>
      <c r="KQ61"/>
      <c r="KR61"/>
      <c r="KS61"/>
    </row>
    <row r="62" spans="1:305" ht="29" customHeight="1" x14ac:dyDescent="0.35">
      <c r="A62" s="104"/>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c r="ED62"/>
      <c r="EE62"/>
      <c r="EF62"/>
      <c r="EG62"/>
      <c r="EH62"/>
      <c r="EI62"/>
      <c r="EJ62"/>
      <c r="EK62"/>
      <c r="EL62"/>
      <c r="EM62"/>
      <c r="EN62"/>
      <c r="EO62"/>
      <c r="EP62"/>
      <c r="EQ62"/>
      <c r="ER62"/>
      <c r="ES62"/>
      <c r="ET62"/>
      <c r="EU62"/>
      <c r="EV62"/>
      <c r="EW62"/>
      <c r="EX62"/>
      <c r="EY62"/>
      <c r="EZ62"/>
      <c r="FA62"/>
      <c r="FB62"/>
      <c r="FC62"/>
      <c r="FD62"/>
      <c r="FE62"/>
      <c r="FF62"/>
      <c r="FG62"/>
      <c r="FH62"/>
      <c r="FI62"/>
      <c r="FJ62"/>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c r="JA62"/>
      <c r="JB62"/>
      <c r="JC62"/>
      <c r="JD62"/>
      <c r="JE62"/>
      <c r="JF62"/>
      <c r="JG62"/>
      <c r="JH62"/>
      <c r="JI62"/>
      <c r="JJ62"/>
      <c r="JK62"/>
      <c r="JL62"/>
      <c r="JM62"/>
      <c r="JN62"/>
      <c r="JO62"/>
      <c r="JP62"/>
      <c r="JQ62"/>
      <c r="JR62"/>
      <c r="JS62"/>
      <c r="JT62"/>
      <c r="JU62"/>
      <c r="JV62"/>
      <c r="JW62"/>
      <c r="JX62"/>
      <c r="JY62"/>
      <c r="JZ62"/>
      <c r="KA62"/>
      <c r="KB62"/>
      <c r="KC62"/>
      <c r="KD62"/>
      <c r="KE62"/>
      <c r="KF62"/>
      <c r="KG62"/>
      <c r="KH62"/>
      <c r="KI62"/>
      <c r="KJ62"/>
      <c r="KK62"/>
      <c r="KL62"/>
      <c r="KM62"/>
      <c r="KN62"/>
      <c r="KO62"/>
      <c r="KP62"/>
      <c r="KQ62"/>
      <c r="KR62"/>
      <c r="KS62"/>
    </row>
    <row r="63" spans="1:305" ht="29" customHeight="1" x14ac:dyDescent="0.35">
      <c r="A63" s="104"/>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c r="ED63"/>
      <c r="EE63"/>
      <c r="EF63"/>
      <c r="EG63"/>
      <c r="EH63"/>
      <c r="EI63"/>
      <c r="EJ63"/>
      <c r="EK63"/>
      <c r="EL63"/>
      <c r="EM63"/>
      <c r="EN63"/>
      <c r="EO63"/>
      <c r="EP63"/>
      <c r="EQ63"/>
      <c r="ER63"/>
      <c r="ES63"/>
      <c r="ET63"/>
      <c r="EU63"/>
      <c r="EV63"/>
      <c r="EW63"/>
      <c r="EX63"/>
      <c r="EY63"/>
      <c r="EZ63"/>
      <c r="FA63"/>
      <c r="FB63"/>
      <c r="FC63"/>
      <c r="FD63"/>
      <c r="FE63"/>
      <c r="FF63"/>
      <c r="FG63"/>
      <c r="FH63"/>
      <c r="FI63"/>
      <c r="FJ63"/>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c r="JA63"/>
      <c r="JB63"/>
      <c r="JC63"/>
      <c r="JD63"/>
      <c r="JE63"/>
      <c r="JF63"/>
      <c r="JG63"/>
      <c r="JH63"/>
      <c r="JI63"/>
      <c r="JJ63"/>
      <c r="JK63"/>
      <c r="JL63"/>
      <c r="JM63"/>
      <c r="JN63"/>
      <c r="JO63"/>
      <c r="JP63"/>
      <c r="JQ63"/>
      <c r="JR63"/>
      <c r="JS63"/>
      <c r="JT63"/>
      <c r="JU63"/>
      <c r="JV63"/>
      <c r="JW63"/>
      <c r="JX63"/>
      <c r="JY63"/>
      <c r="JZ63"/>
      <c r="KA63"/>
      <c r="KB63"/>
      <c r="KC63"/>
      <c r="KD63"/>
      <c r="KE63"/>
      <c r="KF63"/>
      <c r="KG63"/>
      <c r="KH63"/>
      <c r="KI63"/>
      <c r="KJ63"/>
      <c r="KK63"/>
      <c r="KL63"/>
      <c r="KM63"/>
      <c r="KN63"/>
      <c r="KO63"/>
      <c r="KP63"/>
      <c r="KQ63"/>
      <c r="KR63"/>
      <c r="KS63"/>
    </row>
    <row r="64" spans="1:305" ht="29" customHeight="1" x14ac:dyDescent="0.35">
      <c r="A64" s="10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c r="ED64"/>
      <c r="EE64"/>
      <c r="EF64"/>
      <c r="EG64"/>
      <c r="EH64"/>
      <c r="EI64"/>
      <c r="EJ64"/>
      <c r="EK64"/>
      <c r="EL64"/>
      <c r="EM64"/>
      <c r="EN64"/>
      <c r="EO64"/>
      <c r="EP64"/>
      <c r="EQ64"/>
      <c r="ER64"/>
      <c r="ES64"/>
      <c r="ET64"/>
      <c r="EU64"/>
      <c r="EV64"/>
      <c r="EW64"/>
      <c r="EX64"/>
      <c r="EY64"/>
      <c r="EZ64"/>
      <c r="FA64"/>
      <c r="FB64"/>
      <c r="FC64"/>
      <c r="FD64"/>
      <c r="FE64"/>
      <c r="FF64"/>
      <c r="FG64"/>
      <c r="FH64"/>
      <c r="FI64"/>
      <c r="FJ64"/>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c r="JA64"/>
      <c r="JB64"/>
      <c r="JC64"/>
      <c r="JD64"/>
      <c r="JE64"/>
      <c r="JF64"/>
      <c r="JG64"/>
      <c r="JH64"/>
      <c r="JI64"/>
      <c r="JJ64"/>
      <c r="JK64"/>
      <c r="JL64"/>
      <c r="JM64"/>
      <c r="JN64"/>
      <c r="JO64"/>
      <c r="JP64"/>
      <c r="JQ64"/>
      <c r="JR64"/>
      <c r="JS64"/>
      <c r="JT64"/>
      <c r="JU64"/>
      <c r="JV64"/>
      <c r="JW64"/>
      <c r="JX64"/>
      <c r="JY64"/>
      <c r="JZ64"/>
      <c r="KA64"/>
      <c r="KB64"/>
      <c r="KC64"/>
      <c r="KD64"/>
      <c r="KE64"/>
      <c r="KF64"/>
      <c r="KG64"/>
      <c r="KH64"/>
      <c r="KI64"/>
      <c r="KJ64"/>
      <c r="KK64"/>
      <c r="KL64"/>
      <c r="KM64"/>
      <c r="KN64"/>
      <c r="KO64"/>
      <c r="KP64"/>
      <c r="KQ64"/>
      <c r="KR64"/>
      <c r="KS64"/>
    </row>
    <row r="65" spans="1:305" ht="29" customHeight="1" x14ac:dyDescent="0.35">
      <c r="A65" s="104"/>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c r="ED65"/>
      <c r="EE65"/>
      <c r="EF65"/>
      <c r="EG65"/>
      <c r="EH65"/>
      <c r="EI65"/>
      <c r="EJ65"/>
      <c r="EK65"/>
      <c r="EL65"/>
      <c r="EM65"/>
      <c r="EN65"/>
      <c r="EO65"/>
      <c r="EP65"/>
      <c r="EQ65"/>
      <c r="ER65"/>
      <c r="ES65"/>
      <c r="ET65"/>
      <c r="EU65"/>
      <c r="EV65"/>
      <c r="EW65"/>
      <c r="EX65"/>
      <c r="EY65"/>
      <c r="EZ65"/>
      <c r="FA65"/>
      <c r="FB65"/>
      <c r="FC65"/>
      <c r="FD65"/>
      <c r="FE65"/>
      <c r="FF65"/>
      <c r="FG65"/>
      <c r="FH65"/>
      <c r="FI65"/>
      <c r="FJ65"/>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c r="JA65"/>
      <c r="JB65"/>
      <c r="JC65"/>
      <c r="JD65"/>
      <c r="JE65"/>
      <c r="JF65"/>
      <c r="JG65"/>
      <c r="JH65"/>
      <c r="JI65"/>
      <c r="JJ65"/>
      <c r="JK65"/>
      <c r="JL65"/>
      <c r="JM65"/>
      <c r="JN65"/>
      <c r="JO65"/>
      <c r="JP65"/>
      <c r="JQ65"/>
      <c r="JR65"/>
      <c r="JS65"/>
      <c r="JT65"/>
      <c r="JU65"/>
      <c r="JV65"/>
      <c r="JW65"/>
      <c r="JX65"/>
      <c r="JY65"/>
      <c r="JZ65"/>
      <c r="KA65"/>
      <c r="KB65"/>
      <c r="KC65"/>
      <c r="KD65"/>
      <c r="KE65"/>
      <c r="KF65"/>
      <c r="KG65"/>
      <c r="KH65"/>
      <c r="KI65"/>
      <c r="KJ65"/>
      <c r="KK65"/>
      <c r="KL65"/>
      <c r="KM65"/>
      <c r="KN65"/>
      <c r="KO65"/>
      <c r="KP65"/>
      <c r="KQ65"/>
      <c r="KR65"/>
      <c r="KS65"/>
    </row>
    <row r="66" spans="1:305" ht="29" customHeight="1" x14ac:dyDescent="0.35">
      <c r="A66" s="104"/>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c r="ED66"/>
      <c r="EE66"/>
      <c r="EF66"/>
      <c r="EG66"/>
      <c r="EH66"/>
      <c r="EI66"/>
      <c r="EJ66"/>
      <c r="EK66"/>
      <c r="EL66"/>
      <c r="EM66"/>
      <c r="EN66"/>
      <c r="EO66"/>
      <c r="EP66"/>
      <c r="EQ66"/>
      <c r="ER66"/>
      <c r="ES66"/>
      <c r="ET66"/>
      <c r="EU66"/>
      <c r="EV66"/>
      <c r="EW66"/>
      <c r="EX66"/>
      <c r="EY66"/>
      <c r="EZ66"/>
      <c r="FA66"/>
      <c r="FB66"/>
      <c r="FC66"/>
      <c r="FD66"/>
      <c r="FE66"/>
      <c r="FF66"/>
      <c r="FG66"/>
      <c r="FH66"/>
      <c r="FI66"/>
      <c r="FJ66"/>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c r="JA66"/>
      <c r="JB66"/>
      <c r="JC66"/>
      <c r="JD66"/>
      <c r="JE66"/>
      <c r="JF66"/>
      <c r="JG66"/>
      <c r="JH66"/>
      <c r="JI66"/>
      <c r="JJ66"/>
      <c r="JK66"/>
      <c r="JL66"/>
      <c r="JM66"/>
      <c r="JN66"/>
      <c r="JO66"/>
      <c r="JP66"/>
      <c r="JQ66"/>
      <c r="JR66"/>
      <c r="JS66"/>
      <c r="JT66"/>
      <c r="JU66"/>
      <c r="JV66"/>
      <c r="JW66"/>
      <c r="JX66"/>
      <c r="JY66"/>
      <c r="JZ66"/>
      <c r="KA66"/>
      <c r="KB66"/>
      <c r="KC66"/>
      <c r="KD66"/>
      <c r="KE66"/>
      <c r="KF66"/>
      <c r="KG66"/>
      <c r="KH66"/>
      <c r="KI66"/>
      <c r="KJ66"/>
      <c r="KK66"/>
      <c r="KL66"/>
      <c r="KM66"/>
      <c r="KN66"/>
      <c r="KO66"/>
      <c r="KP66"/>
      <c r="KQ66"/>
      <c r="KR66"/>
      <c r="KS66"/>
    </row>
    <row r="67" spans="1:305" ht="29" customHeight="1" x14ac:dyDescent="0.35">
      <c r="A67" s="104"/>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c r="JA67"/>
      <c r="JB67"/>
      <c r="JC67"/>
      <c r="JD67"/>
      <c r="JE67"/>
      <c r="JF67"/>
      <c r="JG67"/>
      <c r="JH67"/>
      <c r="JI67"/>
      <c r="JJ67"/>
      <c r="JK67"/>
      <c r="JL67"/>
      <c r="JM67"/>
      <c r="JN67"/>
      <c r="JO67"/>
      <c r="JP67"/>
      <c r="JQ67"/>
      <c r="JR67"/>
      <c r="JS67"/>
      <c r="JT67"/>
      <c r="JU67"/>
      <c r="JV67"/>
      <c r="JW67"/>
      <c r="JX67"/>
      <c r="JY67"/>
      <c r="JZ67"/>
      <c r="KA67"/>
      <c r="KB67"/>
      <c r="KC67"/>
      <c r="KD67"/>
      <c r="KE67"/>
      <c r="KF67"/>
      <c r="KG67"/>
      <c r="KH67"/>
      <c r="KI67"/>
      <c r="KJ67"/>
      <c r="KK67"/>
      <c r="KL67"/>
      <c r="KM67"/>
      <c r="KN67"/>
      <c r="KO67"/>
      <c r="KP67"/>
      <c r="KQ67"/>
      <c r="KR67"/>
      <c r="KS67"/>
    </row>
    <row r="68" spans="1:305" ht="29" customHeight="1" x14ac:dyDescent="0.35">
      <c r="A68" s="104"/>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c r="ED68"/>
      <c r="EE68"/>
      <c r="EF68"/>
      <c r="EG68"/>
      <c r="EH68"/>
      <c r="EI68"/>
      <c r="EJ68"/>
      <c r="EK68"/>
      <c r="EL68"/>
      <c r="EM68"/>
      <c r="EN68"/>
      <c r="EO68"/>
      <c r="EP68"/>
      <c r="EQ68"/>
      <c r="ER68"/>
      <c r="ES68"/>
      <c r="ET68"/>
      <c r="EU68"/>
      <c r="EV68"/>
      <c r="EW68"/>
      <c r="EX68"/>
      <c r="EY68"/>
      <c r="EZ68"/>
      <c r="FA68"/>
      <c r="FB68"/>
      <c r="FC68"/>
      <c r="FD68"/>
      <c r="FE68"/>
      <c r="FF68"/>
      <c r="FG68"/>
      <c r="FH68"/>
      <c r="FI68"/>
      <c r="FJ68"/>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c r="JA68"/>
      <c r="JB68"/>
      <c r="JC68"/>
      <c r="JD68"/>
      <c r="JE68"/>
      <c r="JF68"/>
      <c r="JG68"/>
      <c r="JH68"/>
      <c r="JI68"/>
      <c r="JJ68"/>
      <c r="JK68"/>
      <c r="JL68"/>
      <c r="JM68"/>
      <c r="JN68"/>
      <c r="JO68"/>
      <c r="JP68"/>
      <c r="JQ68"/>
      <c r="JR68"/>
      <c r="JS68"/>
      <c r="JT68"/>
      <c r="JU68"/>
      <c r="JV68"/>
      <c r="JW68"/>
      <c r="JX68"/>
      <c r="JY68"/>
      <c r="JZ68"/>
      <c r="KA68"/>
      <c r="KB68"/>
      <c r="KC68"/>
      <c r="KD68"/>
      <c r="KE68"/>
      <c r="KF68"/>
      <c r="KG68"/>
      <c r="KH68"/>
      <c r="KI68"/>
      <c r="KJ68"/>
      <c r="KK68"/>
      <c r="KL68"/>
      <c r="KM68"/>
      <c r="KN68"/>
      <c r="KO68"/>
      <c r="KP68"/>
      <c r="KQ68"/>
      <c r="KR68"/>
      <c r="KS68"/>
    </row>
    <row r="69" spans="1:305" ht="29" customHeight="1" x14ac:dyDescent="0.35">
      <c r="A69" s="104"/>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c r="ED69"/>
      <c r="EE69"/>
      <c r="EF69"/>
      <c r="EG69"/>
      <c r="EH69"/>
      <c r="EI69"/>
      <c r="EJ69"/>
      <c r="EK69"/>
      <c r="EL69"/>
      <c r="EM69"/>
      <c r="EN69"/>
      <c r="EO69"/>
      <c r="EP69"/>
      <c r="EQ69"/>
      <c r="ER69"/>
      <c r="ES69"/>
      <c r="ET69"/>
      <c r="EU69"/>
      <c r="EV69"/>
      <c r="EW69"/>
      <c r="EX69"/>
      <c r="EY69"/>
      <c r="EZ69"/>
      <c r="FA69"/>
      <c r="FB69"/>
      <c r="FC69"/>
      <c r="FD69"/>
      <c r="FE69"/>
      <c r="FF69"/>
      <c r="FG69"/>
      <c r="FH69"/>
      <c r="FI69"/>
      <c r="FJ69"/>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c r="JA69"/>
      <c r="JB69"/>
      <c r="JC69"/>
      <c r="JD69"/>
      <c r="JE69"/>
      <c r="JF69"/>
      <c r="JG69"/>
      <c r="JH69"/>
      <c r="JI69"/>
      <c r="JJ69"/>
      <c r="JK69"/>
      <c r="JL69"/>
      <c r="JM69"/>
      <c r="JN69"/>
      <c r="JO69"/>
      <c r="JP69"/>
      <c r="JQ69"/>
      <c r="JR69"/>
      <c r="JS69"/>
      <c r="JT69"/>
      <c r="JU69"/>
      <c r="JV69"/>
      <c r="JW69"/>
      <c r="JX69"/>
      <c r="JY69"/>
      <c r="JZ69"/>
      <c r="KA69"/>
      <c r="KB69"/>
      <c r="KC69"/>
      <c r="KD69"/>
      <c r="KE69"/>
      <c r="KF69"/>
      <c r="KG69"/>
      <c r="KH69"/>
      <c r="KI69"/>
      <c r="KJ69"/>
      <c r="KK69"/>
      <c r="KL69"/>
      <c r="KM69"/>
      <c r="KN69"/>
      <c r="KO69"/>
      <c r="KP69"/>
      <c r="KQ69"/>
      <c r="KR69"/>
      <c r="KS69"/>
    </row>
    <row r="70" spans="1:305" ht="29" customHeight="1" x14ac:dyDescent="0.35">
      <c r="A70" s="104"/>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c r="ED70"/>
      <c r="EE70"/>
      <c r="EF70"/>
      <c r="EG70"/>
      <c r="EH70"/>
      <c r="EI70"/>
      <c r="EJ70"/>
      <c r="EK70"/>
      <c r="EL70"/>
      <c r="EM70"/>
      <c r="EN70"/>
      <c r="EO70"/>
      <c r="EP70"/>
      <c r="EQ70"/>
      <c r="ER70"/>
      <c r="ES70"/>
      <c r="ET70"/>
      <c r="EU70"/>
      <c r="EV70"/>
      <c r="EW70"/>
      <c r="EX70"/>
      <c r="EY70"/>
      <c r="EZ70"/>
      <c r="FA70"/>
      <c r="FB70"/>
      <c r="FC70"/>
      <c r="FD70"/>
      <c r="FE70"/>
      <c r="FF70"/>
      <c r="FG70"/>
      <c r="FH70"/>
      <c r="FI70"/>
      <c r="FJ70"/>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c r="JA70"/>
      <c r="JB70"/>
      <c r="JC70"/>
      <c r="JD70"/>
      <c r="JE70"/>
      <c r="JF70"/>
      <c r="JG70"/>
      <c r="JH70"/>
      <c r="JI70"/>
      <c r="JJ70"/>
      <c r="JK70"/>
      <c r="JL70"/>
      <c r="JM70"/>
      <c r="JN70"/>
      <c r="JO70"/>
      <c r="JP70"/>
      <c r="JQ70"/>
      <c r="JR70"/>
      <c r="JS70"/>
      <c r="JT70"/>
      <c r="JU70"/>
      <c r="JV70"/>
      <c r="JW70"/>
      <c r="JX70"/>
      <c r="JY70"/>
      <c r="JZ70"/>
      <c r="KA70"/>
      <c r="KB70"/>
      <c r="KC70"/>
      <c r="KD70"/>
      <c r="KE70"/>
      <c r="KF70"/>
      <c r="KG70"/>
      <c r="KH70"/>
      <c r="KI70"/>
      <c r="KJ70"/>
      <c r="KK70"/>
      <c r="KL70"/>
      <c r="KM70"/>
      <c r="KN70"/>
      <c r="KO70"/>
      <c r="KP70"/>
      <c r="KQ70"/>
      <c r="KR70"/>
      <c r="KS70"/>
    </row>
    <row r="71" spans="1:305" ht="29" customHeight="1" x14ac:dyDescent="0.35">
      <c r="A71" s="104"/>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c r="ED71"/>
      <c r="EE71"/>
      <c r="EF71"/>
      <c r="EG71"/>
      <c r="EH71"/>
      <c r="EI71"/>
      <c r="EJ71"/>
      <c r="EK71"/>
      <c r="EL71"/>
      <c r="EM71"/>
      <c r="EN71"/>
      <c r="EO71"/>
      <c r="EP71"/>
      <c r="EQ71"/>
      <c r="ER71"/>
      <c r="ES71"/>
      <c r="ET71"/>
      <c r="EU71"/>
      <c r="EV71"/>
      <c r="EW71"/>
      <c r="EX71"/>
      <c r="EY71"/>
      <c r="EZ71"/>
      <c r="FA71"/>
      <c r="FB71"/>
      <c r="FC71"/>
      <c r="FD71"/>
      <c r="FE71"/>
      <c r="FF71"/>
      <c r="FG71"/>
      <c r="FH71"/>
      <c r="FI71"/>
      <c r="FJ71"/>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c r="JA71"/>
      <c r="JB71"/>
      <c r="JC71"/>
      <c r="JD71"/>
      <c r="JE71"/>
      <c r="JF71"/>
      <c r="JG71"/>
      <c r="JH71"/>
      <c r="JI71"/>
      <c r="JJ71"/>
      <c r="JK71"/>
      <c r="JL71"/>
      <c r="JM71"/>
      <c r="JN71"/>
      <c r="JO71"/>
      <c r="JP71"/>
      <c r="JQ71"/>
      <c r="JR71"/>
      <c r="JS71"/>
      <c r="JT71"/>
      <c r="JU71"/>
      <c r="JV71"/>
      <c r="JW71"/>
      <c r="JX71"/>
      <c r="JY71"/>
      <c r="JZ71"/>
      <c r="KA71"/>
      <c r="KB71"/>
      <c r="KC71"/>
      <c r="KD71"/>
      <c r="KE71"/>
      <c r="KF71"/>
      <c r="KG71"/>
      <c r="KH71"/>
      <c r="KI71"/>
      <c r="KJ71"/>
      <c r="KK71"/>
      <c r="KL71"/>
      <c r="KM71"/>
      <c r="KN71"/>
      <c r="KO71"/>
      <c r="KP71"/>
      <c r="KQ71"/>
      <c r="KR71"/>
      <c r="KS71"/>
    </row>
    <row r="72" spans="1:305" ht="29" customHeight="1" x14ac:dyDescent="0.35">
      <c r="A72" s="104"/>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c r="ED72"/>
      <c r="EE72"/>
      <c r="EF72"/>
      <c r="EG72"/>
      <c r="EH72"/>
      <c r="EI72"/>
      <c r="EJ72"/>
      <c r="EK72"/>
      <c r="EL72"/>
      <c r="EM72"/>
      <c r="EN72"/>
      <c r="EO72"/>
      <c r="EP72"/>
      <c r="EQ72"/>
      <c r="ER72"/>
      <c r="ES72"/>
      <c r="ET72"/>
      <c r="EU72"/>
      <c r="EV72"/>
      <c r="EW72"/>
      <c r="EX72"/>
      <c r="EY72"/>
      <c r="EZ72"/>
      <c r="FA72"/>
      <c r="FB72"/>
      <c r="FC72"/>
      <c r="FD72"/>
      <c r="FE72"/>
      <c r="FF72"/>
      <c r="FG72"/>
      <c r="FH72"/>
      <c r="FI72"/>
      <c r="FJ72"/>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c r="JA72"/>
      <c r="JB72"/>
      <c r="JC72"/>
      <c r="JD72"/>
      <c r="JE72"/>
      <c r="JF72"/>
      <c r="JG72"/>
      <c r="JH72"/>
      <c r="JI72"/>
      <c r="JJ72"/>
      <c r="JK72"/>
      <c r="JL72"/>
      <c r="JM72"/>
      <c r="JN72"/>
      <c r="JO72"/>
      <c r="JP72"/>
      <c r="JQ72"/>
      <c r="JR72"/>
      <c r="JS72"/>
      <c r="JT72"/>
      <c r="JU72"/>
      <c r="JV72"/>
      <c r="JW72"/>
      <c r="JX72"/>
      <c r="JY72"/>
      <c r="JZ72"/>
      <c r="KA72"/>
      <c r="KB72"/>
      <c r="KC72"/>
      <c r="KD72"/>
      <c r="KE72"/>
      <c r="KF72"/>
      <c r="KG72"/>
      <c r="KH72"/>
      <c r="KI72"/>
      <c r="KJ72"/>
      <c r="KK72"/>
      <c r="KL72"/>
      <c r="KM72"/>
      <c r="KN72"/>
      <c r="KO72"/>
      <c r="KP72"/>
      <c r="KQ72"/>
      <c r="KR72"/>
      <c r="KS72"/>
    </row>
    <row r="73" spans="1:305" ht="29" customHeight="1" x14ac:dyDescent="0.35">
      <c r="A73" s="104"/>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c r="JA73"/>
      <c r="JB73"/>
      <c r="JC73"/>
      <c r="JD73"/>
      <c r="JE73"/>
      <c r="JF73"/>
      <c r="JG73"/>
      <c r="JH73"/>
      <c r="JI73"/>
      <c r="JJ73"/>
      <c r="JK73"/>
      <c r="JL73"/>
      <c r="JM73"/>
      <c r="JN73"/>
      <c r="JO73"/>
      <c r="JP73"/>
      <c r="JQ73"/>
      <c r="JR73"/>
      <c r="JS73"/>
      <c r="JT73"/>
      <c r="JU73"/>
      <c r="JV73"/>
      <c r="JW73"/>
      <c r="JX73"/>
      <c r="JY73"/>
      <c r="JZ73"/>
      <c r="KA73"/>
      <c r="KB73"/>
      <c r="KC73"/>
      <c r="KD73"/>
      <c r="KE73"/>
      <c r="KF73"/>
      <c r="KG73"/>
      <c r="KH73"/>
      <c r="KI73"/>
      <c r="KJ73"/>
      <c r="KK73"/>
      <c r="KL73"/>
      <c r="KM73"/>
      <c r="KN73"/>
      <c r="KO73"/>
      <c r="KP73"/>
      <c r="KQ73"/>
      <c r="KR73"/>
      <c r="KS73"/>
    </row>
    <row r="74" spans="1:305" ht="29" customHeight="1" x14ac:dyDescent="0.35">
      <c r="A74" s="10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c r="ED74"/>
      <c r="EE74"/>
      <c r="EF74"/>
      <c r="EG74"/>
      <c r="EH74"/>
      <c r="EI74"/>
      <c r="EJ74"/>
      <c r="EK74"/>
      <c r="EL74"/>
      <c r="EM74"/>
      <c r="EN74"/>
      <c r="EO74"/>
      <c r="EP74"/>
      <c r="EQ74"/>
      <c r="ER74"/>
      <c r="ES74"/>
      <c r="ET74"/>
      <c r="EU74"/>
      <c r="EV74"/>
      <c r="EW74"/>
      <c r="EX74"/>
      <c r="EY74"/>
      <c r="EZ74"/>
      <c r="FA74"/>
      <c r="FB74"/>
      <c r="FC74"/>
      <c r="FD74"/>
      <c r="FE74"/>
      <c r="FF74"/>
      <c r="FG74"/>
      <c r="FH74"/>
      <c r="FI74"/>
      <c r="FJ74"/>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c r="JA74"/>
      <c r="JB74"/>
      <c r="JC74"/>
      <c r="JD74"/>
      <c r="JE74"/>
      <c r="JF74"/>
      <c r="JG74"/>
      <c r="JH74"/>
      <c r="JI74"/>
      <c r="JJ74"/>
      <c r="JK74"/>
      <c r="JL74"/>
      <c r="JM74"/>
      <c r="JN74"/>
      <c r="JO74"/>
      <c r="JP74"/>
      <c r="JQ74"/>
      <c r="JR74"/>
      <c r="JS74"/>
      <c r="JT74"/>
      <c r="JU74"/>
      <c r="JV74"/>
      <c r="JW74"/>
      <c r="JX74"/>
      <c r="JY74"/>
      <c r="JZ74"/>
      <c r="KA74"/>
      <c r="KB74"/>
      <c r="KC74"/>
      <c r="KD74"/>
      <c r="KE74"/>
      <c r="KF74"/>
      <c r="KG74"/>
      <c r="KH74"/>
      <c r="KI74"/>
      <c r="KJ74"/>
      <c r="KK74"/>
      <c r="KL74"/>
      <c r="KM74"/>
      <c r="KN74"/>
      <c r="KO74"/>
      <c r="KP74"/>
      <c r="KQ74"/>
      <c r="KR74"/>
      <c r="KS74"/>
    </row>
    <row r="75" spans="1:305" ht="29" customHeight="1" x14ac:dyDescent="0.35">
      <c r="A75" s="104"/>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c r="ED75"/>
      <c r="EE75"/>
      <c r="EF75"/>
      <c r="EG75"/>
      <c r="EH75"/>
      <c r="EI75"/>
      <c r="EJ75"/>
      <c r="EK75"/>
      <c r="EL75"/>
      <c r="EM75"/>
      <c r="EN75"/>
      <c r="EO75"/>
      <c r="EP75"/>
      <c r="EQ75"/>
      <c r="ER75"/>
      <c r="ES75"/>
      <c r="ET75"/>
      <c r="EU75"/>
      <c r="EV75"/>
      <c r="EW75"/>
      <c r="EX75"/>
      <c r="EY75"/>
      <c r="EZ75"/>
      <c r="FA75"/>
      <c r="FB75"/>
      <c r="FC75"/>
      <c r="FD75"/>
      <c r="FE75"/>
      <c r="FF75"/>
      <c r="FG75"/>
      <c r="FH75"/>
      <c r="FI75"/>
      <c r="FJ75"/>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c r="JA75"/>
      <c r="JB75"/>
      <c r="JC75"/>
      <c r="JD75"/>
      <c r="JE75"/>
      <c r="JF75"/>
      <c r="JG75"/>
      <c r="JH75"/>
      <c r="JI75"/>
      <c r="JJ75"/>
      <c r="JK75"/>
      <c r="JL75"/>
      <c r="JM75"/>
      <c r="JN75"/>
      <c r="JO75"/>
      <c r="JP75"/>
      <c r="JQ75"/>
      <c r="JR75"/>
      <c r="JS75"/>
      <c r="JT75"/>
      <c r="JU75"/>
      <c r="JV75"/>
      <c r="JW75"/>
      <c r="JX75"/>
      <c r="JY75"/>
      <c r="JZ75"/>
      <c r="KA75"/>
      <c r="KB75"/>
      <c r="KC75"/>
      <c r="KD75"/>
      <c r="KE75"/>
      <c r="KF75"/>
      <c r="KG75"/>
      <c r="KH75"/>
      <c r="KI75"/>
      <c r="KJ75"/>
      <c r="KK75"/>
      <c r="KL75"/>
      <c r="KM75"/>
      <c r="KN75"/>
      <c r="KO75"/>
      <c r="KP75"/>
      <c r="KQ75"/>
      <c r="KR75"/>
      <c r="KS75"/>
    </row>
    <row r="76" spans="1:305" ht="29" customHeight="1" x14ac:dyDescent="0.35">
      <c r="A76" s="104"/>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c r="ED76"/>
      <c r="EE76"/>
      <c r="EF76"/>
      <c r="EG76"/>
      <c r="EH76"/>
      <c r="EI76"/>
      <c r="EJ76"/>
      <c r="EK76"/>
      <c r="EL76"/>
      <c r="EM76"/>
      <c r="EN76"/>
      <c r="EO76"/>
      <c r="EP76"/>
      <c r="EQ76"/>
      <c r="ER76"/>
      <c r="ES76"/>
      <c r="ET76"/>
      <c r="EU76"/>
      <c r="EV76"/>
      <c r="EW76"/>
      <c r="EX76"/>
      <c r="EY76"/>
      <c r="EZ76"/>
      <c r="FA76"/>
      <c r="FB76"/>
      <c r="FC76"/>
      <c r="FD76"/>
      <c r="FE76"/>
      <c r="FF76"/>
      <c r="FG76"/>
      <c r="FH76"/>
      <c r="FI76"/>
      <c r="FJ76"/>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c r="JA76"/>
      <c r="JB76"/>
      <c r="JC76"/>
      <c r="JD76"/>
      <c r="JE76"/>
      <c r="JF76"/>
      <c r="JG76"/>
      <c r="JH76"/>
      <c r="JI76"/>
      <c r="JJ76"/>
      <c r="JK76"/>
      <c r="JL76"/>
      <c r="JM76"/>
      <c r="JN76"/>
      <c r="JO76"/>
      <c r="JP76"/>
      <c r="JQ76"/>
      <c r="JR76"/>
      <c r="JS76"/>
      <c r="JT76"/>
      <c r="JU76"/>
      <c r="JV76"/>
      <c r="JW76"/>
      <c r="JX76"/>
      <c r="JY76"/>
      <c r="JZ76"/>
      <c r="KA76"/>
      <c r="KB76"/>
      <c r="KC76"/>
      <c r="KD76"/>
      <c r="KE76"/>
      <c r="KF76"/>
      <c r="KG76"/>
      <c r="KH76"/>
      <c r="KI76"/>
      <c r="KJ76"/>
      <c r="KK76"/>
      <c r="KL76"/>
      <c r="KM76"/>
      <c r="KN76"/>
      <c r="KO76"/>
      <c r="KP76"/>
      <c r="KQ76"/>
      <c r="KR76"/>
      <c r="KS76"/>
    </row>
    <row r="77" spans="1:305" ht="29" customHeight="1" x14ac:dyDescent="0.35">
      <c r="A77" s="104"/>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c r="ED77"/>
      <c r="EE77"/>
      <c r="EF77"/>
      <c r="EG77"/>
      <c r="EH77"/>
      <c r="EI77"/>
      <c r="EJ77"/>
      <c r="EK77"/>
      <c r="EL77"/>
      <c r="EM77"/>
      <c r="EN77"/>
      <c r="EO77"/>
      <c r="EP77"/>
      <c r="EQ77"/>
      <c r="ER77"/>
      <c r="ES77"/>
      <c r="ET77"/>
      <c r="EU77"/>
      <c r="EV77"/>
      <c r="EW77"/>
      <c r="EX77"/>
      <c r="EY77"/>
      <c r="EZ77"/>
      <c r="FA77"/>
      <c r="FB77"/>
      <c r="FC77"/>
      <c r="FD77"/>
      <c r="FE77"/>
      <c r="FF77"/>
      <c r="FG77"/>
      <c r="FH77"/>
      <c r="FI77"/>
      <c r="FJ7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c r="JA77"/>
      <c r="JB77"/>
      <c r="JC77"/>
      <c r="JD77"/>
      <c r="JE77"/>
      <c r="JF77"/>
      <c r="JG77"/>
      <c r="JH77"/>
      <c r="JI77"/>
      <c r="JJ77"/>
      <c r="JK77"/>
      <c r="JL77"/>
      <c r="JM77"/>
      <c r="JN77"/>
      <c r="JO77"/>
      <c r="JP77"/>
      <c r="JQ77"/>
      <c r="JR77"/>
      <c r="JS77"/>
      <c r="JT77"/>
      <c r="JU77"/>
      <c r="JV77"/>
      <c r="JW77"/>
      <c r="JX77"/>
      <c r="JY77"/>
      <c r="JZ77"/>
      <c r="KA77"/>
      <c r="KB77"/>
      <c r="KC77"/>
      <c r="KD77"/>
      <c r="KE77"/>
      <c r="KF77"/>
      <c r="KG77"/>
      <c r="KH77"/>
      <c r="KI77"/>
      <c r="KJ77"/>
      <c r="KK77"/>
      <c r="KL77"/>
      <c r="KM77"/>
      <c r="KN77"/>
      <c r="KO77"/>
      <c r="KP77"/>
      <c r="KQ77"/>
      <c r="KR77"/>
      <c r="KS77"/>
    </row>
    <row r="78" spans="1:305" ht="29" customHeight="1" x14ac:dyDescent="0.35">
      <c r="A78" s="104"/>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c r="ED78"/>
      <c r="EE78"/>
      <c r="EF78"/>
      <c r="EG78"/>
      <c r="EH78"/>
      <c r="EI78"/>
      <c r="EJ78"/>
      <c r="EK78"/>
      <c r="EL78"/>
      <c r="EM78"/>
      <c r="EN78"/>
      <c r="EO78"/>
      <c r="EP78"/>
      <c r="EQ78"/>
      <c r="ER78"/>
      <c r="ES78"/>
      <c r="ET78"/>
      <c r="EU78"/>
      <c r="EV78"/>
      <c r="EW78"/>
      <c r="EX78"/>
      <c r="EY78"/>
      <c r="EZ78"/>
      <c r="FA78"/>
      <c r="FB78"/>
      <c r="FC78"/>
      <c r="FD78"/>
      <c r="FE78"/>
      <c r="FF78"/>
      <c r="FG78"/>
      <c r="FH78"/>
      <c r="FI78"/>
      <c r="FJ78"/>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c r="JA78"/>
      <c r="JB78"/>
      <c r="JC78"/>
      <c r="JD78"/>
      <c r="JE78"/>
      <c r="JF78"/>
      <c r="JG78"/>
      <c r="JH78"/>
      <c r="JI78"/>
      <c r="JJ78"/>
      <c r="JK78"/>
      <c r="JL78"/>
      <c r="JM78"/>
      <c r="JN78"/>
      <c r="JO78"/>
      <c r="JP78"/>
      <c r="JQ78"/>
      <c r="JR78"/>
      <c r="JS78"/>
      <c r="JT78"/>
      <c r="JU78"/>
      <c r="JV78"/>
      <c r="JW78"/>
      <c r="JX78"/>
      <c r="JY78"/>
      <c r="JZ78"/>
      <c r="KA78"/>
      <c r="KB78"/>
      <c r="KC78"/>
      <c r="KD78"/>
      <c r="KE78"/>
      <c r="KF78"/>
      <c r="KG78"/>
      <c r="KH78"/>
      <c r="KI78"/>
      <c r="KJ78"/>
      <c r="KK78"/>
      <c r="KL78"/>
      <c r="KM78"/>
      <c r="KN78"/>
      <c r="KO78"/>
      <c r="KP78"/>
      <c r="KQ78"/>
      <c r="KR78"/>
      <c r="KS78"/>
    </row>
    <row r="79" spans="1:305" ht="29" customHeight="1" x14ac:dyDescent="0.35">
      <c r="A79" s="104"/>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c r="ED79"/>
      <c r="EE79"/>
      <c r="EF79"/>
      <c r="EG79"/>
      <c r="EH79"/>
      <c r="EI79"/>
      <c r="EJ79"/>
      <c r="EK79"/>
      <c r="EL79"/>
      <c r="EM79"/>
      <c r="EN79"/>
      <c r="EO79"/>
      <c r="EP79"/>
      <c r="EQ79"/>
      <c r="ER79"/>
      <c r="ES79"/>
      <c r="ET79"/>
      <c r="EU79"/>
      <c r="EV79"/>
      <c r="EW79"/>
      <c r="EX79"/>
      <c r="EY79"/>
      <c r="EZ79"/>
      <c r="FA79"/>
      <c r="FB79"/>
      <c r="FC79"/>
      <c r="FD79"/>
      <c r="FE79"/>
      <c r="FF79"/>
      <c r="FG79"/>
      <c r="FH79"/>
      <c r="FI79"/>
      <c r="FJ79"/>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c r="JA79"/>
      <c r="JB79"/>
      <c r="JC79"/>
      <c r="JD79"/>
      <c r="JE79"/>
      <c r="JF79"/>
      <c r="JG79"/>
      <c r="JH79"/>
      <c r="JI79"/>
      <c r="JJ79"/>
      <c r="JK79"/>
      <c r="JL79"/>
      <c r="JM79"/>
      <c r="JN79"/>
      <c r="JO79"/>
      <c r="JP79"/>
      <c r="JQ79"/>
      <c r="JR79"/>
      <c r="JS79"/>
      <c r="JT79"/>
      <c r="JU79"/>
      <c r="JV79"/>
      <c r="JW79"/>
      <c r="JX79"/>
      <c r="JY79"/>
      <c r="JZ79"/>
      <c r="KA79"/>
      <c r="KB79"/>
      <c r="KC79"/>
      <c r="KD79"/>
      <c r="KE79"/>
      <c r="KF79"/>
      <c r="KG79"/>
      <c r="KH79"/>
      <c r="KI79"/>
      <c r="KJ79"/>
      <c r="KK79"/>
      <c r="KL79"/>
      <c r="KM79"/>
      <c r="KN79"/>
      <c r="KO79"/>
      <c r="KP79"/>
      <c r="KQ79"/>
      <c r="KR79"/>
      <c r="KS79"/>
    </row>
    <row r="80" spans="1:305" ht="29" customHeight="1" x14ac:dyDescent="0.35">
      <c r="A80" s="104"/>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c r="ED80"/>
      <c r="EE80"/>
      <c r="EF80"/>
      <c r="EG80"/>
      <c r="EH80"/>
      <c r="EI80"/>
      <c r="EJ80"/>
      <c r="EK80"/>
      <c r="EL80"/>
      <c r="EM80"/>
      <c r="EN80"/>
      <c r="EO80"/>
      <c r="EP80"/>
      <c r="EQ80"/>
      <c r="ER80"/>
      <c r="ES80"/>
      <c r="ET80"/>
      <c r="EU80"/>
      <c r="EV80"/>
      <c r="EW80"/>
      <c r="EX80"/>
      <c r="EY80"/>
      <c r="EZ80"/>
      <c r="FA80"/>
      <c r="FB80"/>
      <c r="FC80"/>
      <c r="FD80"/>
      <c r="FE80"/>
      <c r="FF80"/>
      <c r="FG80"/>
      <c r="FH80"/>
      <c r="FI80"/>
      <c r="FJ80"/>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c r="JA80"/>
      <c r="JB80"/>
      <c r="JC80"/>
      <c r="JD80"/>
      <c r="JE80"/>
      <c r="JF80"/>
      <c r="JG80"/>
      <c r="JH80"/>
      <c r="JI80"/>
      <c r="JJ80"/>
      <c r="JK80"/>
      <c r="JL80"/>
      <c r="JM80"/>
      <c r="JN80"/>
      <c r="JO80"/>
      <c r="JP80"/>
      <c r="JQ80"/>
      <c r="JR80"/>
      <c r="JS80"/>
      <c r="JT80"/>
      <c r="JU80"/>
      <c r="JV80"/>
      <c r="JW80"/>
      <c r="JX80"/>
      <c r="JY80"/>
      <c r="JZ80"/>
      <c r="KA80"/>
      <c r="KB80"/>
      <c r="KC80"/>
      <c r="KD80"/>
      <c r="KE80"/>
      <c r="KF80"/>
      <c r="KG80"/>
      <c r="KH80"/>
      <c r="KI80"/>
      <c r="KJ80"/>
      <c r="KK80"/>
      <c r="KL80"/>
      <c r="KM80"/>
      <c r="KN80"/>
      <c r="KO80"/>
      <c r="KP80"/>
      <c r="KQ80"/>
      <c r="KR80"/>
      <c r="KS80"/>
    </row>
    <row r="81" spans="1:305" ht="29" customHeight="1" x14ac:dyDescent="0.35">
      <c r="A81" s="104"/>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c r="ED81"/>
      <c r="EE81"/>
      <c r="EF81"/>
      <c r="EG81"/>
      <c r="EH81"/>
      <c r="EI81"/>
      <c r="EJ81"/>
      <c r="EK81"/>
      <c r="EL81"/>
      <c r="EM81"/>
      <c r="EN81"/>
      <c r="EO81"/>
      <c r="EP81"/>
      <c r="EQ81"/>
      <c r="ER81"/>
      <c r="ES81"/>
      <c r="ET81"/>
      <c r="EU81"/>
      <c r="EV81"/>
      <c r="EW81"/>
      <c r="EX81"/>
      <c r="EY81"/>
      <c r="EZ81"/>
      <c r="FA81"/>
      <c r="FB81"/>
      <c r="FC81"/>
      <c r="FD81"/>
      <c r="FE81"/>
      <c r="FF81"/>
      <c r="FG81"/>
      <c r="FH81"/>
      <c r="FI81"/>
      <c r="FJ81"/>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c r="JA81"/>
      <c r="JB81"/>
      <c r="JC81"/>
      <c r="JD81"/>
      <c r="JE81"/>
      <c r="JF81"/>
      <c r="JG81"/>
      <c r="JH81"/>
      <c r="JI81"/>
      <c r="JJ81"/>
      <c r="JK81"/>
      <c r="JL81"/>
      <c r="JM81"/>
      <c r="JN81"/>
      <c r="JO81"/>
      <c r="JP81"/>
      <c r="JQ81"/>
      <c r="JR81"/>
      <c r="JS81"/>
      <c r="JT81"/>
      <c r="JU81"/>
      <c r="JV81"/>
      <c r="JW81"/>
      <c r="JX81"/>
      <c r="JY81"/>
      <c r="JZ81"/>
      <c r="KA81"/>
      <c r="KB81"/>
      <c r="KC81"/>
      <c r="KD81"/>
      <c r="KE81"/>
      <c r="KF81"/>
      <c r="KG81"/>
      <c r="KH81"/>
      <c r="KI81"/>
      <c r="KJ81"/>
      <c r="KK81"/>
      <c r="KL81"/>
      <c r="KM81"/>
      <c r="KN81"/>
      <c r="KO81"/>
      <c r="KP81"/>
      <c r="KQ81"/>
      <c r="KR81"/>
      <c r="KS81"/>
    </row>
    <row r="82" spans="1:305" ht="29" customHeight="1" x14ac:dyDescent="0.35">
      <c r="A82" s="104"/>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c r="ED82"/>
      <c r="EE82"/>
      <c r="EF82"/>
      <c r="EG82"/>
      <c r="EH82"/>
      <c r="EI82"/>
      <c r="EJ82"/>
      <c r="EK82"/>
      <c r="EL82"/>
      <c r="EM82"/>
      <c r="EN82"/>
      <c r="EO82"/>
      <c r="EP82"/>
      <c r="EQ82"/>
      <c r="ER82"/>
      <c r="ES82"/>
      <c r="ET82"/>
      <c r="EU82"/>
      <c r="EV82"/>
      <c r="EW82"/>
      <c r="EX82"/>
      <c r="EY82"/>
      <c r="EZ82"/>
      <c r="FA82"/>
      <c r="FB82"/>
      <c r="FC82"/>
      <c r="FD82"/>
      <c r="FE82"/>
      <c r="FF82"/>
      <c r="FG82"/>
      <c r="FH82"/>
      <c r="FI82"/>
      <c r="FJ82"/>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c r="JA82"/>
      <c r="JB82"/>
      <c r="JC82"/>
      <c r="JD82"/>
      <c r="JE82"/>
      <c r="JF82"/>
      <c r="JG82"/>
      <c r="JH82"/>
      <c r="JI82"/>
      <c r="JJ82"/>
      <c r="JK82"/>
      <c r="JL82"/>
      <c r="JM82"/>
      <c r="JN82"/>
      <c r="JO82"/>
      <c r="JP82"/>
      <c r="JQ82"/>
      <c r="JR82"/>
      <c r="JS82"/>
      <c r="JT82"/>
      <c r="JU82"/>
      <c r="JV82"/>
      <c r="JW82"/>
      <c r="JX82"/>
      <c r="JY82"/>
      <c r="JZ82"/>
      <c r="KA82"/>
      <c r="KB82"/>
      <c r="KC82"/>
      <c r="KD82"/>
      <c r="KE82"/>
      <c r="KF82"/>
      <c r="KG82"/>
      <c r="KH82"/>
      <c r="KI82"/>
      <c r="KJ82"/>
      <c r="KK82"/>
      <c r="KL82"/>
      <c r="KM82"/>
      <c r="KN82"/>
      <c r="KO82"/>
      <c r="KP82"/>
      <c r="KQ82"/>
      <c r="KR82"/>
      <c r="KS82"/>
    </row>
    <row r="83" spans="1:305" ht="29" customHeight="1" x14ac:dyDescent="0.35">
      <c r="A83" s="104"/>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c r="ED83"/>
      <c r="EE83"/>
      <c r="EF83"/>
      <c r="EG83"/>
      <c r="EH83"/>
      <c r="EI83"/>
      <c r="EJ83"/>
      <c r="EK83"/>
      <c r="EL83"/>
      <c r="EM83"/>
      <c r="EN83"/>
      <c r="EO83"/>
      <c r="EP83"/>
      <c r="EQ83"/>
      <c r="ER83"/>
      <c r="ES83"/>
      <c r="ET83"/>
      <c r="EU83"/>
      <c r="EV83"/>
      <c r="EW83"/>
      <c r="EX83"/>
      <c r="EY83"/>
      <c r="EZ83"/>
      <c r="FA83"/>
      <c r="FB83"/>
      <c r="FC83"/>
      <c r="FD83"/>
      <c r="FE83"/>
      <c r="FF83"/>
      <c r="FG83"/>
      <c r="FH83"/>
      <c r="FI83"/>
      <c r="FJ83"/>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c r="JA83"/>
      <c r="JB83"/>
      <c r="JC83"/>
      <c r="JD83"/>
      <c r="JE83"/>
      <c r="JF83"/>
      <c r="JG83"/>
      <c r="JH83"/>
      <c r="JI83"/>
      <c r="JJ83"/>
      <c r="JK83"/>
      <c r="JL83"/>
      <c r="JM83"/>
      <c r="JN83"/>
      <c r="JO83"/>
      <c r="JP83"/>
      <c r="JQ83"/>
      <c r="JR83"/>
      <c r="JS83"/>
      <c r="JT83"/>
      <c r="JU83"/>
      <c r="JV83"/>
      <c r="JW83"/>
      <c r="JX83"/>
      <c r="JY83"/>
      <c r="JZ83"/>
      <c r="KA83"/>
      <c r="KB83"/>
      <c r="KC83"/>
      <c r="KD83"/>
      <c r="KE83"/>
      <c r="KF83"/>
      <c r="KG83"/>
      <c r="KH83"/>
      <c r="KI83"/>
      <c r="KJ83"/>
      <c r="KK83"/>
      <c r="KL83"/>
      <c r="KM83"/>
      <c r="KN83"/>
      <c r="KO83"/>
      <c r="KP83"/>
      <c r="KQ83"/>
      <c r="KR83"/>
      <c r="KS83"/>
    </row>
    <row r="84" spans="1:305" ht="29" customHeight="1" x14ac:dyDescent="0.35">
      <c r="A84" s="10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c r="ED84"/>
      <c r="EE84"/>
      <c r="EF84"/>
      <c r="EG84"/>
      <c r="EH84"/>
      <c r="EI84"/>
      <c r="EJ84"/>
      <c r="EK84"/>
      <c r="EL84"/>
      <c r="EM84"/>
      <c r="EN84"/>
      <c r="EO84"/>
      <c r="EP84"/>
      <c r="EQ84"/>
      <c r="ER84"/>
      <c r="ES84"/>
      <c r="ET84"/>
      <c r="EU84"/>
      <c r="EV84"/>
      <c r="EW84"/>
      <c r="EX84"/>
      <c r="EY84"/>
      <c r="EZ84"/>
      <c r="FA84"/>
      <c r="FB84"/>
      <c r="FC84"/>
      <c r="FD84"/>
      <c r="FE84"/>
      <c r="FF84"/>
      <c r="FG84"/>
      <c r="FH84"/>
      <c r="FI84"/>
      <c r="FJ84"/>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c r="JA84"/>
      <c r="JB84"/>
      <c r="JC84"/>
      <c r="JD84"/>
      <c r="JE84"/>
      <c r="JF84"/>
      <c r="JG84"/>
      <c r="JH84"/>
      <c r="JI84"/>
      <c r="JJ84"/>
      <c r="JK84"/>
      <c r="JL84"/>
      <c r="JM84"/>
      <c r="JN84"/>
      <c r="JO84"/>
      <c r="JP84"/>
      <c r="JQ84"/>
      <c r="JR84"/>
      <c r="JS84"/>
      <c r="JT84"/>
      <c r="JU84"/>
      <c r="JV84"/>
      <c r="JW84"/>
      <c r="JX84"/>
      <c r="JY84"/>
      <c r="JZ84"/>
      <c r="KA84"/>
      <c r="KB84"/>
      <c r="KC84"/>
      <c r="KD84"/>
      <c r="KE84"/>
      <c r="KF84"/>
      <c r="KG84"/>
      <c r="KH84"/>
      <c r="KI84"/>
      <c r="KJ84"/>
      <c r="KK84"/>
      <c r="KL84"/>
      <c r="KM84"/>
      <c r="KN84"/>
      <c r="KO84"/>
      <c r="KP84"/>
      <c r="KQ84"/>
      <c r="KR84"/>
      <c r="KS84"/>
    </row>
    <row r="85" spans="1:305" ht="29" customHeight="1" x14ac:dyDescent="0.35">
      <c r="A85" s="104"/>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c r="ED85"/>
      <c r="EE85"/>
      <c r="EF85"/>
      <c r="EG85"/>
      <c r="EH85"/>
      <c r="EI85"/>
      <c r="EJ85"/>
      <c r="EK85"/>
      <c r="EL85"/>
      <c r="EM85"/>
      <c r="EN85"/>
      <c r="EO85"/>
      <c r="EP85"/>
      <c r="EQ85"/>
      <c r="ER85"/>
      <c r="ES85"/>
      <c r="ET85"/>
      <c r="EU85"/>
      <c r="EV85"/>
      <c r="EW85"/>
      <c r="EX85"/>
      <c r="EY85"/>
      <c r="EZ85"/>
      <c r="FA85"/>
      <c r="FB85"/>
      <c r="FC85"/>
      <c r="FD85"/>
      <c r="FE85"/>
      <c r="FF85"/>
      <c r="FG85"/>
      <c r="FH85"/>
      <c r="FI85"/>
      <c r="FJ85"/>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c r="JA85"/>
      <c r="JB85"/>
      <c r="JC85"/>
      <c r="JD85"/>
      <c r="JE85"/>
      <c r="JF85"/>
      <c r="JG85"/>
      <c r="JH85"/>
      <c r="JI85"/>
      <c r="JJ85"/>
      <c r="JK85"/>
      <c r="JL85"/>
      <c r="JM85"/>
      <c r="JN85"/>
      <c r="JO85"/>
      <c r="JP85"/>
      <c r="JQ85"/>
      <c r="JR85"/>
      <c r="JS85"/>
      <c r="JT85"/>
      <c r="JU85"/>
      <c r="JV85"/>
      <c r="JW85"/>
      <c r="JX85"/>
      <c r="JY85"/>
      <c r="JZ85"/>
      <c r="KA85"/>
      <c r="KB85"/>
      <c r="KC85"/>
      <c r="KD85"/>
      <c r="KE85"/>
      <c r="KF85"/>
      <c r="KG85"/>
      <c r="KH85"/>
      <c r="KI85"/>
      <c r="KJ85"/>
      <c r="KK85"/>
      <c r="KL85"/>
      <c r="KM85"/>
      <c r="KN85"/>
      <c r="KO85"/>
      <c r="KP85"/>
      <c r="KQ85"/>
      <c r="KR85"/>
      <c r="KS85"/>
    </row>
    <row r="86" spans="1:305" ht="29" customHeight="1" x14ac:dyDescent="0.35">
      <c r="A86" s="104"/>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c r="ED86"/>
      <c r="EE86"/>
      <c r="EF86"/>
      <c r="EG86"/>
      <c r="EH86"/>
      <c r="EI86"/>
      <c r="EJ86"/>
      <c r="EK86"/>
      <c r="EL86"/>
      <c r="EM86"/>
      <c r="EN86"/>
      <c r="EO86"/>
      <c r="EP86"/>
      <c r="EQ86"/>
      <c r="ER86"/>
      <c r="ES86"/>
      <c r="ET86"/>
      <c r="EU86"/>
      <c r="EV86"/>
      <c r="EW86"/>
      <c r="EX86"/>
      <c r="EY86"/>
      <c r="EZ86"/>
      <c r="FA86"/>
      <c r="FB86"/>
      <c r="FC86"/>
      <c r="FD86"/>
      <c r="FE86"/>
      <c r="FF86"/>
      <c r="FG86"/>
      <c r="FH86"/>
      <c r="FI86"/>
      <c r="FJ8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c r="JA86"/>
      <c r="JB86"/>
      <c r="JC86"/>
      <c r="JD86"/>
      <c r="JE86"/>
      <c r="JF86"/>
      <c r="JG86"/>
      <c r="JH86"/>
      <c r="JI86"/>
      <c r="JJ86"/>
      <c r="JK86"/>
      <c r="JL86"/>
      <c r="JM86"/>
      <c r="JN86"/>
      <c r="JO86"/>
      <c r="JP86"/>
      <c r="JQ86"/>
      <c r="JR86"/>
      <c r="JS86"/>
      <c r="JT86"/>
      <c r="JU86"/>
      <c r="JV86"/>
      <c r="JW86"/>
      <c r="JX86"/>
      <c r="JY86"/>
      <c r="JZ86"/>
      <c r="KA86"/>
      <c r="KB86"/>
      <c r="KC86"/>
      <c r="KD86"/>
      <c r="KE86"/>
      <c r="KF86"/>
      <c r="KG86"/>
      <c r="KH86"/>
      <c r="KI86"/>
      <c r="KJ86"/>
      <c r="KK86"/>
      <c r="KL86"/>
      <c r="KM86"/>
      <c r="KN86"/>
      <c r="KO86"/>
      <c r="KP86"/>
      <c r="KQ86"/>
      <c r="KR86"/>
      <c r="KS86"/>
    </row>
    <row r="87" spans="1:305" ht="29" customHeight="1" x14ac:dyDescent="0.35">
      <c r="A87" s="104"/>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c r="ED87"/>
      <c r="EE87"/>
      <c r="EF87"/>
      <c r="EG87"/>
      <c r="EH87"/>
      <c r="EI87"/>
      <c r="EJ87"/>
      <c r="EK87"/>
      <c r="EL87"/>
      <c r="EM87"/>
      <c r="EN87"/>
      <c r="EO87"/>
      <c r="EP87"/>
      <c r="EQ87"/>
      <c r="ER87"/>
      <c r="ES87"/>
      <c r="ET87"/>
      <c r="EU87"/>
      <c r="EV87"/>
      <c r="EW87"/>
      <c r="EX87"/>
      <c r="EY87"/>
      <c r="EZ87"/>
      <c r="FA87"/>
      <c r="FB87"/>
      <c r="FC87"/>
      <c r="FD87"/>
      <c r="FE87"/>
      <c r="FF87"/>
      <c r="FG87"/>
      <c r="FH87"/>
      <c r="FI87"/>
      <c r="FJ87"/>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c r="JA87"/>
      <c r="JB87"/>
      <c r="JC87"/>
      <c r="JD87"/>
      <c r="JE87"/>
      <c r="JF87"/>
      <c r="JG87"/>
      <c r="JH87"/>
      <c r="JI87"/>
      <c r="JJ87"/>
      <c r="JK87"/>
      <c r="JL87"/>
      <c r="JM87"/>
      <c r="JN87"/>
      <c r="JO87"/>
      <c r="JP87"/>
      <c r="JQ87"/>
      <c r="JR87"/>
      <c r="JS87"/>
      <c r="JT87"/>
      <c r="JU87"/>
      <c r="JV87"/>
      <c r="JW87"/>
      <c r="JX87"/>
      <c r="JY87"/>
      <c r="JZ87"/>
      <c r="KA87"/>
      <c r="KB87"/>
      <c r="KC87"/>
      <c r="KD87"/>
      <c r="KE87"/>
      <c r="KF87"/>
      <c r="KG87"/>
      <c r="KH87"/>
      <c r="KI87"/>
      <c r="KJ87"/>
      <c r="KK87"/>
      <c r="KL87"/>
      <c r="KM87"/>
      <c r="KN87"/>
      <c r="KO87"/>
      <c r="KP87"/>
      <c r="KQ87"/>
      <c r="KR87"/>
      <c r="KS87"/>
    </row>
    <row r="88" spans="1:305" ht="29" customHeight="1" x14ac:dyDescent="0.35">
      <c r="A88" s="104"/>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c r="ED88"/>
      <c r="EE88"/>
      <c r="EF88"/>
      <c r="EG88"/>
      <c r="EH88"/>
      <c r="EI88"/>
      <c r="EJ88"/>
      <c r="EK88"/>
      <c r="EL88"/>
      <c r="EM88"/>
      <c r="EN88"/>
      <c r="EO88"/>
      <c r="EP88"/>
      <c r="EQ88"/>
      <c r="ER88"/>
      <c r="ES88"/>
      <c r="ET88"/>
      <c r="EU88"/>
      <c r="EV88"/>
      <c r="EW88"/>
      <c r="EX88"/>
      <c r="EY88"/>
      <c r="EZ88"/>
      <c r="FA88"/>
      <c r="FB88"/>
      <c r="FC88"/>
      <c r="FD88"/>
      <c r="FE88"/>
      <c r="FF88"/>
      <c r="FG88"/>
      <c r="FH88"/>
      <c r="FI88"/>
      <c r="FJ88"/>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c r="JA88"/>
      <c r="JB88"/>
      <c r="JC88"/>
      <c r="JD88"/>
      <c r="JE88"/>
      <c r="JF88"/>
      <c r="JG88"/>
      <c r="JH88"/>
      <c r="JI88"/>
      <c r="JJ88"/>
      <c r="JK88"/>
      <c r="JL88"/>
      <c r="JM88"/>
      <c r="JN88"/>
      <c r="JO88"/>
      <c r="JP88"/>
      <c r="JQ88"/>
      <c r="JR88"/>
      <c r="JS88"/>
      <c r="JT88"/>
      <c r="JU88"/>
      <c r="JV88"/>
      <c r="JW88"/>
      <c r="JX88"/>
      <c r="JY88"/>
      <c r="JZ88"/>
      <c r="KA88"/>
      <c r="KB88"/>
      <c r="KC88"/>
      <c r="KD88"/>
      <c r="KE88"/>
      <c r="KF88"/>
      <c r="KG88"/>
      <c r="KH88"/>
      <c r="KI88"/>
      <c r="KJ88"/>
      <c r="KK88"/>
      <c r="KL88"/>
      <c r="KM88"/>
      <c r="KN88"/>
      <c r="KO88"/>
      <c r="KP88"/>
      <c r="KQ88"/>
      <c r="KR88"/>
      <c r="KS88"/>
    </row>
    <row r="89" spans="1:305" ht="29" customHeight="1" x14ac:dyDescent="0.35">
      <c r="A89" s="104"/>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c r="ED89"/>
      <c r="EE89"/>
      <c r="EF89"/>
      <c r="EG89"/>
      <c r="EH89"/>
      <c r="EI89"/>
      <c r="EJ89"/>
      <c r="EK89"/>
      <c r="EL89"/>
      <c r="EM89"/>
      <c r="EN89"/>
      <c r="EO89"/>
      <c r="EP89"/>
      <c r="EQ89"/>
      <c r="ER89"/>
      <c r="ES89"/>
      <c r="ET89"/>
      <c r="EU89"/>
      <c r="EV89"/>
      <c r="EW89"/>
      <c r="EX89"/>
      <c r="EY89"/>
      <c r="EZ89"/>
      <c r="FA89"/>
      <c r="FB89"/>
      <c r="FC89"/>
      <c r="FD89"/>
      <c r="FE89"/>
      <c r="FF89"/>
      <c r="FG89"/>
      <c r="FH89"/>
      <c r="FI89"/>
      <c r="FJ89"/>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c r="JA89"/>
      <c r="JB89"/>
      <c r="JC89"/>
      <c r="JD89"/>
      <c r="JE89"/>
      <c r="JF89"/>
      <c r="JG89"/>
      <c r="JH89"/>
      <c r="JI89"/>
      <c r="JJ89"/>
      <c r="JK89"/>
      <c r="JL89"/>
      <c r="JM89"/>
      <c r="JN89"/>
      <c r="JO89"/>
      <c r="JP89"/>
      <c r="JQ89"/>
      <c r="JR89"/>
      <c r="JS89"/>
      <c r="JT89"/>
      <c r="JU89"/>
      <c r="JV89"/>
      <c r="JW89"/>
      <c r="JX89"/>
      <c r="JY89"/>
      <c r="JZ89"/>
      <c r="KA89"/>
      <c r="KB89"/>
      <c r="KC89"/>
      <c r="KD89"/>
      <c r="KE89"/>
      <c r="KF89"/>
      <c r="KG89"/>
      <c r="KH89"/>
      <c r="KI89"/>
      <c r="KJ89"/>
      <c r="KK89"/>
      <c r="KL89"/>
      <c r="KM89"/>
      <c r="KN89"/>
      <c r="KO89"/>
      <c r="KP89"/>
      <c r="KQ89"/>
      <c r="KR89"/>
      <c r="KS89"/>
    </row>
    <row r="90" spans="1:305" ht="29" customHeight="1" x14ac:dyDescent="0.35">
      <c r="A90" s="104"/>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c r="ED90"/>
      <c r="EE90"/>
      <c r="EF90"/>
      <c r="EG90"/>
      <c r="EH90"/>
      <c r="EI90"/>
      <c r="EJ90"/>
      <c r="EK90"/>
      <c r="EL90"/>
      <c r="EM90"/>
      <c r="EN90"/>
      <c r="EO90"/>
      <c r="EP90"/>
      <c r="EQ90"/>
      <c r="ER90"/>
      <c r="ES90"/>
      <c r="ET90"/>
      <c r="EU90"/>
      <c r="EV90"/>
      <c r="EW90"/>
      <c r="EX90"/>
      <c r="EY90"/>
      <c r="EZ90"/>
      <c r="FA90"/>
      <c r="FB90"/>
      <c r="FC90"/>
      <c r="FD90"/>
      <c r="FE90"/>
      <c r="FF90"/>
      <c r="FG90"/>
      <c r="FH90"/>
      <c r="FI90"/>
      <c r="FJ90"/>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c r="JA90"/>
      <c r="JB90"/>
      <c r="JC90"/>
      <c r="JD90"/>
      <c r="JE90"/>
      <c r="JF90"/>
      <c r="JG90"/>
      <c r="JH90"/>
      <c r="JI90"/>
      <c r="JJ90"/>
      <c r="JK90"/>
      <c r="JL90"/>
      <c r="JM90"/>
      <c r="JN90"/>
      <c r="JO90"/>
      <c r="JP90"/>
      <c r="JQ90"/>
      <c r="JR90"/>
      <c r="JS90"/>
      <c r="JT90"/>
      <c r="JU90"/>
      <c r="JV90"/>
      <c r="JW90"/>
      <c r="JX90"/>
      <c r="JY90"/>
      <c r="JZ90"/>
      <c r="KA90"/>
      <c r="KB90"/>
      <c r="KC90"/>
      <c r="KD90"/>
      <c r="KE90"/>
      <c r="KF90"/>
      <c r="KG90"/>
      <c r="KH90"/>
      <c r="KI90"/>
      <c r="KJ90"/>
      <c r="KK90"/>
      <c r="KL90"/>
      <c r="KM90"/>
      <c r="KN90"/>
      <c r="KO90"/>
      <c r="KP90"/>
      <c r="KQ90"/>
      <c r="KR90"/>
      <c r="KS90"/>
    </row>
    <row r="91" spans="1:305" ht="29" customHeight="1" x14ac:dyDescent="0.35">
      <c r="A91" s="104"/>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c r="CU91"/>
      <c r="CV91"/>
      <c r="CW91"/>
      <c r="CX91"/>
      <c r="CY91"/>
      <c r="CZ91"/>
      <c r="DA91"/>
      <c r="DB91"/>
      <c r="DC91"/>
      <c r="DD91"/>
      <c r="DE91"/>
      <c r="DF91"/>
      <c r="DG91"/>
      <c r="DH91"/>
      <c r="DI91"/>
      <c r="DJ91"/>
      <c r="DK91"/>
      <c r="DL91"/>
      <c r="DM91"/>
      <c r="DN91"/>
      <c r="DO91"/>
      <c r="DP91"/>
      <c r="DQ91"/>
      <c r="DR91"/>
      <c r="DS91"/>
      <c r="DT91"/>
      <c r="DU91"/>
      <c r="DV91"/>
      <c r="DW91"/>
      <c r="DX91"/>
      <c r="DY91"/>
      <c r="DZ91"/>
      <c r="EA91"/>
      <c r="EB91"/>
      <c r="EC91"/>
      <c r="ED91"/>
      <c r="EE91"/>
      <c r="EF91"/>
      <c r="EG91"/>
      <c r="EH91"/>
      <c r="EI91"/>
      <c r="EJ91"/>
      <c r="EK91"/>
      <c r="EL91"/>
      <c r="EM91"/>
      <c r="EN91"/>
      <c r="EO91"/>
      <c r="EP91"/>
      <c r="EQ91"/>
      <c r="ER91"/>
      <c r="ES91"/>
      <c r="ET91"/>
      <c r="EU91"/>
      <c r="EV91"/>
      <c r="EW91"/>
      <c r="EX91"/>
      <c r="EY91"/>
      <c r="EZ91"/>
      <c r="FA91"/>
      <c r="FB91"/>
      <c r="FC91"/>
      <c r="FD91"/>
      <c r="FE91"/>
      <c r="FF91"/>
      <c r="FG91"/>
      <c r="FH91"/>
      <c r="FI91"/>
      <c r="FJ91"/>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c r="JA91"/>
      <c r="JB91"/>
      <c r="JC91"/>
      <c r="JD91"/>
      <c r="JE91"/>
      <c r="JF91"/>
      <c r="JG91"/>
      <c r="JH91"/>
      <c r="JI91"/>
      <c r="JJ91"/>
      <c r="JK91"/>
      <c r="JL91"/>
      <c r="JM91"/>
      <c r="JN91"/>
      <c r="JO91"/>
      <c r="JP91"/>
      <c r="JQ91"/>
      <c r="JR91"/>
      <c r="JS91"/>
      <c r="JT91"/>
      <c r="JU91"/>
      <c r="JV91"/>
      <c r="JW91"/>
      <c r="JX91"/>
      <c r="JY91"/>
      <c r="JZ91"/>
      <c r="KA91"/>
      <c r="KB91"/>
      <c r="KC91"/>
      <c r="KD91"/>
      <c r="KE91"/>
      <c r="KF91"/>
      <c r="KG91"/>
      <c r="KH91"/>
      <c r="KI91"/>
      <c r="KJ91"/>
      <c r="KK91"/>
      <c r="KL91"/>
      <c r="KM91"/>
      <c r="KN91"/>
      <c r="KO91"/>
      <c r="KP91"/>
      <c r="KQ91"/>
      <c r="KR91"/>
      <c r="KS91"/>
    </row>
    <row r="92" spans="1:305" ht="29" customHeight="1" x14ac:dyDescent="0.35">
      <c r="A92" s="104"/>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c r="CU92"/>
      <c r="CV92"/>
      <c r="CW92"/>
      <c r="CX92"/>
      <c r="CY92"/>
      <c r="CZ92"/>
      <c r="DA92"/>
      <c r="DB92"/>
      <c r="DC92"/>
      <c r="DD92"/>
      <c r="DE92"/>
      <c r="DF92"/>
      <c r="DG92"/>
      <c r="DH92"/>
      <c r="DI92"/>
      <c r="DJ92"/>
      <c r="DK92"/>
      <c r="DL92"/>
      <c r="DM92"/>
      <c r="DN92"/>
      <c r="DO92"/>
      <c r="DP92"/>
      <c r="DQ92"/>
      <c r="DR92"/>
      <c r="DS92"/>
      <c r="DT92"/>
      <c r="DU92"/>
      <c r="DV92"/>
      <c r="DW92"/>
      <c r="DX92"/>
      <c r="DY92"/>
      <c r="DZ92"/>
      <c r="EA92"/>
      <c r="EB92"/>
      <c r="EC92"/>
      <c r="ED92"/>
      <c r="EE92"/>
      <c r="EF92"/>
      <c r="EG92"/>
      <c r="EH92"/>
      <c r="EI92"/>
      <c r="EJ92"/>
      <c r="EK92"/>
      <c r="EL92"/>
      <c r="EM92"/>
      <c r="EN92"/>
      <c r="EO92"/>
      <c r="EP92"/>
      <c r="EQ92"/>
      <c r="ER92"/>
      <c r="ES92"/>
      <c r="ET92"/>
      <c r="EU92"/>
      <c r="EV92"/>
      <c r="EW92"/>
      <c r="EX92"/>
      <c r="EY92"/>
      <c r="EZ92"/>
      <c r="FA92"/>
      <c r="FB92"/>
      <c r="FC92"/>
      <c r="FD92"/>
      <c r="FE92"/>
      <c r="FF92"/>
      <c r="FG92"/>
      <c r="FH92"/>
      <c r="FI92"/>
      <c r="FJ92"/>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c r="JA92"/>
      <c r="JB92"/>
      <c r="JC92"/>
      <c r="JD92"/>
      <c r="JE92"/>
      <c r="JF92"/>
      <c r="JG92"/>
      <c r="JH92"/>
      <c r="JI92"/>
      <c r="JJ92"/>
      <c r="JK92"/>
      <c r="JL92"/>
      <c r="JM92"/>
      <c r="JN92"/>
      <c r="JO92"/>
      <c r="JP92"/>
      <c r="JQ92"/>
      <c r="JR92"/>
      <c r="JS92"/>
      <c r="JT92"/>
      <c r="JU92"/>
      <c r="JV92"/>
      <c r="JW92"/>
      <c r="JX92"/>
      <c r="JY92"/>
      <c r="JZ92"/>
      <c r="KA92"/>
      <c r="KB92"/>
      <c r="KC92"/>
      <c r="KD92"/>
      <c r="KE92"/>
      <c r="KF92"/>
      <c r="KG92"/>
      <c r="KH92"/>
      <c r="KI92"/>
      <c r="KJ92"/>
      <c r="KK92"/>
      <c r="KL92"/>
      <c r="KM92"/>
      <c r="KN92"/>
      <c r="KO92"/>
      <c r="KP92"/>
      <c r="KQ92"/>
      <c r="KR92"/>
      <c r="KS92"/>
    </row>
    <row r="93" spans="1:305" ht="29" customHeight="1" x14ac:dyDescent="0.35">
      <c r="A93" s="104"/>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c r="CU93"/>
      <c r="CV93"/>
      <c r="CW93"/>
      <c r="CX93"/>
      <c r="CY93"/>
      <c r="CZ93"/>
      <c r="DA93"/>
      <c r="DB93"/>
      <c r="DC93"/>
      <c r="DD93"/>
      <c r="DE93"/>
      <c r="DF93"/>
      <c r="DG93"/>
      <c r="DH93"/>
      <c r="DI93"/>
      <c r="DJ93"/>
      <c r="DK93"/>
      <c r="DL93"/>
      <c r="DM93"/>
      <c r="DN93"/>
      <c r="DO93"/>
      <c r="DP93"/>
      <c r="DQ93"/>
      <c r="DR93"/>
      <c r="DS93"/>
      <c r="DT93"/>
      <c r="DU93"/>
      <c r="DV93"/>
      <c r="DW93"/>
      <c r="DX93"/>
      <c r="DY93"/>
      <c r="DZ93"/>
      <c r="EA93"/>
      <c r="EB93"/>
      <c r="EC93"/>
      <c r="ED93"/>
      <c r="EE93"/>
      <c r="EF93"/>
      <c r="EG93"/>
      <c r="EH93"/>
      <c r="EI93"/>
      <c r="EJ93"/>
      <c r="EK93"/>
      <c r="EL93"/>
      <c r="EM93"/>
      <c r="EN93"/>
      <c r="EO93"/>
      <c r="EP93"/>
      <c r="EQ93"/>
      <c r="ER93"/>
      <c r="ES93"/>
      <c r="ET93"/>
      <c r="EU93"/>
      <c r="EV93"/>
      <c r="EW93"/>
      <c r="EX93"/>
      <c r="EY93"/>
      <c r="EZ93"/>
      <c r="FA93"/>
      <c r="FB93"/>
      <c r="FC93"/>
      <c r="FD93"/>
      <c r="FE93"/>
      <c r="FF93"/>
      <c r="FG93"/>
      <c r="FH93"/>
      <c r="FI93"/>
      <c r="FJ93"/>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c r="JA93"/>
      <c r="JB93"/>
      <c r="JC93"/>
      <c r="JD93"/>
      <c r="JE93"/>
      <c r="JF93"/>
      <c r="JG93"/>
      <c r="JH93"/>
      <c r="JI93"/>
      <c r="JJ93"/>
      <c r="JK93"/>
      <c r="JL93"/>
      <c r="JM93"/>
      <c r="JN93"/>
      <c r="JO93"/>
      <c r="JP93"/>
      <c r="JQ93"/>
      <c r="JR93"/>
      <c r="JS93"/>
      <c r="JT93"/>
      <c r="JU93"/>
      <c r="JV93"/>
      <c r="JW93"/>
      <c r="JX93"/>
      <c r="JY93"/>
      <c r="JZ93"/>
      <c r="KA93"/>
      <c r="KB93"/>
      <c r="KC93"/>
      <c r="KD93"/>
      <c r="KE93"/>
      <c r="KF93"/>
      <c r="KG93"/>
      <c r="KH93"/>
      <c r="KI93"/>
      <c r="KJ93"/>
      <c r="KK93"/>
      <c r="KL93"/>
      <c r="KM93"/>
      <c r="KN93"/>
      <c r="KO93"/>
      <c r="KP93"/>
      <c r="KQ93"/>
      <c r="KR93"/>
      <c r="KS93"/>
    </row>
    <row r="94" spans="1:305" ht="29" customHeight="1" x14ac:dyDescent="0.35">
      <c r="A94" s="10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c r="CU94"/>
      <c r="CV94"/>
      <c r="CW94"/>
      <c r="CX94"/>
      <c r="CY94"/>
      <c r="CZ94"/>
      <c r="DA94"/>
      <c r="DB94"/>
      <c r="DC94"/>
      <c r="DD94"/>
      <c r="DE94"/>
      <c r="DF94"/>
      <c r="DG94"/>
      <c r="DH94"/>
      <c r="DI94"/>
      <c r="DJ94"/>
      <c r="DK94"/>
      <c r="DL94"/>
      <c r="DM94"/>
      <c r="DN94"/>
      <c r="DO94"/>
      <c r="DP94"/>
      <c r="DQ94"/>
      <c r="DR94"/>
      <c r="DS94"/>
      <c r="DT94"/>
      <c r="DU94"/>
      <c r="DV94"/>
      <c r="DW94"/>
      <c r="DX94"/>
      <c r="DY94"/>
      <c r="DZ94"/>
      <c r="EA94"/>
      <c r="EB94"/>
      <c r="EC94"/>
      <c r="ED94"/>
      <c r="EE94"/>
      <c r="EF94"/>
      <c r="EG94"/>
      <c r="EH94"/>
      <c r="EI94"/>
      <c r="EJ94"/>
      <c r="EK94"/>
      <c r="EL94"/>
      <c r="EM94"/>
      <c r="EN94"/>
      <c r="EO94"/>
      <c r="EP94"/>
      <c r="EQ94"/>
      <c r="ER94"/>
      <c r="ES94"/>
      <c r="ET94"/>
      <c r="EU94"/>
      <c r="EV94"/>
      <c r="EW94"/>
      <c r="EX94"/>
      <c r="EY94"/>
      <c r="EZ94"/>
      <c r="FA94"/>
      <c r="FB94"/>
      <c r="FC94"/>
      <c r="FD94"/>
      <c r="FE94"/>
      <c r="FF94"/>
      <c r="FG94"/>
      <c r="FH94"/>
      <c r="FI94"/>
      <c r="FJ94"/>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c r="JA94"/>
      <c r="JB94"/>
      <c r="JC94"/>
      <c r="JD94"/>
      <c r="JE94"/>
      <c r="JF94"/>
      <c r="JG94"/>
      <c r="JH94"/>
      <c r="JI94"/>
      <c r="JJ94"/>
      <c r="JK94"/>
      <c r="JL94"/>
      <c r="JM94"/>
      <c r="JN94"/>
      <c r="JO94"/>
      <c r="JP94"/>
      <c r="JQ94"/>
      <c r="JR94"/>
      <c r="JS94"/>
      <c r="JT94"/>
      <c r="JU94"/>
      <c r="JV94"/>
      <c r="JW94"/>
      <c r="JX94"/>
      <c r="JY94"/>
      <c r="JZ94"/>
      <c r="KA94"/>
      <c r="KB94"/>
      <c r="KC94"/>
      <c r="KD94"/>
      <c r="KE94"/>
      <c r="KF94"/>
      <c r="KG94"/>
      <c r="KH94"/>
      <c r="KI94"/>
      <c r="KJ94"/>
      <c r="KK94"/>
      <c r="KL94"/>
      <c r="KM94"/>
      <c r="KN94"/>
      <c r="KO94"/>
      <c r="KP94"/>
      <c r="KQ94"/>
      <c r="KR94"/>
      <c r="KS94"/>
    </row>
    <row r="95" spans="1:305" ht="29" customHeight="1" x14ac:dyDescent="0.35">
      <c r="A95" s="104"/>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c r="CU95"/>
      <c r="CV95"/>
      <c r="CW95"/>
      <c r="CX95"/>
      <c r="CY95"/>
      <c r="CZ95"/>
      <c r="DA95"/>
      <c r="DB95"/>
      <c r="DC95"/>
      <c r="DD95"/>
      <c r="DE95"/>
      <c r="DF95"/>
      <c r="DG95"/>
      <c r="DH95"/>
      <c r="DI95"/>
      <c r="DJ95"/>
      <c r="DK95"/>
      <c r="DL95"/>
      <c r="DM95"/>
      <c r="DN95"/>
      <c r="DO95"/>
      <c r="DP95"/>
      <c r="DQ95"/>
      <c r="DR95"/>
      <c r="DS95"/>
      <c r="DT95"/>
      <c r="DU95"/>
      <c r="DV95"/>
      <c r="DW95"/>
      <c r="DX95"/>
      <c r="DY95"/>
      <c r="DZ95"/>
      <c r="EA95"/>
      <c r="EB95"/>
      <c r="EC95"/>
      <c r="ED95"/>
      <c r="EE95"/>
      <c r="EF95"/>
      <c r="EG95"/>
      <c r="EH95"/>
      <c r="EI95"/>
      <c r="EJ95"/>
      <c r="EK95"/>
      <c r="EL95"/>
      <c r="EM95"/>
      <c r="EN95"/>
      <c r="EO95"/>
      <c r="EP95"/>
      <c r="EQ95"/>
      <c r="ER95"/>
      <c r="ES95"/>
      <c r="ET95"/>
      <c r="EU95"/>
      <c r="EV95"/>
      <c r="EW95"/>
      <c r="EX95"/>
      <c r="EY95"/>
      <c r="EZ95"/>
      <c r="FA95"/>
      <c r="FB95"/>
      <c r="FC95"/>
      <c r="FD95"/>
      <c r="FE95"/>
      <c r="FF95"/>
      <c r="FG95"/>
      <c r="FH95"/>
      <c r="FI95"/>
      <c r="FJ9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c r="JA95"/>
      <c r="JB95"/>
      <c r="JC95"/>
      <c r="JD95"/>
      <c r="JE95"/>
      <c r="JF95"/>
      <c r="JG95"/>
      <c r="JH95"/>
      <c r="JI95"/>
      <c r="JJ95"/>
      <c r="JK95"/>
      <c r="JL95"/>
      <c r="JM95"/>
      <c r="JN95"/>
      <c r="JO95"/>
      <c r="JP95"/>
      <c r="JQ95"/>
      <c r="JR95"/>
      <c r="JS95"/>
      <c r="JT95"/>
      <c r="JU95"/>
      <c r="JV95"/>
      <c r="JW95"/>
      <c r="JX95"/>
      <c r="JY95"/>
      <c r="JZ95"/>
      <c r="KA95"/>
      <c r="KB95"/>
      <c r="KC95"/>
      <c r="KD95"/>
      <c r="KE95"/>
      <c r="KF95"/>
      <c r="KG95"/>
      <c r="KH95"/>
      <c r="KI95"/>
      <c r="KJ95"/>
      <c r="KK95"/>
      <c r="KL95"/>
      <c r="KM95"/>
      <c r="KN95"/>
      <c r="KO95"/>
      <c r="KP95"/>
      <c r="KQ95"/>
      <c r="KR95"/>
      <c r="KS95"/>
    </row>
    <row r="96" spans="1:305" ht="29" customHeight="1" x14ac:dyDescent="0.35">
      <c r="A96" s="104"/>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c r="CU96"/>
      <c r="CV96"/>
      <c r="CW96"/>
      <c r="CX96"/>
      <c r="CY96"/>
      <c r="CZ96"/>
      <c r="DA96"/>
      <c r="DB96"/>
      <c r="DC96"/>
      <c r="DD96"/>
      <c r="DE96"/>
      <c r="DF96"/>
      <c r="DG96"/>
      <c r="DH96"/>
      <c r="DI96"/>
      <c r="DJ96"/>
      <c r="DK96"/>
      <c r="DL96"/>
      <c r="DM96"/>
      <c r="DN96"/>
      <c r="DO96"/>
      <c r="DP96"/>
      <c r="DQ96"/>
      <c r="DR96"/>
      <c r="DS96"/>
      <c r="DT96"/>
      <c r="DU96"/>
      <c r="DV96"/>
      <c r="DW96"/>
      <c r="DX96"/>
      <c r="DY96"/>
      <c r="DZ96"/>
      <c r="EA96"/>
      <c r="EB96"/>
      <c r="EC96"/>
      <c r="ED96"/>
      <c r="EE96"/>
      <c r="EF96"/>
      <c r="EG96"/>
      <c r="EH96"/>
      <c r="EI96"/>
      <c r="EJ96"/>
      <c r="EK96"/>
      <c r="EL96"/>
      <c r="EM96"/>
      <c r="EN96"/>
      <c r="EO96"/>
      <c r="EP96"/>
      <c r="EQ96"/>
      <c r="ER96"/>
      <c r="ES96"/>
      <c r="ET96"/>
      <c r="EU96"/>
      <c r="EV96"/>
      <c r="EW96"/>
      <c r="EX96"/>
      <c r="EY96"/>
      <c r="EZ96"/>
      <c r="FA96"/>
      <c r="FB96"/>
      <c r="FC96"/>
      <c r="FD96"/>
      <c r="FE96"/>
      <c r="FF96"/>
      <c r="FG96"/>
      <c r="FH96"/>
      <c r="FI96"/>
      <c r="FJ96"/>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c r="JA96"/>
      <c r="JB96"/>
      <c r="JC96"/>
      <c r="JD96"/>
      <c r="JE96"/>
      <c r="JF96"/>
      <c r="JG96"/>
      <c r="JH96"/>
      <c r="JI96"/>
      <c r="JJ96"/>
      <c r="JK96"/>
      <c r="JL96"/>
      <c r="JM96"/>
      <c r="JN96"/>
      <c r="JO96"/>
      <c r="JP96"/>
      <c r="JQ96"/>
      <c r="JR96"/>
      <c r="JS96"/>
      <c r="JT96"/>
      <c r="JU96"/>
      <c r="JV96"/>
      <c r="JW96"/>
      <c r="JX96"/>
      <c r="JY96"/>
      <c r="JZ96"/>
      <c r="KA96"/>
      <c r="KB96"/>
      <c r="KC96"/>
      <c r="KD96"/>
      <c r="KE96"/>
      <c r="KF96"/>
      <c r="KG96"/>
      <c r="KH96"/>
      <c r="KI96"/>
      <c r="KJ96"/>
      <c r="KK96"/>
      <c r="KL96"/>
      <c r="KM96"/>
      <c r="KN96"/>
      <c r="KO96"/>
      <c r="KP96"/>
      <c r="KQ96"/>
      <c r="KR96"/>
      <c r="KS96"/>
    </row>
    <row r="97" spans="1:305" ht="29" customHeight="1" x14ac:dyDescent="0.35">
      <c r="A97" s="104"/>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c r="CU97"/>
      <c r="CV97"/>
      <c r="CW97"/>
      <c r="CX97"/>
      <c r="CY97"/>
      <c r="CZ97"/>
      <c r="DA97"/>
      <c r="DB97"/>
      <c r="DC97"/>
      <c r="DD97"/>
      <c r="DE97"/>
      <c r="DF97"/>
      <c r="DG97"/>
      <c r="DH97"/>
      <c r="DI97"/>
      <c r="DJ97"/>
      <c r="DK97"/>
      <c r="DL97"/>
      <c r="DM97"/>
      <c r="DN97"/>
      <c r="DO97"/>
      <c r="DP97"/>
      <c r="DQ97"/>
      <c r="DR97"/>
      <c r="DS97"/>
      <c r="DT97"/>
      <c r="DU97"/>
      <c r="DV97"/>
      <c r="DW97"/>
      <c r="DX97"/>
      <c r="DY97"/>
      <c r="DZ97"/>
      <c r="EA97"/>
      <c r="EB97"/>
      <c r="EC97"/>
      <c r="ED97"/>
      <c r="EE97"/>
      <c r="EF97"/>
      <c r="EG97"/>
      <c r="EH97"/>
      <c r="EI97"/>
      <c r="EJ97"/>
      <c r="EK97"/>
      <c r="EL97"/>
      <c r="EM97"/>
      <c r="EN97"/>
      <c r="EO97"/>
      <c r="EP97"/>
      <c r="EQ97"/>
      <c r="ER97"/>
      <c r="ES97"/>
      <c r="ET97"/>
      <c r="EU97"/>
      <c r="EV97"/>
      <c r="EW97"/>
      <c r="EX97"/>
      <c r="EY97"/>
      <c r="EZ97"/>
      <c r="FA97"/>
      <c r="FB97"/>
      <c r="FC97"/>
      <c r="FD97"/>
      <c r="FE97"/>
      <c r="FF97"/>
      <c r="FG97"/>
      <c r="FH97"/>
      <c r="FI97"/>
      <c r="FJ97"/>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c r="JA97"/>
      <c r="JB97"/>
      <c r="JC97"/>
      <c r="JD97"/>
      <c r="JE97"/>
      <c r="JF97"/>
      <c r="JG97"/>
      <c r="JH97"/>
      <c r="JI97"/>
      <c r="JJ97"/>
      <c r="JK97"/>
      <c r="JL97"/>
      <c r="JM97"/>
      <c r="JN97"/>
      <c r="JO97"/>
      <c r="JP97"/>
      <c r="JQ97"/>
      <c r="JR97"/>
      <c r="JS97"/>
      <c r="JT97"/>
      <c r="JU97"/>
      <c r="JV97"/>
      <c r="JW97"/>
      <c r="JX97"/>
      <c r="JY97"/>
      <c r="JZ97"/>
      <c r="KA97"/>
      <c r="KB97"/>
      <c r="KC97"/>
      <c r="KD97"/>
      <c r="KE97"/>
      <c r="KF97"/>
      <c r="KG97"/>
      <c r="KH97"/>
      <c r="KI97"/>
      <c r="KJ97"/>
      <c r="KK97"/>
      <c r="KL97"/>
      <c r="KM97"/>
      <c r="KN97"/>
      <c r="KO97"/>
      <c r="KP97"/>
      <c r="KQ97"/>
      <c r="KR97"/>
      <c r="KS97"/>
    </row>
    <row r="98" spans="1:305" ht="29" customHeight="1" x14ac:dyDescent="0.35">
      <c r="A98" s="104"/>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c r="CU98"/>
      <c r="CV98"/>
      <c r="CW98"/>
      <c r="CX98"/>
      <c r="CY98"/>
      <c r="CZ98"/>
      <c r="DA98"/>
      <c r="DB98"/>
      <c r="DC98"/>
      <c r="DD98"/>
      <c r="DE98"/>
      <c r="DF98"/>
      <c r="DG98"/>
      <c r="DH98"/>
      <c r="DI98"/>
      <c r="DJ98"/>
      <c r="DK98"/>
      <c r="DL98"/>
      <c r="DM98"/>
      <c r="DN98"/>
      <c r="DO98"/>
      <c r="DP98"/>
      <c r="DQ98"/>
      <c r="DR98"/>
      <c r="DS98"/>
      <c r="DT98"/>
      <c r="DU98"/>
      <c r="DV98"/>
      <c r="DW98"/>
      <c r="DX98"/>
      <c r="DY98"/>
      <c r="DZ98"/>
      <c r="EA98"/>
      <c r="EB98"/>
      <c r="EC98"/>
      <c r="ED98"/>
      <c r="EE98"/>
      <c r="EF98"/>
      <c r="EG98"/>
      <c r="EH98"/>
      <c r="EI98"/>
      <c r="EJ98"/>
      <c r="EK98"/>
      <c r="EL98"/>
      <c r="EM98"/>
      <c r="EN98"/>
      <c r="EO98"/>
      <c r="EP98"/>
      <c r="EQ98"/>
      <c r="ER98"/>
      <c r="ES98"/>
      <c r="ET98"/>
      <c r="EU98"/>
      <c r="EV98"/>
      <c r="EW98"/>
      <c r="EX98"/>
      <c r="EY98"/>
      <c r="EZ98"/>
      <c r="FA98"/>
      <c r="FB98"/>
      <c r="FC98"/>
      <c r="FD98"/>
      <c r="FE98"/>
      <c r="FF98"/>
      <c r="FG98"/>
      <c r="FH98"/>
      <c r="FI98"/>
      <c r="FJ98"/>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c r="JA98"/>
      <c r="JB98"/>
      <c r="JC98"/>
      <c r="JD98"/>
      <c r="JE98"/>
      <c r="JF98"/>
      <c r="JG98"/>
      <c r="JH98"/>
      <c r="JI98"/>
      <c r="JJ98"/>
      <c r="JK98"/>
      <c r="JL98"/>
      <c r="JM98"/>
      <c r="JN98"/>
      <c r="JO98"/>
      <c r="JP98"/>
      <c r="JQ98"/>
      <c r="JR98"/>
      <c r="JS98"/>
      <c r="JT98"/>
      <c r="JU98"/>
      <c r="JV98"/>
      <c r="JW98"/>
      <c r="JX98"/>
      <c r="JY98"/>
      <c r="JZ98"/>
      <c r="KA98"/>
      <c r="KB98"/>
      <c r="KC98"/>
      <c r="KD98"/>
      <c r="KE98"/>
      <c r="KF98"/>
      <c r="KG98"/>
      <c r="KH98"/>
      <c r="KI98"/>
      <c r="KJ98"/>
      <c r="KK98"/>
      <c r="KL98"/>
      <c r="KM98"/>
      <c r="KN98"/>
      <c r="KO98"/>
      <c r="KP98"/>
      <c r="KQ98"/>
      <c r="KR98"/>
      <c r="KS98"/>
    </row>
    <row r="99" spans="1:305" ht="29" customHeight="1" x14ac:dyDescent="0.35">
      <c r="A99" s="104"/>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c r="CU99"/>
      <c r="CV99"/>
      <c r="CW99"/>
      <c r="CX99"/>
      <c r="CY99"/>
      <c r="CZ99"/>
      <c r="DA99"/>
      <c r="DB99"/>
      <c r="DC99"/>
      <c r="DD99"/>
      <c r="DE99"/>
      <c r="DF99"/>
      <c r="DG99"/>
      <c r="DH99"/>
      <c r="DI99"/>
      <c r="DJ99"/>
      <c r="DK99"/>
      <c r="DL99"/>
      <c r="DM99"/>
      <c r="DN99"/>
      <c r="DO99"/>
      <c r="DP99"/>
      <c r="DQ99"/>
      <c r="DR99"/>
      <c r="DS99"/>
      <c r="DT99"/>
      <c r="DU99"/>
      <c r="DV99"/>
      <c r="DW99"/>
      <c r="DX99"/>
      <c r="DY99"/>
      <c r="DZ99"/>
      <c r="EA99"/>
      <c r="EB99"/>
      <c r="EC99"/>
      <c r="ED99"/>
      <c r="EE99"/>
      <c r="EF99"/>
      <c r="EG99"/>
      <c r="EH99"/>
      <c r="EI99"/>
      <c r="EJ99"/>
      <c r="EK99"/>
      <c r="EL99"/>
      <c r="EM99"/>
      <c r="EN99"/>
      <c r="EO99"/>
      <c r="EP99"/>
      <c r="EQ99"/>
      <c r="ER99"/>
      <c r="ES99"/>
      <c r="ET99"/>
      <c r="EU99"/>
      <c r="EV99"/>
      <c r="EW99"/>
      <c r="EX99"/>
      <c r="EY99"/>
      <c r="EZ99"/>
      <c r="FA99"/>
      <c r="FB99"/>
      <c r="FC99"/>
      <c r="FD99"/>
      <c r="FE99"/>
      <c r="FF99"/>
      <c r="FG99"/>
      <c r="FH99"/>
      <c r="FI99"/>
      <c r="FJ99"/>
      <c r="FK99"/>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c r="JA99"/>
      <c r="JB99"/>
      <c r="JC99"/>
      <c r="JD99"/>
      <c r="JE99"/>
      <c r="JF99"/>
      <c r="JG99"/>
      <c r="JH99"/>
      <c r="JI99"/>
      <c r="JJ99"/>
      <c r="JK99"/>
      <c r="JL99"/>
      <c r="JM99"/>
      <c r="JN99"/>
      <c r="JO99"/>
      <c r="JP99"/>
      <c r="JQ99"/>
      <c r="JR99"/>
      <c r="JS99"/>
      <c r="JT99"/>
      <c r="JU99"/>
      <c r="JV99"/>
      <c r="JW99"/>
      <c r="JX99"/>
      <c r="JY99"/>
      <c r="JZ99"/>
      <c r="KA99"/>
      <c r="KB99"/>
      <c r="KC99"/>
      <c r="KD99"/>
      <c r="KE99"/>
      <c r="KF99"/>
      <c r="KG99"/>
      <c r="KH99"/>
      <c r="KI99"/>
      <c r="KJ99"/>
      <c r="KK99"/>
      <c r="KL99"/>
      <c r="KM99"/>
      <c r="KN99"/>
      <c r="KO99"/>
      <c r="KP99"/>
      <c r="KQ99"/>
      <c r="KR99"/>
      <c r="KS99"/>
    </row>
    <row r="100" spans="1:305" ht="29" customHeight="1" x14ac:dyDescent="0.35">
      <c r="A100" s="104"/>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c r="CU100"/>
      <c r="CV100"/>
      <c r="CW100"/>
      <c r="CX100"/>
      <c r="CY100"/>
      <c r="CZ100"/>
      <c r="DA100"/>
      <c r="DB100"/>
      <c r="DC100"/>
      <c r="DD100"/>
      <c r="DE100"/>
      <c r="DF100"/>
      <c r="DG100"/>
      <c r="DH100"/>
      <c r="DI100"/>
      <c r="DJ100"/>
      <c r="DK100"/>
      <c r="DL100"/>
      <c r="DM100"/>
      <c r="DN100"/>
      <c r="DO100"/>
      <c r="DP100"/>
      <c r="DQ100"/>
      <c r="DR100"/>
      <c r="DS100"/>
      <c r="DT100"/>
      <c r="DU100"/>
      <c r="DV100"/>
      <c r="DW100"/>
      <c r="DX100"/>
      <c r="DY100"/>
      <c r="DZ100"/>
      <c r="EA100"/>
      <c r="EB100"/>
      <c r="EC100"/>
      <c r="ED100"/>
      <c r="EE100"/>
      <c r="EF100"/>
      <c r="EG100"/>
      <c r="EH100"/>
      <c r="EI100"/>
      <c r="EJ100"/>
      <c r="EK100"/>
      <c r="EL100"/>
      <c r="EM100"/>
      <c r="EN100"/>
      <c r="EO100"/>
      <c r="EP100"/>
      <c r="EQ100"/>
      <c r="ER100"/>
      <c r="ES100"/>
      <c r="ET100"/>
      <c r="EU100"/>
      <c r="EV100"/>
      <c r="EW100"/>
      <c r="EX100"/>
      <c r="EY100"/>
      <c r="EZ100"/>
      <c r="FA100"/>
      <c r="FB100"/>
      <c r="FC100"/>
      <c r="FD100"/>
      <c r="FE100"/>
      <c r="FF100"/>
      <c r="FG100"/>
      <c r="FH100"/>
      <c r="FI100"/>
      <c r="FJ100"/>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c r="JA100"/>
      <c r="JB100"/>
      <c r="JC100"/>
      <c r="JD100"/>
      <c r="JE100"/>
      <c r="JF100"/>
      <c r="JG100"/>
      <c r="JH100"/>
      <c r="JI100"/>
      <c r="JJ100"/>
      <c r="JK100"/>
      <c r="JL100"/>
      <c r="JM100"/>
      <c r="JN100"/>
      <c r="JO100"/>
      <c r="JP100"/>
      <c r="JQ100"/>
      <c r="JR100"/>
      <c r="JS100"/>
      <c r="JT100"/>
      <c r="JU100"/>
      <c r="JV100"/>
      <c r="JW100"/>
      <c r="JX100"/>
      <c r="JY100"/>
      <c r="JZ100"/>
      <c r="KA100"/>
      <c r="KB100"/>
      <c r="KC100"/>
      <c r="KD100"/>
      <c r="KE100"/>
      <c r="KF100"/>
      <c r="KG100"/>
      <c r="KH100"/>
      <c r="KI100"/>
      <c r="KJ100"/>
      <c r="KK100"/>
      <c r="KL100"/>
      <c r="KM100"/>
      <c r="KN100"/>
      <c r="KO100"/>
      <c r="KP100"/>
      <c r="KQ100"/>
      <c r="KR100"/>
      <c r="KS100"/>
    </row>
    <row r="101" spans="1:305" ht="29" customHeight="1" x14ac:dyDescent="0.35">
      <c r="A101" s="104"/>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c r="CU101"/>
      <c r="CV101"/>
      <c r="CW101"/>
      <c r="CX101"/>
      <c r="CY101"/>
      <c r="CZ101"/>
      <c r="DA101"/>
      <c r="DB101"/>
      <c r="DC101"/>
      <c r="DD101"/>
      <c r="DE101"/>
      <c r="DF101"/>
      <c r="DG101"/>
      <c r="DH101"/>
      <c r="DI101"/>
      <c r="DJ101"/>
      <c r="DK101"/>
      <c r="DL101"/>
      <c r="DM101"/>
      <c r="DN101"/>
      <c r="DO101"/>
      <c r="DP101"/>
      <c r="DQ101"/>
      <c r="DR101"/>
      <c r="DS101"/>
      <c r="DT101"/>
      <c r="DU101"/>
      <c r="DV101"/>
      <c r="DW101"/>
      <c r="DX101"/>
      <c r="DY101"/>
      <c r="DZ101"/>
      <c r="EA101"/>
      <c r="EB101"/>
      <c r="EC101"/>
      <c r="ED101"/>
      <c r="EE101"/>
      <c r="EF101"/>
      <c r="EG101"/>
      <c r="EH101"/>
      <c r="EI101"/>
      <c r="EJ101"/>
      <c r="EK101"/>
      <c r="EL101"/>
      <c r="EM101"/>
      <c r="EN101"/>
      <c r="EO101"/>
      <c r="EP101"/>
      <c r="EQ101"/>
      <c r="ER101"/>
      <c r="ES101"/>
      <c r="ET101"/>
      <c r="EU101"/>
      <c r="EV101"/>
      <c r="EW101"/>
      <c r="EX101"/>
      <c r="EY101"/>
      <c r="EZ101"/>
      <c r="FA101"/>
      <c r="FB101"/>
      <c r="FC101"/>
      <c r="FD101"/>
      <c r="FE101"/>
      <c r="FF101"/>
      <c r="FG101"/>
      <c r="FH101"/>
      <c r="FI101"/>
      <c r="FJ101"/>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c r="JA101"/>
      <c r="JB101"/>
      <c r="JC101"/>
      <c r="JD101"/>
      <c r="JE101"/>
      <c r="JF101"/>
      <c r="JG101"/>
      <c r="JH101"/>
      <c r="JI101"/>
      <c r="JJ101"/>
      <c r="JK101"/>
      <c r="JL101"/>
      <c r="JM101"/>
      <c r="JN101"/>
      <c r="JO101"/>
      <c r="JP101"/>
      <c r="JQ101"/>
      <c r="JR101"/>
      <c r="JS101"/>
      <c r="JT101"/>
      <c r="JU101"/>
      <c r="JV101"/>
      <c r="JW101"/>
      <c r="JX101"/>
      <c r="JY101"/>
      <c r="JZ101"/>
      <c r="KA101"/>
      <c r="KB101"/>
      <c r="KC101"/>
      <c r="KD101"/>
      <c r="KE101"/>
      <c r="KF101"/>
      <c r="KG101"/>
      <c r="KH101"/>
      <c r="KI101"/>
      <c r="KJ101"/>
      <c r="KK101"/>
      <c r="KL101"/>
      <c r="KM101"/>
      <c r="KN101"/>
      <c r="KO101"/>
      <c r="KP101"/>
      <c r="KQ101"/>
      <c r="KR101"/>
      <c r="KS101"/>
    </row>
    <row r="102" spans="1:305" ht="29" customHeight="1" x14ac:dyDescent="0.35">
      <c r="A102" s="104"/>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c r="CU102"/>
      <c r="CV102"/>
      <c r="CW102"/>
      <c r="CX102"/>
      <c r="CY102"/>
      <c r="CZ102"/>
      <c r="DA102"/>
      <c r="DB102"/>
      <c r="DC102"/>
      <c r="DD102"/>
      <c r="DE102"/>
      <c r="DF102"/>
      <c r="DG102"/>
      <c r="DH102"/>
      <c r="DI102"/>
      <c r="DJ102"/>
      <c r="DK102"/>
      <c r="DL102"/>
      <c r="DM102"/>
      <c r="DN102"/>
      <c r="DO102"/>
      <c r="DP102"/>
      <c r="DQ102"/>
      <c r="DR102"/>
      <c r="DS102"/>
      <c r="DT102"/>
      <c r="DU102"/>
      <c r="DV102"/>
      <c r="DW102"/>
      <c r="DX102"/>
      <c r="DY102"/>
      <c r="DZ102"/>
      <c r="EA102"/>
      <c r="EB102"/>
      <c r="EC102"/>
      <c r="ED102"/>
      <c r="EE102"/>
      <c r="EF102"/>
      <c r="EG102"/>
      <c r="EH102"/>
      <c r="EI102"/>
      <c r="EJ102"/>
      <c r="EK102"/>
      <c r="EL102"/>
      <c r="EM102"/>
      <c r="EN102"/>
      <c r="EO102"/>
      <c r="EP102"/>
      <c r="EQ102"/>
      <c r="ER102"/>
      <c r="ES102"/>
      <c r="ET102"/>
      <c r="EU102"/>
      <c r="EV102"/>
      <c r="EW102"/>
      <c r="EX102"/>
      <c r="EY102"/>
      <c r="EZ102"/>
      <c r="FA102"/>
      <c r="FB102"/>
      <c r="FC102"/>
      <c r="FD102"/>
      <c r="FE102"/>
      <c r="FF102"/>
      <c r="FG102"/>
      <c r="FH102"/>
      <c r="FI102"/>
      <c r="FJ102"/>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c r="JA102"/>
      <c r="JB102"/>
      <c r="JC102"/>
      <c r="JD102"/>
      <c r="JE102"/>
      <c r="JF102"/>
      <c r="JG102"/>
      <c r="JH102"/>
      <c r="JI102"/>
      <c r="JJ102"/>
      <c r="JK102"/>
      <c r="JL102"/>
      <c r="JM102"/>
      <c r="JN102"/>
      <c r="JO102"/>
      <c r="JP102"/>
      <c r="JQ102"/>
      <c r="JR102"/>
      <c r="JS102"/>
      <c r="JT102"/>
      <c r="JU102"/>
      <c r="JV102"/>
      <c r="JW102"/>
      <c r="JX102"/>
      <c r="JY102"/>
      <c r="JZ102"/>
      <c r="KA102"/>
      <c r="KB102"/>
      <c r="KC102"/>
      <c r="KD102"/>
      <c r="KE102"/>
      <c r="KF102"/>
      <c r="KG102"/>
      <c r="KH102"/>
      <c r="KI102"/>
      <c r="KJ102"/>
      <c r="KK102"/>
      <c r="KL102"/>
      <c r="KM102"/>
      <c r="KN102"/>
      <c r="KO102"/>
      <c r="KP102"/>
      <c r="KQ102"/>
      <c r="KR102"/>
      <c r="KS102"/>
    </row>
    <row r="103" spans="1:305" ht="29" customHeight="1" x14ac:dyDescent="0.35">
      <c r="A103" s="104"/>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c r="DO103"/>
      <c r="DP103"/>
      <c r="DQ103"/>
      <c r="DR103"/>
      <c r="DS103"/>
      <c r="DT103"/>
      <c r="DU103"/>
      <c r="DV103"/>
      <c r="DW103"/>
      <c r="DX103"/>
      <c r="DY103"/>
      <c r="DZ103"/>
      <c r="EA103"/>
      <c r="EB103"/>
      <c r="EC103"/>
      <c r="ED103"/>
      <c r="EE103"/>
      <c r="EF103"/>
      <c r="EG103"/>
      <c r="EH103"/>
      <c r="EI103"/>
      <c r="EJ103"/>
      <c r="EK103"/>
      <c r="EL103"/>
      <c r="EM103"/>
      <c r="EN103"/>
      <c r="EO103"/>
      <c r="EP103"/>
      <c r="EQ103"/>
      <c r="ER103"/>
      <c r="ES103"/>
      <c r="ET103"/>
      <c r="EU103"/>
      <c r="EV103"/>
      <c r="EW103"/>
      <c r="EX103"/>
      <c r="EY103"/>
      <c r="EZ103"/>
      <c r="FA103"/>
      <c r="FB103"/>
      <c r="FC103"/>
      <c r="FD103"/>
      <c r="FE103"/>
      <c r="FF103"/>
      <c r="FG103"/>
      <c r="FH103"/>
      <c r="FI103"/>
      <c r="FJ103"/>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c r="JA103"/>
      <c r="JB103"/>
      <c r="JC103"/>
      <c r="JD103"/>
      <c r="JE103"/>
      <c r="JF103"/>
      <c r="JG103"/>
      <c r="JH103"/>
      <c r="JI103"/>
      <c r="JJ103"/>
      <c r="JK103"/>
      <c r="JL103"/>
      <c r="JM103"/>
      <c r="JN103"/>
      <c r="JO103"/>
      <c r="JP103"/>
      <c r="JQ103"/>
      <c r="JR103"/>
      <c r="JS103"/>
      <c r="JT103"/>
      <c r="JU103"/>
      <c r="JV103"/>
      <c r="JW103"/>
      <c r="JX103"/>
      <c r="JY103"/>
      <c r="JZ103"/>
      <c r="KA103"/>
      <c r="KB103"/>
      <c r="KC103"/>
      <c r="KD103"/>
      <c r="KE103"/>
      <c r="KF103"/>
      <c r="KG103"/>
      <c r="KH103"/>
      <c r="KI103"/>
      <c r="KJ103"/>
      <c r="KK103"/>
      <c r="KL103"/>
      <c r="KM103"/>
      <c r="KN103"/>
      <c r="KO103"/>
      <c r="KP103"/>
      <c r="KQ103"/>
      <c r="KR103"/>
      <c r="KS103"/>
    </row>
    <row r="104" spans="1:305" ht="29" customHeight="1" x14ac:dyDescent="0.35">
      <c r="A104" s="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c r="CU104"/>
      <c r="CV104"/>
      <c r="CW104"/>
      <c r="CX104"/>
      <c r="CY104"/>
      <c r="CZ104"/>
      <c r="DA104"/>
      <c r="DB104"/>
      <c r="DC104"/>
      <c r="DD104"/>
      <c r="DE104"/>
      <c r="DF104"/>
      <c r="DG104"/>
      <c r="DH104"/>
      <c r="DI104"/>
      <c r="DJ104"/>
      <c r="DK104"/>
      <c r="DL104"/>
      <c r="DM104"/>
      <c r="DN104"/>
      <c r="DO104"/>
      <c r="DP104"/>
      <c r="DQ104"/>
      <c r="DR104"/>
      <c r="DS104"/>
      <c r="DT104"/>
      <c r="DU104"/>
      <c r="DV104"/>
      <c r="DW104"/>
      <c r="DX104"/>
      <c r="DY104"/>
      <c r="DZ104"/>
      <c r="EA104"/>
      <c r="EB104"/>
      <c r="EC104"/>
      <c r="ED104"/>
      <c r="EE104"/>
      <c r="EF104"/>
      <c r="EG104"/>
      <c r="EH104"/>
      <c r="EI104"/>
      <c r="EJ104"/>
      <c r="EK104"/>
      <c r="EL104"/>
      <c r="EM104"/>
      <c r="EN104"/>
      <c r="EO104"/>
      <c r="EP104"/>
      <c r="EQ104"/>
      <c r="ER104"/>
      <c r="ES104"/>
      <c r="ET104"/>
      <c r="EU104"/>
      <c r="EV104"/>
      <c r="EW104"/>
      <c r="EX104"/>
      <c r="EY104"/>
      <c r="EZ104"/>
      <c r="FA104"/>
      <c r="FB104"/>
      <c r="FC104"/>
      <c r="FD104"/>
      <c r="FE104"/>
      <c r="FF104"/>
      <c r="FG104"/>
      <c r="FH104"/>
      <c r="FI104"/>
      <c r="FJ104"/>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c r="JA104"/>
      <c r="JB104"/>
      <c r="JC104"/>
      <c r="JD104"/>
      <c r="JE104"/>
      <c r="JF104"/>
      <c r="JG104"/>
      <c r="JH104"/>
      <c r="JI104"/>
      <c r="JJ104"/>
      <c r="JK104"/>
      <c r="JL104"/>
      <c r="JM104"/>
      <c r="JN104"/>
      <c r="JO104"/>
      <c r="JP104"/>
      <c r="JQ104"/>
      <c r="JR104"/>
      <c r="JS104"/>
      <c r="JT104"/>
      <c r="JU104"/>
      <c r="JV104"/>
      <c r="JW104"/>
      <c r="JX104"/>
      <c r="JY104"/>
      <c r="JZ104"/>
      <c r="KA104"/>
      <c r="KB104"/>
      <c r="KC104"/>
      <c r="KD104"/>
      <c r="KE104"/>
      <c r="KF104"/>
      <c r="KG104"/>
      <c r="KH104"/>
      <c r="KI104"/>
      <c r="KJ104"/>
      <c r="KK104"/>
      <c r="KL104"/>
      <c r="KM104"/>
      <c r="KN104"/>
      <c r="KO104"/>
      <c r="KP104"/>
      <c r="KQ104"/>
      <c r="KR104"/>
      <c r="KS104"/>
    </row>
    <row r="105" spans="1:305" ht="29" customHeight="1" x14ac:dyDescent="0.35">
      <c r="A105" s="104"/>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c r="CU105"/>
      <c r="CV105"/>
      <c r="CW105"/>
      <c r="CX105"/>
      <c r="CY105"/>
      <c r="CZ105"/>
      <c r="DA105"/>
      <c r="DB105"/>
      <c r="DC105"/>
      <c r="DD105"/>
      <c r="DE105"/>
      <c r="DF105"/>
      <c r="DG105"/>
      <c r="DH105"/>
      <c r="DI105"/>
      <c r="DJ105"/>
      <c r="DK105"/>
      <c r="DL105"/>
      <c r="DM105"/>
      <c r="DN105"/>
      <c r="DO105"/>
      <c r="DP105"/>
      <c r="DQ105"/>
      <c r="DR105"/>
      <c r="DS105"/>
      <c r="DT105"/>
      <c r="DU105"/>
      <c r="DV105"/>
      <c r="DW105"/>
      <c r="DX105"/>
      <c r="DY105"/>
      <c r="DZ105"/>
      <c r="EA105"/>
      <c r="EB105"/>
      <c r="EC105"/>
      <c r="ED105"/>
      <c r="EE105"/>
      <c r="EF105"/>
      <c r="EG105"/>
      <c r="EH105"/>
      <c r="EI105"/>
      <c r="EJ105"/>
      <c r="EK105"/>
      <c r="EL105"/>
      <c r="EM105"/>
      <c r="EN105"/>
      <c r="EO105"/>
      <c r="EP105"/>
      <c r="EQ105"/>
      <c r="ER105"/>
      <c r="ES105"/>
      <c r="ET105"/>
      <c r="EU105"/>
      <c r="EV105"/>
      <c r="EW105"/>
      <c r="EX105"/>
      <c r="EY105"/>
      <c r="EZ105"/>
      <c r="FA105"/>
      <c r="FB105"/>
      <c r="FC105"/>
      <c r="FD105"/>
      <c r="FE105"/>
      <c r="FF105"/>
      <c r="FG105"/>
      <c r="FH105"/>
      <c r="FI105"/>
      <c r="FJ105"/>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c r="JA105"/>
      <c r="JB105"/>
      <c r="JC105"/>
      <c r="JD105"/>
      <c r="JE105"/>
      <c r="JF105"/>
      <c r="JG105"/>
      <c r="JH105"/>
      <c r="JI105"/>
      <c r="JJ105"/>
      <c r="JK105"/>
      <c r="JL105"/>
      <c r="JM105"/>
      <c r="JN105"/>
      <c r="JO105"/>
      <c r="JP105"/>
      <c r="JQ105"/>
      <c r="JR105"/>
      <c r="JS105"/>
      <c r="JT105"/>
      <c r="JU105"/>
      <c r="JV105"/>
      <c r="JW105"/>
      <c r="JX105"/>
      <c r="JY105"/>
      <c r="JZ105"/>
      <c r="KA105"/>
      <c r="KB105"/>
      <c r="KC105"/>
      <c r="KD105"/>
      <c r="KE105"/>
      <c r="KF105"/>
      <c r="KG105"/>
      <c r="KH105"/>
      <c r="KI105"/>
      <c r="KJ105"/>
      <c r="KK105"/>
      <c r="KL105"/>
      <c r="KM105"/>
      <c r="KN105"/>
      <c r="KO105"/>
      <c r="KP105"/>
      <c r="KQ105"/>
      <c r="KR105"/>
      <c r="KS105"/>
    </row>
    <row r="106" spans="1:305" hidden="1" x14ac:dyDescent="0.35">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c r="CU106"/>
      <c r="CV106"/>
      <c r="CW106"/>
      <c r="CX106"/>
      <c r="CY106"/>
      <c r="CZ106"/>
      <c r="DA106"/>
      <c r="DB106"/>
      <c r="DC106"/>
      <c r="DD106"/>
      <c r="DE106"/>
      <c r="DF106"/>
      <c r="DG106"/>
      <c r="DH106"/>
      <c r="DI106"/>
      <c r="DJ106"/>
      <c r="DK106"/>
      <c r="DL106"/>
      <c r="DM106"/>
      <c r="DN106"/>
      <c r="DO106"/>
      <c r="DP106"/>
      <c r="DQ106"/>
      <c r="DR106"/>
      <c r="DS106"/>
      <c r="DT106"/>
      <c r="DU106"/>
      <c r="DV106"/>
      <c r="DW106"/>
      <c r="DX106"/>
      <c r="DY106"/>
      <c r="DZ106"/>
      <c r="EA106"/>
      <c r="EB106"/>
      <c r="EC106"/>
      <c r="ED106"/>
      <c r="EE106"/>
      <c r="EF106"/>
      <c r="EG106"/>
      <c r="EH106"/>
      <c r="EI106"/>
      <c r="EJ106"/>
      <c r="EK106"/>
      <c r="EL106"/>
      <c r="EM106"/>
      <c r="EN106"/>
      <c r="EO106"/>
      <c r="EP106"/>
      <c r="EQ106"/>
      <c r="ER106"/>
      <c r="ES106"/>
      <c r="ET106"/>
      <c r="EU106"/>
      <c r="EV106"/>
      <c r="EW106"/>
      <c r="EX106"/>
      <c r="EY106"/>
      <c r="EZ106"/>
      <c r="FA106"/>
      <c r="FB106"/>
      <c r="FC106"/>
      <c r="FD106"/>
      <c r="FE106"/>
      <c r="FF106"/>
      <c r="FG106"/>
      <c r="FH106"/>
      <c r="FI106"/>
      <c r="FJ10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c r="JA106"/>
      <c r="JB106"/>
      <c r="JC106"/>
      <c r="JD106"/>
      <c r="JE106"/>
      <c r="JF106"/>
      <c r="JG106"/>
      <c r="JH106"/>
      <c r="JI106"/>
      <c r="JJ106"/>
      <c r="JK106"/>
      <c r="JL106"/>
      <c r="JM106"/>
      <c r="JN106"/>
      <c r="JO106"/>
      <c r="JP106"/>
      <c r="JQ106"/>
      <c r="JR106"/>
      <c r="JS106"/>
      <c r="JT106"/>
      <c r="JU106"/>
      <c r="JV106"/>
      <c r="JW106"/>
      <c r="JX106"/>
      <c r="JY106"/>
      <c r="JZ106"/>
      <c r="KA106"/>
      <c r="KB106"/>
      <c r="KC106"/>
      <c r="KD106"/>
      <c r="KE106"/>
      <c r="KF106"/>
      <c r="KG106"/>
      <c r="KH106"/>
      <c r="KI106"/>
      <c r="KJ106"/>
      <c r="KK106"/>
      <c r="KL106"/>
      <c r="KM106"/>
      <c r="KN106"/>
      <c r="KO106"/>
      <c r="KP106"/>
      <c r="KQ106"/>
      <c r="KR106"/>
      <c r="KS106"/>
    </row>
    <row r="107" spans="1:305" hidden="1" x14ac:dyDescent="0.35">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c r="CU107"/>
      <c r="CV107"/>
      <c r="CW107"/>
      <c r="CX107"/>
      <c r="CY107"/>
      <c r="CZ107"/>
      <c r="DA107"/>
      <c r="DB107"/>
      <c r="DC107"/>
      <c r="DD107"/>
      <c r="DE107"/>
      <c r="DF107"/>
      <c r="DG107"/>
      <c r="DH107"/>
      <c r="DI107"/>
      <c r="DJ107"/>
      <c r="DK107"/>
      <c r="DL107"/>
      <c r="DM107"/>
      <c r="DN107"/>
      <c r="DO107"/>
      <c r="DP107"/>
      <c r="DQ107"/>
      <c r="DR107"/>
      <c r="DS107"/>
      <c r="DT107"/>
      <c r="DU107"/>
      <c r="DV107"/>
      <c r="DW107"/>
      <c r="DX107"/>
      <c r="DY107"/>
      <c r="DZ107"/>
      <c r="EA107"/>
      <c r="EB107"/>
      <c r="EC107"/>
      <c r="ED107"/>
      <c r="EE107"/>
      <c r="EF107"/>
      <c r="EG107"/>
      <c r="EH107"/>
      <c r="EI107"/>
      <c r="EJ107"/>
      <c r="EK107"/>
      <c r="EL107"/>
      <c r="EM107"/>
      <c r="EN107"/>
      <c r="EO107"/>
      <c r="EP107"/>
      <c r="EQ107"/>
      <c r="ER107"/>
      <c r="ES107"/>
      <c r="ET107"/>
      <c r="EU107"/>
      <c r="EV107"/>
      <c r="EW107"/>
      <c r="EX107"/>
      <c r="EY107"/>
      <c r="EZ107"/>
      <c r="FA107"/>
      <c r="FB107"/>
      <c r="FC107"/>
      <c r="FD107"/>
      <c r="FE107"/>
      <c r="FF107"/>
      <c r="FG107"/>
      <c r="FH107"/>
      <c r="FI107"/>
      <c r="FJ107"/>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c r="JA107"/>
      <c r="JB107"/>
      <c r="JC107"/>
      <c r="JD107"/>
      <c r="JE107"/>
      <c r="JF107"/>
      <c r="JG107"/>
      <c r="JH107"/>
      <c r="JI107"/>
      <c r="JJ107"/>
      <c r="JK107"/>
      <c r="JL107"/>
      <c r="JM107"/>
      <c r="JN107"/>
      <c r="JO107"/>
      <c r="JP107"/>
      <c r="JQ107"/>
      <c r="JR107"/>
      <c r="JS107"/>
      <c r="JT107"/>
      <c r="JU107"/>
      <c r="JV107"/>
      <c r="JW107"/>
      <c r="JX107"/>
      <c r="JY107"/>
      <c r="JZ107"/>
      <c r="KA107"/>
      <c r="KB107"/>
      <c r="KC107"/>
      <c r="KD107"/>
      <c r="KE107"/>
      <c r="KF107"/>
      <c r="KG107"/>
      <c r="KH107"/>
      <c r="KI107"/>
      <c r="KJ107"/>
      <c r="KK107"/>
      <c r="KL107"/>
      <c r="KM107"/>
      <c r="KN107"/>
      <c r="KO107"/>
      <c r="KP107"/>
      <c r="KQ107"/>
      <c r="KR107"/>
      <c r="KS107"/>
    </row>
    <row r="108" spans="1:305" hidden="1" x14ac:dyDescent="0.35">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c r="CU108"/>
      <c r="CV108"/>
      <c r="CW108"/>
      <c r="CX108"/>
      <c r="CY108"/>
      <c r="CZ108"/>
      <c r="DA108"/>
      <c r="DB108"/>
      <c r="DC108"/>
      <c r="DD108"/>
      <c r="DE108"/>
      <c r="DF108"/>
      <c r="DG108"/>
      <c r="DH108"/>
      <c r="DI108"/>
      <c r="DJ108"/>
      <c r="DK108"/>
      <c r="DL108"/>
      <c r="DM108"/>
      <c r="DN108"/>
      <c r="DO108"/>
      <c r="DP108"/>
      <c r="DQ108"/>
      <c r="DR108"/>
      <c r="DS108"/>
      <c r="DT108"/>
      <c r="DU108"/>
      <c r="DV108"/>
      <c r="DW108"/>
      <c r="DX108"/>
      <c r="DY108"/>
      <c r="DZ108"/>
      <c r="EA108"/>
      <c r="EB108"/>
      <c r="EC108"/>
      <c r="ED108"/>
      <c r="EE108"/>
      <c r="EF108"/>
      <c r="EG108"/>
      <c r="EH108"/>
      <c r="EI108"/>
      <c r="EJ108"/>
      <c r="EK108"/>
      <c r="EL108"/>
      <c r="EM108"/>
      <c r="EN108"/>
      <c r="EO108"/>
      <c r="EP108"/>
      <c r="EQ108"/>
      <c r="ER108"/>
      <c r="ES108"/>
      <c r="ET108"/>
      <c r="EU108"/>
      <c r="EV108"/>
      <c r="EW108"/>
      <c r="EX108"/>
      <c r="EY108"/>
      <c r="EZ108"/>
      <c r="FA108"/>
      <c r="FB108"/>
      <c r="FC108"/>
      <c r="FD108"/>
      <c r="FE108"/>
      <c r="FF108"/>
      <c r="FG108"/>
      <c r="FH108"/>
      <c r="FI108"/>
      <c r="FJ108"/>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c r="JA108"/>
      <c r="JB108"/>
      <c r="JC108"/>
      <c r="JD108"/>
      <c r="JE108"/>
      <c r="JF108"/>
      <c r="JG108"/>
      <c r="JH108"/>
      <c r="JI108"/>
      <c r="JJ108"/>
      <c r="JK108"/>
      <c r="JL108"/>
      <c r="JM108"/>
      <c r="JN108"/>
      <c r="JO108"/>
      <c r="JP108"/>
      <c r="JQ108"/>
      <c r="JR108"/>
      <c r="JS108"/>
      <c r="JT108"/>
      <c r="JU108"/>
      <c r="JV108"/>
      <c r="JW108"/>
      <c r="JX108"/>
      <c r="JY108"/>
      <c r="JZ108"/>
      <c r="KA108"/>
      <c r="KB108"/>
      <c r="KC108"/>
      <c r="KD108"/>
      <c r="KE108"/>
      <c r="KF108"/>
      <c r="KG108"/>
      <c r="KH108"/>
      <c r="KI108"/>
      <c r="KJ108"/>
      <c r="KK108"/>
      <c r="KL108"/>
      <c r="KM108"/>
      <c r="KN108"/>
      <c r="KO108"/>
      <c r="KP108"/>
      <c r="KQ108"/>
      <c r="KR108"/>
      <c r="KS108"/>
    </row>
    <row r="109" spans="1:305" hidden="1" x14ac:dyDescent="0.35">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c r="CU109"/>
      <c r="CV109"/>
      <c r="CW109"/>
      <c r="CX109"/>
      <c r="CY109"/>
      <c r="CZ109"/>
      <c r="DA109"/>
      <c r="DB109"/>
      <c r="DC109"/>
      <c r="DD109"/>
      <c r="DE109"/>
      <c r="DF109"/>
      <c r="DG109"/>
      <c r="DH109"/>
      <c r="DI109"/>
      <c r="DJ109"/>
      <c r="DK109"/>
      <c r="DL109"/>
      <c r="DM109"/>
      <c r="DN109"/>
      <c r="DO109"/>
      <c r="DP109"/>
      <c r="DQ109"/>
      <c r="DR109"/>
      <c r="DS109"/>
      <c r="DT109"/>
      <c r="DU109"/>
      <c r="DV109"/>
      <c r="DW109"/>
      <c r="DX109"/>
      <c r="DY109"/>
      <c r="DZ109"/>
      <c r="EA109"/>
      <c r="EB109"/>
      <c r="EC109"/>
      <c r="ED109"/>
      <c r="EE109"/>
      <c r="EF109"/>
      <c r="EG109"/>
      <c r="EH109"/>
      <c r="EI109"/>
      <c r="EJ109"/>
      <c r="EK109"/>
      <c r="EL109"/>
      <c r="EM109"/>
      <c r="EN109"/>
      <c r="EO109"/>
      <c r="EP109"/>
      <c r="EQ109"/>
      <c r="ER109"/>
      <c r="ES109"/>
      <c r="ET109"/>
      <c r="EU109"/>
      <c r="EV109"/>
      <c r="EW109"/>
      <c r="EX109"/>
      <c r="EY109"/>
      <c r="EZ109"/>
      <c r="FA109"/>
      <c r="FB109"/>
      <c r="FC109"/>
      <c r="FD109"/>
      <c r="FE109"/>
      <c r="FF109"/>
      <c r="FG109"/>
      <c r="FH109"/>
      <c r="FI109"/>
      <c r="FJ109"/>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c r="JA109"/>
      <c r="JB109"/>
      <c r="JC109"/>
      <c r="JD109"/>
      <c r="JE109"/>
      <c r="JF109"/>
      <c r="JG109"/>
      <c r="JH109"/>
      <c r="JI109"/>
      <c r="JJ109"/>
      <c r="JK109"/>
      <c r="JL109"/>
      <c r="JM109"/>
      <c r="JN109"/>
      <c r="JO109"/>
      <c r="JP109"/>
      <c r="JQ109"/>
      <c r="JR109"/>
      <c r="JS109"/>
      <c r="JT109"/>
      <c r="JU109"/>
      <c r="JV109"/>
      <c r="JW109"/>
      <c r="JX109"/>
      <c r="JY109"/>
      <c r="JZ109"/>
      <c r="KA109"/>
      <c r="KB109"/>
      <c r="KC109"/>
      <c r="KD109"/>
      <c r="KE109"/>
      <c r="KF109"/>
      <c r="KG109"/>
      <c r="KH109"/>
      <c r="KI109"/>
      <c r="KJ109"/>
      <c r="KK109"/>
      <c r="KL109"/>
      <c r="KM109"/>
      <c r="KN109"/>
      <c r="KO109"/>
      <c r="KP109"/>
      <c r="KQ109"/>
      <c r="KR109"/>
      <c r="KS109"/>
    </row>
    <row r="110" spans="1:305" hidden="1" x14ac:dyDescent="0.35">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c r="CU110"/>
      <c r="CV110"/>
      <c r="CW110"/>
      <c r="CX110"/>
      <c r="CY110"/>
      <c r="CZ110"/>
      <c r="DA110"/>
      <c r="DB110"/>
      <c r="DC110"/>
      <c r="DD110"/>
      <c r="DE110"/>
      <c r="DF110"/>
      <c r="DG110"/>
      <c r="DH110"/>
      <c r="DI110"/>
      <c r="DJ110"/>
      <c r="DK110"/>
      <c r="DL110"/>
      <c r="DM110"/>
      <c r="DN110"/>
      <c r="DO110"/>
      <c r="DP110"/>
      <c r="DQ110"/>
      <c r="DR110"/>
      <c r="DS110"/>
      <c r="DT110"/>
      <c r="DU110"/>
      <c r="DV110"/>
      <c r="DW110"/>
      <c r="DX110"/>
      <c r="DY110"/>
      <c r="DZ110"/>
      <c r="EA110"/>
      <c r="EB110"/>
      <c r="EC110"/>
      <c r="ED110"/>
      <c r="EE110"/>
      <c r="EF110"/>
      <c r="EG110"/>
      <c r="EH110"/>
      <c r="EI110"/>
      <c r="EJ110"/>
      <c r="EK110"/>
      <c r="EL110"/>
      <c r="EM110"/>
      <c r="EN110"/>
      <c r="EO110"/>
      <c r="EP110"/>
      <c r="EQ110"/>
      <c r="ER110"/>
      <c r="ES110"/>
      <c r="ET110"/>
      <c r="EU110"/>
      <c r="EV110"/>
      <c r="EW110"/>
      <c r="EX110"/>
      <c r="EY110"/>
      <c r="EZ110"/>
      <c r="FA110"/>
      <c r="FB110"/>
      <c r="FC110"/>
      <c r="FD110"/>
      <c r="FE110"/>
      <c r="FF110"/>
      <c r="FG110"/>
      <c r="FH110"/>
      <c r="FI110"/>
      <c r="FJ110"/>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c r="JA110"/>
      <c r="JB110"/>
      <c r="JC110"/>
      <c r="JD110"/>
      <c r="JE110"/>
      <c r="JF110"/>
      <c r="JG110"/>
      <c r="JH110"/>
      <c r="JI110"/>
      <c r="JJ110"/>
      <c r="JK110"/>
      <c r="JL110"/>
      <c r="JM110"/>
      <c r="JN110"/>
      <c r="JO110"/>
      <c r="JP110"/>
      <c r="JQ110"/>
      <c r="JR110"/>
      <c r="JS110"/>
      <c r="JT110"/>
      <c r="JU110"/>
      <c r="JV110"/>
      <c r="JW110"/>
      <c r="JX110"/>
      <c r="JY110"/>
      <c r="JZ110"/>
      <c r="KA110"/>
      <c r="KB110"/>
      <c r="KC110"/>
      <c r="KD110"/>
      <c r="KE110"/>
      <c r="KF110"/>
      <c r="KG110"/>
      <c r="KH110"/>
      <c r="KI110"/>
      <c r="KJ110"/>
      <c r="KK110"/>
      <c r="KL110"/>
      <c r="KM110"/>
      <c r="KN110"/>
      <c r="KO110"/>
      <c r="KP110"/>
      <c r="KQ110"/>
      <c r="KR110"/>
      <c r="KS110"/>
    </row>
    <row r="111" spans="1:305" hidden="1" x14ac:dyDescent="0.35">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c r="CU111"/>
      <c r="CV111"/>
      <c r="CW111"/>
      <c r="CX111"/>
      <c r="CY111"/>
      <c r="CZ111"/>
      <c r="DA111"/>
      <c r="DB111"/>
      <c r="DC111"/>
      <c r="DD111"/>
      <c r="DE111"/>
      <c r="DF111"/>
      <c r="DG111"/>
      <c r="DH111"/>
      <c r="DI111"/>
      <c r="DJ111"/>
      <c r="DK111"/>
      <c r="DL111"/>
      <c r="DM111"/>
      <c r="DN111"/>
      <c r="DO111"/>
      <c r="DP111"/>
      <c r="DQ111"/>
      <c r="DR111"/>
      <c r="DS111"/>
      <c r="DT111"/>
      <c r="DU111"/>
      <c r="DV111"/>
      <c r="DW111"/>
      <c r="DX111"/>
      <c r="DY111"/>
      <c r="DZ111"/>
      <c r="EA111"/>
      <c r="EB111"/>
      <c r="EC111"/>
      <c r="ED111"/>
      <c r="EE111"/>
      <c r="EF111"/>
      <c r="EG111"/>
      <c r="EH111"/>
      <c r="EI111"/>
      <c r="EJ111"/>
      <c r="EK111"/>
      <c r="EL111"/>
      <c r="EM111"/>
      <c r="EN111"/>
      <c r="EO111"/>
      <c r="EP111"/>
      <c r="EQ111"/>
      <c r="ER111"/>
      <c r="ES111"/>
      <c r="ET111"/>
      <c r="EU111"/>
      <c r="EV111"/>
      <c r="EW111"/>
      <c r="EX111"/>
      <c r="EY111"/>
      <c r="EZ111"/>
      <c r="FA111"/>
      <c r="FB111"/>
      <c r="FC111"/>
      <c r="FD111"/>
      <c r="FE111"/>
      <c r="FF111"/>
      <c r="FG111"/>
      <c r="FH111"/>
      <c r="FI111"/>
      <c r="FJ111"/>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c r="JA111"/>
      <c r="JB111"/>
      <c r="JC111"/>
      <c r="JD111"/>
      <c r="JE111"/>
      <c r="JF111"/>
      <c r="JG111"/>
      <c r="JH111"/>
      <c r="JI111"/>
      <c r="JJ111"/>
      <c r="JK111"/>
      <c r="JL111"/>
      <c r="JM111"/>
      <c r="JN111"/>
      <c r="JO111"/>
      <c r="JP111"/>
      <c r="JQ111"/>
      <c r="JR111"/>
      <c r="JS111"/>
      <c r="JT111"/>
      <c r="JU111"/>
      <c r="JV111"/>
      <c r="JW111"/>
      <c r="JX111"/>
      <c r="JY111"/>
      <c r="JZ111"/>
      <c r="KA111"/>
      <c r="KB111"/>
      <c r="KC111"/>
      <c r="KD111"/>
      <c r="KE111"/>
      <c r="KF111"/>
      <c r="KG111"/>
      <c r="KH111"/>
      <c r="KI111"/>
      <c r="KJ111"/>
      <c r="KK111"/>
      <c r="KL111"/>
      <c r="KM111"/>
      <c r="KN111"/>
      <c r="KO111"/>
      <c r="KP111"/>
      <c r="KQ111"/>
      <c r="KR111"/>
      <c r="KS111"/>
    </row>
    <row r="112" spans="1:305" hidden="1" x14ac:dyDescent="0.35">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c r="CU112"/>
      <c r="CV112"/>
      <c r="CW112"/>
      <c r="CX112"/>
      <c r="CY112"/>
      <c r="CZ112"/>
      <c r="DA112"/>
      <c r="DB112"/>
      <c r="DC112"/>
      <c r="DD112"/>
      <c r="DE112"/>
      <c r="DF112"/>
      <c r="DG112"/>
      <c r="DH112"/>
      <c r="DI112"/>
      <c r="DJ112"/>
      <c r="DK112"/>
      <c r="DL112"/>
      <c r="DM112"/>
      <c r="DN112"/>
      <c r="DO112"/>
      <c r="DP112"/>
      <c r="DQ112"/>
      <c r="DR112"/>
      <c r="DS112"/>
      <c r="DT112"/>
      <c r="DU112"/>
      <c r="DV112"/>
      <c r="DW112"/>
      <c r="DX112"/>
      <c r="DY112"/>
      <c r="DZ112"/>
      <c r="EA112"/>
      <c r="EB112"/>
      <c r="EC112"/>
      <c r="ED112"/>
      <c r="EE112"/>
      <c r="EF112"/>
      <c r="EG112"/>
      <c r="EH112"/>
      <c r="EI112"/>
      <c r="EJ112"/>
      <c r="EK112"/>
      <c r="EL112"/>
      <c r="EM112"/>
      <c r="EN112"/>
      <c r="EO112"/>
      <c r="EP112"/>
      <c r="EQ112"/>
      <c r="ER112"/>
      <c r="ES112"/>
      <c r="ET112"/>
      <c r="EU112"/>
      <c r="EV112"/>
      <c r="EW112"/>
      <c r="EX112"/>
      <c r="EY112"/>
      <c r="EZ112"/>
      <c r="FA112"/>
      <c r="FB112"/>
      <c r="FC112"/>
      <c r="FD112"/>
      <c r="FE112"/>
      <c r="FF112"/>
      <c r="FG112"/>
      <c r="FH112"/>
      <c r="FI112"/>
      <c r="FJ112"/>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c r="JA112"/>
      <c r="JB112"/>
      <c r="JC112"/>
      <c r="JD112"/>
      <c r="JE112"/>
      <c r="JF112"/>
      <c r="JG112"/>
      <c r="JH112"/>
      <c r="JI112"/>
      <c r="JJ112"/>
      <c r="JK112"/>
      <c r="JL112"/>
      <c r="JM112"/>
      <c r="JN112"/>
      <c r="JO112"/>
      <c r="JP112"/>
      <c r="JQ112"/>
      <c r="JR112"/>
      <c r="JS112"/>
      <c r="JT112"/>
      <c r="JU112"/>
      <c r="JV112"/>
      <c r="JW112"/>
      <c r="JX112"/>
      <c r="JY112"/>
      <c r="JZ112"/>
      <c r="KA112"/>
      <c r="KB112"/>
      <c r="KC112"/>
      <c r="KD112"/>
      <c r="KE112"/>
      <c r="KF112"/>
      <c r="KG112"/>
      <c r="KH112"/>
      <c r="KI112"/>
      <c r="KJ112"/>
      <c r="KK112"/>
      <c r="KL112"/>
      <c r="KM112"/>
      <c r="KN112"/>
      <c r="KO112"/>
      <c r="KP112"/>
      <c r="KQ112"/>
      <c r="KR112"/>
      <c r="KS112"/>
    </row>
    <row r="113" spans="2:305" hidden="1" x14ac:dyDescent="0.35">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c r="CU113"/>
      <c r="CV113"/>
      <c r="CW113"/>
      <c r="CX113"/>
      <c r="CY113"/>
      <c r="CZ113"/>
      <c r="DA113"/>
      <c r="DB113"/>
      <c r="DC113"/>
      <c r="DD113"/>
      <c r="DE113"/>
      <c r="DF113"/>
      <c r="DG113"/>
      <c r="DH113"/>
      <c r="DI113"/>
      <c r="DJ113"/>
      <c r="DK113"/>
      <c r="DL113"/>
      <c r="DM113"/>
      <c r="DN113"/>
      <c r="DO113"/>
      <c r="DP113"/>
      <c r="DQ113"/>
      <c r="DR113"/>
      <c r="DS113"/>
      <c r="DT113"/>
      <c r="DU113"/>
      <c r="DV113"/>
      <c r="DW113"/>
      <c r="DX113"/>
      <c r="DY113"/>
      <c r="DZ113"/>
      <c r="EA113"/>
      <c r="EB113"/>
      <c r="EC113"/>
      <c r="ED113"/>
      <c r="EE113"/>
      <c r="EF113"/>
      <c r="EG113"/>
      <c r="EH113"/>
      <c r="EI113"/>
      <c r="EJ113"/>
      <c r="EK113"/>
      <c r="EL113"/>
      <c r="EM113"/>
      <c r="EN113"/>
      <c r="EO113"/>
      <c r="EP113"/>
      <c r="EQ113"/>
      <c r="ER113"/>
      <c r="ES113"/>
      <c r="ET113"/>
      <c r="EU113"/>
      <c r="EV113"/>
      <c r="EW113"/>
      <c r="EX113"/>
      <c r="EY113"/>
      <c r="EZ113"/>
      <c r="FA113"/>
      <c r="FB113"/>
      <c r="FC113"/>
      <c r="FD113"/>
      <c r="FE113"/>
      <c r="FF113"/>
      <c r="FG113"/>
      <c r="FH113"/>
      <c r="FI113"/>
      <c r="FJ113"/>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c r="JA113"/>
      <c r="JB113"/>
      <c r="JC113"/>
      <c r="JD113"/>
      <c r="JE113"/>
      <c r="JF113"/>
      <c r="JG113"/>
      <c r="JH113"/>
      <c r="JI113"/>
      <c r="JJ113"/>
      <c r="JK113"/>
      <c r="JL113"/>
      <c r="JM113"/>
      <c r="JN113"/>
      <c r="JO113"/>
      <c r="JP113"/>
      <c r="JQ113"/>
      <c r="JR113"/>
      <c r="JS113"/>
      <c r="JT113"/>
      <c r="JU113"/>
      <c r="JV113"/>
      <c r="JW113"/>
      <c r="JX113"/>
      <c r="JY113"/>
      <c r="JZ113"/>
      <c r="KA113"/>
      <c r="KB113"/>
      <c r="KC113"/>
      <c r="KD113"/>
      <c r="KE113"/>
      <c r="KF113"/>
      <c r="KG113"/>
      <c r="KH113"/>
      <c r="KI113"/>
      <c r="KJ113"/>
      <c r="KK113"/>
      <c r="KL113"/>
      <c r="KM113"/>
      <c r="KN113"/>
      <c r="KO113"/>
      <c r="KP113"/>
      <c r="KQ113"/>
      <c r="KR113"/>
      <c r="KS113"/>
    </row>
    <row r="114" spans="2:305" hidden="1" x14ac:dyDescent="0.35">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c r="CU114"/>
      <c r="CV114"/>
      <c r="CW114"/>
      <c r="CX114"/>
      <c r="CY114"/>
      <c r="CZ114"/>
      <c r="DA114"/>
      <c r="DB114"/>
      <c r="DC114"/>
      <c r="DD114"/>
      <c r="DE114"/>
      <c r="DF114"/>
      <c r="DG114"/>
      <c r="DH114"/>
      <c r="DI114"/>
      <c r="DJ114"/>
      <c r="DK114"/>
      <c r="DL114"/>
      <c r="DM114"/>
      <c r="DN114"/>
      <c r="DO114"/>
      <c r="DP114"/>
      <c r="DQ114"/>
      <c r="DR114"/>
      <c r="DS114"/>
      <c r="DT114"/>
      <c r="DU114"/>
      <c r="DV114"/>
      <c r="DW114"/>
      <c r="DX114"/>
      <c r="DY114"/>
      <c r="DZ114"/>
      <c r="EA114"/>
      <c r="EB114"/>
      <c r="EC114"/>
      <c r="ED114"/>
      <c r="EE114"/>
      <c r="EF114"/>
      <c r="EG114"/>
      <c r="EH114"/>
      <c r="EI114"/>
      <c r="EJ114"/>
      <c r="EK114"/>
      <c r="EL114"/>
      <c r="EM114"/>
      <c r="EN114"/>
      <c r="EO114"/>
      <c r="EP114"/>
      <c r="EQ114"/>
      <c r="ER114"/>
      <c r="ES114"/>
      <c r="ET114"/>
      <c r="EU114"/>
      <c r="EV114"/>
      <c r="EW114"/>
      <c r="EX114"/>
      <c r="EY114"/>
      <c r="EZ114"/>
      <c r="FA114"/>
      <c r="FB114"/>
      <c r="FC114"/>
      <c r="FD114"/>
      <c r="FE114"/>
      <c r="FF114"/>
      <c r="FG114"/>
      <c r="FH114"/>
      <c r="FI114"/>
      <c r="FJ114"/>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c r="JA114"/>
      <c r="JB114"/>
      <c r="JC114"/>
      <c r="JD114"/>
      <c r="JE114"/>
      <c r="JF114"/>
      <c r="JG114"/>
      <c r="JH114"/>
      <c r="JI114"/>
      <c r="JJ114"/>
      <c r="JK114"/>
      <c r="JL114"/>
      <c r="JM114"/>
      <c r="JN114"/>
      <c r="JO114"/>
      <c r="JP114"/>
      <c r="JQ114"/>
      <c r="JR114"/>
      <c r="JS114"/>
      <c r="JT114"/>
      <c r="JU114"/>
      <c r="JV114"/>
      <c r="JW114"/>
      <c r="JX114"/>
      <c r="JY114"/>
      <c r="JZ114"/>
      <c r="KA114"/>
      <c r="KB114"/>
      <c r="KC114"/>
      <c r="KD114"/>
      <c r="KE114"/>
      <c r="KF114"/>
      <c r="KG114"/>
      <c r="KH114"/>
      <c r="KI114"/>
      <c r="KJ114"/>
      <c r="KK114"/>
      <c r="KL114"/>
      <c r="KM114"/>
      <c r="KN114"/>
      <c r="KO114"/>
      <c r="KP114"/>
      <c r="KQ114"/>
      <c r="KR114"/>
      <c r="KS114"/>
    </row>
    <row r="115" spans="2:305" hidden="1" x14ac:dyDescent="0.3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c r="CU115"/>
      <c r="CV115"/>
      <c r="CW115"/>
      <c r="CX115"/>
      <c r="CY115"/>
      <c r="CZ115"/>
      <c r="DA115"/>
      <c r="DB115"/>
      <c r="DC115"/>
      <c r="DD115"/>
      <c r="DE115"/>
      <c r="DF115"/>
      <c r="DG115"/>
      <c r="DH115"/>
      <c r="DI115"/>
      <c r="DJ115"/>
      <c r="DK115"/>
      <c r="DL115"/>
      <c r="DM115"/>
      <c r="DN115"/>
      <c r="DO115"/>
      <c r="DP115"/>
      <c r="DQ115"/>
      <c r="DR115"/>
      <c r="DS115"/>
      <c r="DT115"/>
      <c r="DU115"/>
      <c r="DV115"/>
      <c r="DW115"/>
      <c r="DX115"/>
      <c r="DY115"/>
      <c r="DZ115"/>
      <c r="EA115"/>
      <c r="EB115"/>
      <c r="EC115"/>
      <c r="ED115"/>
      <c r="EE115"/>
      <c r="EF115"/>
      <c r="EG115"/>
      <c r="EH115"/>
      <c r="EI115"/>
      <c r="EJ115"/>
      <c r="EK115"/>
      <c r="EL115"/>
      <c r="EM115"/>
      <c r="EN115"/>
      <c r="EO115"/>
      <c r="EP115"/>
      <c r="EQ115"/>
      <c r="ER115"/>
      <c r="ES115"/>
      <c r="ET115"/>
      <c r="EU115"/>
      <c r="EV115"/>
      <c r="EW115"/>
      <c r="EX115"/>
      <c r="EY115"/>
      <c r="EZ115"/>
      <c r="FA115"/>
      <c r="FB115"/>
      <c r="FC115"/>
      <c r="FD115"/>
      <c r="FE115"/>
      <c r="FF115"/>
      <c r="FG115"/>
      <c r="FH115"/>
      <c r="FI115"/>
      <c r="FJ115"/>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c r="JA115"/>
      <c r="JB115"/>
      <c r="JC115"/>
      <c r="JD115"/>
      <c r="JE115"/>
      <c r="JF115"/>
      <c r="JG115"/>
      <c r="JH115"/>
      <c r="JI115"/>
      <c r="JJ115"/>
      <c r="JK115"/>
      <c r="JL115"/>
      <c r="JM115"/>
      <c r="JN115"/>
      <c r="JO115"/>
      <c r="JP115"/>
      <c r="JQ115"/>
      <c r="JR115"/>
      <c r="JS115"/>
      <c r="JT115"/>
      <c r="JU115"/>
      <c r="JV115"/>
      <c r="JW115"/>
      <c r="JX115"/>
      <c r="JY115"/>
      <c r="JZ115"/>
      <c r="KA115"/>
      <c r="KB115"/>
      <c r="KC115"/>
      <c r="KD115"/>
      <c r="KE115"/>
      <c r="KF115"/>
      <c r="KG115"/>
      <c r="KH115"/>
      <c r="KI115"/>
      <c r="KJ115"/>
      <c r="KK115"/>
      <c r="KL115"/>
      <c r="KM115"/>
      <c r="KN115"/>
      <c r="KO115"/>
      <c r="KP115"/>
      <c r="KQ115"/>
      <c r="KR115"/>
      <c r="KS115"/>
    </row>
    <row r="116" spans="2:305" hidden="1" x14ac:dyDescent="0.35">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c r="CU116"/>
      <c r="CV116"/>
      <c r="CW116"/>
      <c r="CX116"/>
      <c r="CY116"/>
      <c r="CZ116"/>
      <c r="DA116"/>
      <c r="DB116"/>
      <c r="DC116"/>
      <c r="DD116"/>
      <c r="DE116"/>
      <c r="DF116"/>
      <c r="DG116"/>
      <c r="DH116"/>
      <c r="DI116"/>
      <c r="DJ116"/>
      <c r="DK116"/>
      <c r="DL116"/>
      <c r="DM116"/>
      <c r="DN116"/>
      <c r="DO116"/>
      <c r="DP116"/>
      <c r="DQ116"/>
      <c r="DR116"/>
      <c r="DS116"/>
      <c r="DT116"/>
      <c r="DU116"/>
      <c r="DV116"/>
      <c r="DW116"/>
      <c r="DX116"/>
      <c r="DY116"/>
      <c r="DZ116"/>
      <c r="EA116"/>
      <c r="EB116"/>
      <c r="EC116"/>
      <c r="ED116"/>
      <c r="EE116"/>
      <c r="EF116"/>
      <c r="EG116"/>
      <c r="EH116"/>
      <c r="EI116"/>
      <c r="EJ116"/>
      <c r="EK116"/>
      <c r="EL116"/>
      <c r="EM116"/>
      <c r="EN116"/>
      <c r="EO116"/>
      <c r="EP116"/>
      <c r="EQ116"/>
      <c r="ER116"/>
      <c r="ES116"/>
      <c r="ET116"/>
      <c r="EU116"/>
      <c r="EV116"/>
      <c r="EW116"/>
      <c r="EX116"/>
      <c r="EY116"/>
      <c r="EZ116"/>
      <c r="FA116"/>
      <c r="FB116"/>
      <c r="FC116"/>
      <c r="FD116"/>
      <c r="FE116"/>
      <c r="FF116"/>
      <c r="FG116"/>
      <c r="FH116"/>
      <c r="FI116"/>
      <c r="FJ116"/>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c r="JA116"/>
      <c r="JB116"/>
      <c r="JC116"/>
      <c r="JD116"/>
      <c r="JE116"/>
      <c r="JF116"/>
      <c r="JG116"/>
      <c r="JH116"/>
      <c r="JI116"/>
      <c r="JJ116"/>
      <c r="JK116"/>
      <c r="JL116"/>
      <c r="JM116"/>
      <c r="JN116"/>
      <c r="JO116"/>
      <c r="JP116"/>
      <c r="JQ116"/>
      <c r="JR116"/>
      <c r="JS116"/>
      <c r="JT116"/>
      <c r="JU116"/>
      <c r="JV116"/>
      <c r="JW116"/>
      <c r="JX116"/>
      <c r="JY116"/>
      <c r="JZ116"/>
      <c r="KA116"/>
      <c r="KB116"/>
      <c r="KC116"/>
      <c r="KD116"/>
      <c r="KE116"/>
      <c r="KF116"/>
      <c r="KG116"/>
      <c r="KH116"/>
      <c r="KI116"/>
      <c r="KJ116"/>
      <c r="KK116"/>
      <c r="KL116"/>
      <c r="KM116"/>
      <c r="KN116"/>
      <c r="KO116"/>
      <c r="KP116"/>
      <c r="KQ116"/>
      <c r="KR116"/>
      <c r="KS116"/>
    </row>
    <row r="117" spans="2:305" hidden="1" x14ac:dyDescent="0.35">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c r="DP117"/>
      <c r="DQ117"/>
      <c r="DR117"/>
      <c r="DS117"/>
      <c r="DT117"/>
      <c r="DU117"/>
      <c r="DV117"/>
      <c r="DW117"/>
      <c r="DX117"/>
      <c r="DY117"/>
      <c r="DZ117"/>
      <c r="EA117"/>
      <c r="EB117"/>
      <c r="EC117"/>
      <c r="ED117"/>
      <c r="EE117"/>
      <c r="EF117"/>
      <c r="EG117"/>
      <c r="EH117"/>
      <c r="EI117"/>
      <c r="EJ117"/>
      <c r="EK117"/>
      <c r="EL117"/>
      <c r="EM117"/>
      <c r="EN117"/>
      <c r="EO117"/>
      <c r="EP117"/>
      <c r="EQ117"/>
      <c r="ER117"/>
      <c r="ES117"/>
      <c r="ET117"/>
      <c r="EU117"/>
      <c r="EV117"/>
      <c r="EW117"/>
      <c r="EX117"/>
      <c r="EY117"/>
      <c r="EZ117"/>
      <c r="FA117"/>
      <c r="FB117"/>
      <c r="FC117"/>
      <c r="FD117"/>
      <c r="FE117"/>
      <c r="FF117"/>
      <c r="FG117"/>
      <c r="FH117"/>
      <c r="FI117"/>
      <c r="FJ117"/>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c r="JA117"/>
      <c r="JB117"/>
      <c r="JC117"/>
      <c r="JD117"/>
      <c r="JE117"/>
      <c r="JF117"/>
      <c r="JG117"/>
      <c r="JH117"/>
      <c r="JI117"/>
      <c r="JJ117"/>
      <c r="JK117"/>
      <c r="JL117"/>
      <c r="JM117"/>
      <c r="JN117"/>
      <c r="JO117"/>
      <c r="JP117"/>
      <c r="JQ117"/>
      <c r="JR117"/>
      <c r="JS117"/>
      <c r="JT117"/>
      <c r="JU117"/>
      <c r="JV117"/>
      <c r="JW117"/>
      <c r="JX117"/>
      <c r="JY117"/>
      <c r="JZ117"/>
      <c r="KA117"/>
      <c r="KB117"/>
      <c r="KC117"/>
      <c r="KD117"/>
      <c r="KE117"/>
      <c r="KF117"/>
      <c r="KG117"/>
      <c r="KH117"/>
      <c r="KI117"/>
      <c r="KJ117"/>
      <c r="KK117"/>
      <c r="KL117"/>
      <c r="KM117"/>
      <c r="KN117"/>
      <c r="KO117"/>
      <c r="KP117"/>
      <c r="KQ117"/>
      <c r="KR117"/>
      <c r="KS117"/>
    </row>
    <row r="118" spans="2:305" hidden="1" x14ac:dyDescent="0.35">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c r="CU118"/>
      <c r="CV118"/>
      <c r="CW118"/>
      <c r="CX118"/>
      <c r="CY118"/>
      <c r="CZ118"/>
      <c r="DA118"/>
      <c r="DB118"/>
      <c r="DC118"/>
      <c r="DD118"/>
      <c r="DE118"/>
      <c r="DF118"/>
      <c r="DG118"/>
      <c r="DH118"/>
      <c r="DI118"/>
      <c r="DJ118"/>
      <c r="DK118"/>
      <c r="DL118"/>
      <c r="DM118"/>
      <c r="DN118"/>
      <c r="DO118"/>
      <c r="DP118"/>
      <c r="DQ118"/>
      <c r="DR118"/>
      <c r="DS118"/>
      <c r="DT118"/>
      <c r="DU118"/>
      <c r="DV118"/>
      <c r="DW118"/>
      <c r="DX118"/>
      <c r="DY118"/>
      <c r="DZ118"/>
      <c r="EA118"/>
      <c r="EB118"/>
      <c r="EC118"/>
      <c r="ED118"/>
      <c r="EE118"/>
      <c r="EF118"/>
      <c r="EG118"/>
      <c r="EH118"/>
      <c r="EI118"/>
      <c r="EJ118"/>
      <c r="EK118"/>
      <c r="EL118"/>
      <c r="EM118"/>
      <c r="EN118"/>
      <c r="EO118"/>
      <c r="EP118"/>
      <c r="EQ118"/>
      <c r="ER118"/>
      <c r="ES118"/>
      <c r="ET118"/>
      <c r="EU118"/>
      <c r="EV118"/>
      <c r="EW118"/>
      <c r="EX118"/>
      <c r="EY118"/>
      <c r="EZ118"/>
      <c r="FA118"/>
      <c r="FB118"/>
      <c r="FC118"/>
      <c r="FD118"/>
      <c r="FE118"/>
      <c r="FF118"/>
      <c r="FG118"/>
      <c r="FH118"/>
      <c r="FI118"/>
      <c r="FJ118"/>
      <c r="FK118"/>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c r="JA118"/>
      <c r="JB118"/>
      <c r="JC118"/>
      <c r="JD118"/>
      <c r="JE118"/>
      <c r="JF118"/>
      <c r="JG118"/>
      <c r="JH118"/>
      <c r="JI118"/>
      <c r="JJ118"/>
      <c r="JK118"/>
      <c r="JL118"/>
      <c r="JM118"/>
      <c r="JN118"/>
      <c r="JO118"/>
      <c r="JP118"/>
      <c r="JQ118"/>
      <c r="JR118"/>
      <c r="JS118"/>
      <c r="JT118"/>
      <c r="JU118"/>
      <c r="JV118"/>
      <c r="JW118"/>
      <c r="JX118"/>
      <c r="JY118"/>
      <c r="JZ118"/>
      <c r="KA118"/>
      <c r="KB118"/>
      <c r="KC118"/>
      <c r="KD118"/>
      <c r="KE118"/>
      <c r="KF118"/>
      <c r="KG118"/>
      <c r="KH118"/>
      <c r="KI118"/>
      <c r="KJ118"/>
      <c r="KK118"/>
      <c r="KL118"/>
      <c r="KM118"/>
      <c r="KN118"/>
      <c r="KO118"/>
      <c r="KP118"/>
      <c r="KQ118"/>
      <c r="KR118"/>
      <c r="KS118"/>
    </row>
    <row r="119" spans="2:305" hidden="1" x14ac:dyDescent="0.35">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c r="CU119"/>
      <c r="CV119"/>
      <c r="CW119"/>
      <c r="CX119"/>
      <c r="CY119"/>
      <c r="CZ119"/>
      <c r="DA119"/>
      <c r="DB119"/>
      <c r="DC119"/>
      <c r="DD119"/>
      <c r="DE119"/>
      <c r="DF119"/>
      <c r="DG119"/>
      <c r="DH119"/>
      <c r="DI119"/>
      <c r="DJ119"/>
      <c r="DK119"/>
      <c r="DL119"/>
      <c r="DM119"/>
      <c r="DN119"/>
      <c r="DO119"/>
      <c r="DP119"/>
      <c r="DQ119"/>
      <c r="DR119"/>
      <c r="DS119"/>
      <c r="DT119"/>
      <c r="DU119"/>
      <c r="DV119"/>
      <c r="DW119"/>
      <c r="DX119"/>
      <c r="DY119"/>
      <c r="DZ119"/>
      <c r="EA119"/>
      <c r="EB119"/>
      <c r="EC119"/>
      <c r="ED119"/>
      <c r="EE119"/>
      <c r="EF119"/>
      <c r="EG119"/>
      <c r="EH119"/>
      <c r="EI119"/>
      <c r="EJ119"/>
      <c r="EK119"/>
      <c r="EL119"/>
      <c r="EM119"/>
      <c r="EN119"/>
      <c r="EO119"/>
      <c r="EP119"/>
      <c r="EQ119"/>
      <c r="ER119"/>
      <c r="ES119"/>
      <c r="ET119"/>
      <c r="EU119"/>
      <c r="EV119"/>
      <c r="EW119"/>
      <c r="EX119"/>
      <c r="EY119"/>
      <c r="EZ119"/>
      <c r="FA119"/>
      <c r="FB119"/>
      <c r="FC119"/>
      <c r="FD119"/>
      <c r="FE119"/>
      <c r="FF119"/>
      <c r="FG119"/>
      <c r="FH119"/>
      <c r="FI119"/>
      <c r="FJ119"/>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c r="JA119"/>
      <c r="JB119"/>
      <c r="JC119"/>
      <c r="JD119"/>
      <c r="JE119"/>
      <c r="JF119"/>
      <c r="JG119"/>
      <c r="JH119"/>
      <c r="JI119"/>
      <c r="JJ119"/>
      <c r="JK119"/>
      <c r="JL119"/>
      <c r="JM119"/>
      <c r="JN119"/>
      <c r="JO119"/>
      <c r="JP119"/>
      <c r="JQ119"/>
      <c r="JR119"/>
      <c r="JS119"/>
      <c r="JT119"/>
      <c r="JU119"/>
      <c r="JV119"/>
      <c r="JW119"/>
      <c r="JX119"/>
      <c r="JY119"/>
      <c r="JZ119"/>
      <c r="KA119"/>
      <c r="KB119"/>
      <c r="KC119"/>
      <c r="KD119"/>
      <c r="KE119"/>
      <c r="KF119"/>
      <c r="KG119"/>
      <c r="KH119"/>
      <c r="KI119"/>
      <c r="KJ119"/>
      <c r="KK119"/>
      <c r="KL119"/>
      <c r="KM119"/>
      <c r="KN119"/>
      <c r="KO119"/>
      <c r="KP119"/>
      <c r="KQ119"/>
      <c r="KR119"/>
      <c r="KS119"/>
    </row>
    <row r="120" spans="2:305" hidden="1" x14ac:dyDescent="0.35">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c r="CU120"/>
      <c r="CV120"/>
      <c r="CW120"/>
      <c r="CX120"/>
      <c r="CY120"/>
      <c r="CZ120"/>
      <c r="DA120"/>
      <c r="DB120"/>
      <c r="DC120"/>
      <c r="DD120"/>
      <c r="DE120"/>
      <c r="DF120"/>
      <c r="DG120"/>
      <c r="DH120"/>
      <c r="DI120"/>
      <c r="DJ120"/>
      <c r="DK120"/>
      <c r="DL120"/>
      <c r="DM120"/>
      <c r="DN120"/>
      <c r="DO120"/>
      <c r="DP120"/>
      <c r="DQ120"/>
      <c r="DR120"/>
      <c r="DS120"/>
      <c r="DT120"/>
      <c r="DU120"/>
      <c r="DV120"/>
      <c r="DW120"/>
      <c r="DX120"/>
      <c r="DY120"/>
      <c r="DZ120"/>
      <c r="EA120"/>
      <c r="EB120"/>
      <c r="EC120"/>
      <c r="ED120"/>
      <c r="EE120"/>
      <c r="EF120"/>
      <c r="EG120"/>
      <c r="EH120"/>
      <c r="EI120"/>
      <c r="EJ120"/>
      <c r="EK120"/>
      <c r="EL120"/>
      <c r="EM120"/>
      <c r="EN120"/>
      <c r="EO120"/>
      <c r="EP120"/>
      <c r="EQ120"/>
      <c r="ER120"/>
      <c r="ES120"/>
      <c r="ET120"/>
      <c r="EU120"/>
      <c r="EV120"/>
      <c r="EW120"/>
      <c r="EX120"/>
      <c r="EY120"/>
      <c r="EZ120"/>
      <c r="FA120"/>
      <c r="FB120"/>
      <c r="FC120"/>
      <c r="FD120"/>
      <c r="FE120"/>
      <c r="FF120"/>
      <c r="FG120"/>
      <c r="FH120"/>
      <c r="FI120"/>
      <c r="FJ120"/>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c r="JA120"/>
      <c r="JB120"/>
      <c r="JC120"/>
      <c r="JD120"/>
      <c r="JE120"/>
      <c r="JF120"/>
      <c r="JG120"/>
      <c r="JH120"/>
      <c r="JI120"/>
      <c r="JJ120"/>
      <c r="JK120"/>
      <c r="JL120"/>
      <c r="JM120"/>
      <c r="JN120"/>
      <c r="JO120"/>
      <c r="JP120"/>
      <c r="JQ120"/>
      <c r="JR120"/>
      <c r="JS120"/>
      <c r="JT120"/>
      <c r="JU120"/>
      <c r="JV120"/>
      <c r="JW120"/>
      <c r="JX120"/>
      <c r="JY120"/>
      <c r="JZ120"/>
      <c r="KA120"/>
      <c r="KB120"/>
      <c r="KC120"/>
      <c r="KD120"/>
      <c r="KE120"/>
      <c r="KF120"/>
      <c r="KG120"/>
      <c r="KH120"/>
      <c r="KI120"/>
      <c r="KJ120"/>
      <c r="KK120"/>
      <c r="KL120"/>
      <c r="KM120"/>
      <c r="KN120"/>
      <c r="KO120"/>
      <c r="KP120"/>
      <c r="KQ120"/>
      <c r="KR120"/>
      <c r="KS120"/>
    </row>
    <row r="121" spans="2:305" hidden="1" x14ac:dyDescent="0.35">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c r="CU121"/>
      <c r="CV121"/>
      <c r="CW121"/>
      <c r="CX121"/>
      <c r="CY121"/>
      <c r="CZ121"/>
      <c r="DA121"/>
      <c r="DB121"/>
      <c r="DC121"/>
      <c r="DD121"/>
      <c r="DE121"/>
      <c r="DF121"/>
      <c r="DG121"/>
      <c r="DH121"/>
      <c r="DI121"/>
      <c r="DJ121"/>
      <c r="DK121"/>
      <c r="DL121"/>
      <c r="DM121"/>
      <c r="DN121"/>
      <c r="DO121"/>
      <c r="DP121"/>
      <c r="DQ121"/>
      <c r="DR121"/>
      <c r="DS121"/>
      <c r="DT121"/>
      <c r="DU121"/>
      <c r="DV121"/>
      <c r="DW121"/>
      <c r="DX121"/>
      <c r="DY121"/>
      <c r="DZ121"/>
      <c r="EA121"/>
      <c r="EB121"/>
      <c r="EC121"/>
      <c r="ED121"/>
      <c r="EE121"/>
      <c r="EF121"/>
      <c r="EG121"/>
      <c r="EH121"/>
      <c r="EI121"/>
      <c r="EJ121"/>
      <c r="EK121"/>
      <c r="EL121"/>
      <c r="EM121"/>
      <c r="EN121"/>
      <c r="EO121"/>
      <c r="EP121"/>
      <c r="EQ121"/>
      <c r="ER121"/>
      <c r="ES121"/>
      <c r="ET121"/>
      <c r="EU121"/>
      <c r="EV121"/>
      <c r="EW121"/>
      <c r="EX121"/>
      <c r="EY121"/>
      <c r="EZ121"/>
      <c r="FA121"/>
      <c r="FB121"/>
      <c r="FC121"/>
      <c r="FD121"/>
      <c r="FE121"/>
      <c r="FF121"/>
      <c r="FG121"/>
      <c r="FH121"/>
      <c r="FI121"/>
      <c r="FJ121"/>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c r="JA121"/>
      <c r="JB121"/>
      <c r="JC121"/>
      <c r="JD121"/>
      <c r="JE121"/>
      <c r="JF121"/>
      <c r="JG121"/>
      <c r="JH121"/>
      <c r="JI121"/>
      <c r="JJ121"/>
      <c r="JK121"/>
      <c r="JL121"/>
      <c r="JM121"/>
      <c r="JN121"/>
      <c r="JO121"/>
      <c r="JP121"/>
      <c r="JQ121"/>
      <c r="JR121"/>
      <c r="JS121"/>
      <c r="JT121"/>
      <c r="JU121"/>
      <c r="JV121"/>
      <c r="JW121"/>
      <c r="JX121"/>
      <c r="JY121"/>
      <c r="JZ121"/>
      <c r="KA121"/>
      <c r="KB121"/>
      <c r="KC121"/>
      <c r="KD121"/>
      <c r="KE121"/>
      <c r="KF121"/>
      <c r="KG121"/>
      <c r="KH121"/>
      <c r="KI121"/>
      <c r="KJ121"/>
      <c r="KK121"/>
      <c r="KL121"/>
      <c r="KM121"/>
      <c r="KN121"/>
      <c r="KO121"/>
      <c r="KP121"/>
      <c r="KQ121"/>
      <c r="KR121"/>
      <c r="KS121"/>
    </row>
    <row r="122" spans="2:305" hidden="1" x14ac:dyDescent="0.35">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c r="CU122"/>
      <c r="CV122"/>
      <c r="CW122"/>
      <c r="CX122"/>
      <c r="CY122"/>
      <c r="CZ122"/>
      <c r="DA122"/>
      <c r="DB122"/>
      <c r="DC122"/>
      <c r="DD122"/>
      <c r="DE122"/>
      <c r="DF122"/>
      <c r="DG122"/>
      <c r="DH122"/>
      <c r="DI122"/>
      <c r="DJ122"/>
      <c r="DK122"/>
      <c r="DL122"/>
      <c r="DM122"/>
      <c r="DN122"/>
      <c r="DO122"/>
      <c r="DP122"/>
      <c r="DQ122"/>
      <c r="DR122"/>
      <c r="DS122"/>
      <c r="DT122"/>
      <c r="DU122"/>
      <c r="DV122"/>
      <c r="DW122"/>
      <c r="DX122"/>
      <c r="DY122"/>
      <c r="DZ122"/>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c r="JA122"/>
      <c r="JB122"/>
      <c r="JC122"/>
      <c r="JD122"/>
      <c r="JE122"/>
      <c r="JF122"/>
      <c r="JG122"/>
      <c r="JH122"/>
      <c r="JI122"/>
      <c r="JJ122"/>
      <c r="JK122"/>
      <c r="JL122"/>
      <c r="JM122"/>
      <c r="JN122"/>
      <c r="JO122"/>
      <c r="JP122"/>
      <c r="JQ122"/>
      <c r="JR122"/>
      <c r="JS122"/>
      <c r="JT122"/>
      <c r="JU122"/>
      <c r="JV122"/>
      <c r="JW122"/>
      <c r="JX122"/>
      <c r="JY122"/>
      <c r="JZ122"/>
      <c r="KA122"/>
      <c r="KB122"/>
      <c r="KC122"/>
      <c r="KD122"/>
      <c r="KE122"/>
      <c r="KF122"/>
      <c r="KG122"/>
      <c r="KH122"/>
      <c r="KI122"/>
      <c r="KJ122"/>
      <c r="KK122"/>
      <c r="KL122"/>
      <c r="KM122"/>
      <c r="KN122"/>
      <c r="KO122"/>
      <c r="KP122"/>
      <c r="KQ122"/>
      <c r="KR122"/>
      <c r="KS122"/>
    </row>
    <row r="123" spans="2:305" hidden="1" x14ac:dyDescent="0.35">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c r="CU123"/>
      <c r="CV123"/>
      <c r="CW123"/>
      <c r="CX123"/>
      <c r="CY123"/>
      <c r="CZ123"/>
      <c r="DA123"/>
      <c r="DB123"/>
      <c r="DC123"/>
      <c r="DD123"/>
      <c r="DE123"/>
      <c r="DF123"/>
      <c r="DG123"/>
      <c r="DH123"/>
      <c r="DI123"/>
      <c r="DJ123"/>
      <c r="DK123"/>
      <c r="DL123"/>
      <c r="DM123"/>
      <c r="DN123"/>
      <c r="DO123"/>
      <c r="DP123"/>
      <c r="DQ123"/>
      <c r="DR123"/>
      <c r="DS123"/>
      <c r="DT123"/>
      <c r="DU123"/>
      <c r="DV123"/>
      <c r="DW123"/>
      <c r="DX123"/>
      <c r="DY123"/>
      <c r="DZ123"/>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c r="JA123"/>
      <c r="JB123"/>
      <c r="JC123"/>
      <c r="JD123"/>
      <c r="JE123"/>
      <c r="JF123"/>
      <c r="JG123"/>
      <c r="JH123"/>
      <c r="JI123"/>
      <c r="JJ123"/>
      <c r="JK123"/>
      <c r="JL123"/>
      <c r="JM123"/>
      <c r="JN123"/>
      <c r="JO123"/>
      <c r="JP123"/>
      <c r="JQ123"/>
      <c r="JR123"/>
      <c r="JS123"/>
      <c r="JT123"/>
      <c r="JU123"/>
      <c r="JV123"/>
      <c r="JW123"/>
      <c r="JX123"/>
      <c r="JY123"/>
      <c r="JZ123"/>
      <c r="KA123"/>
      <c r="KB123"/>
      <c r="KC123"/>
      <c r="KD123"/>
      <c r="KE123"/>
      <c r="KF123"/>
      <c r="KG123"/>
      <c r="KH123"/>
      <c r="KI123"/>
      <c r="KJ123"/>
      <c r="KK123"/>
      <c r="KL123"/>
      <c r="KM123"/>
      <c r="KN123"/>
      <c r="KO123"/>
      <c r="KP123"/>
      <c r="KQ123"/>
      <c r="KR123"/>
      <c r="KS123"/>
    </row>
    <row r="124" spans="2:305" hidden="1" x14ac:dyDescent="0.35">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c r="CU124"/>
      <c r="CV124"/>
      <c r="CW124"/>
      <c r="CX124"/>
      <c r="CY124"/>
      <c r="CZ124"/>
      <c r="DA124"/>
      <c r="DB124"/>
      <c r="DC124"/>
      <c r="DD124"/>
      <c r="DE124"/>
      <c r="DF124"/>
      <c r="DG124"/>
      <c r="DH124"/>
      <c r="DI124"/>
      <c r="DJ124"/>
      <c r="DK124"/>
      <c r="DL124"/>
      <c r="DM124"/>
      <c r="DN124"/>
      <c r="DO124"/>
      <c r="DP124"/>
      <c r="DQ124"/>
      <c r="DR124"/>
      <c r="DS124"/>
      <c r="DT124"/>
      <c r="DU124"/>
      <c r="DV124"/>
      <c r="DW124"/>
      <c r="DX124"/>
      <c r="DY124"/>
      <c r="DZ124"/>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c r="JA124"/>
      <c r="JB124"/>
      <c r="JC124"/>
      <c r="JD124"/>
      <c r="JE124"/>
      <c r="JF124"/>
      <c r="JG124"/>
      <c r="JH124"/>
      <c r="JI124"/>
      <c r="JJ124"/>
      <c r="JK124"/>
      <c r="JL124"/>
      <c r="JM124"/>
      <c r="JN124"/>
      <c r="JO124"/>
      <c r="JP124"/>
      <c r="JQ124"/>
      <c r="JR124"/>
      <c r="JS124"/>
      <c r="JT124"/>
      <c r="JU124"/>
      <c r="JV124"/>
      <c r="JW124"/>
      <c r="JX124"/>
      <c r="JY124"/>
      <c r="JZ124"/>
      <c r="KA124"/>
      <c r="KB124"/>
      <c r="KC124"/>
      <c r="KD124"/>
      <c r="KE124"/>
      <c r="KF124"/>
      <c r="KG124"/>
      <c r="KH124"/>
      <c r="KI124"/>
      <c r="KJ124"/>
      <c r="KK124"/>
      <c r="KL124"/>
      <c r="KM124"/>
      <c r="KN124"/>
      <c r="KO124"/>
      <c r="KP124"/>
      <c r="KQ124"/>
      <c r="KR124"/>
      <c r="KS124"/>
    </row>
    <row r="125" spans="2:305" hidden="1" x14ac:dyDescent="0.3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c r="CU125"/>
      <c r="CV125"/>
      <c r="CW125"/>
      <c r="CX125"/>
      <c r="CY125"/>
      <c r="CZ125"/>
      <c r="DA125"/>
      <c r="DB125"/>
      <c r="DC125"/>
      <c r="DD125"/>
      <c r="DE125"/>
      <c r="DF125"/>
      <c r="DG125"/>
      <c r="DH125"/>
      <c r="DI125"/>
      <c r="DJ125"/>
      <c r="DK125"/>
      <c r="DL125"/>
      <c r="DM125"/>
      <c r="DN125"/>
      <c r="DO125"/>
      <c r="DP125"/>
      <c r="DQ125"/>
      <c r="DR125"/>
      <c r="DS125"/>
      <c r="DT125"/>
      <c r="DU125"/>
      <c r="DV125"/>
      <c r="DW125"/>
      <c r="DX125"/>
      <c r="DY125"/>
      <c r="DZ125"/>
      <c r="EA125"/>
      <c r="EB125"/>
      <c r="EC125"/>
      <c r="ED125"/>
      <c r="EE125"/>
      <c r="EF125"/>
      <c r="EG125"/>
      <c r="EH125"/>
      <c r="EI125"/>
      <c r="EJ125"/>
      <c r="EK125"/>
      <c r="EL125"/>
      <c r="EM125"/>
      <c r="EN125"/>
      <c r="EO125"/>
      <c r="EP125"/>
      <c r="EQ125"/>
      <c r="ER125"/>
      <c r="ES125"/>
      <c r="ET125"/>
      <c r="EU125"/>
      <c r="EV125"/>
      <c r="EW125"/>
      <c r="EX125"/>
      <c r="EY125"/>
      <c r="EZ125"/>
      <c r="FA125"/>
      <c r="FB125"/>
      <c r="FC125"/>
      <c r="FD125"/>
      <c r="FE125"/>
      <c r="FF125"/>
      <c r="FG125"/>
      <c r="FH125"/>
      <c r="FI125"/>
      <c r="FJ125"/>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c r="JA125"/>
      <c r="JB125"/>
      <c r="JC125"/>
      <c r="JD125"/>
      <c r="JE125"/>
      <c r="JF125"/>
      <c r="JG125"/>
      <c r="JH125"/>
      <c r="JI125"/>
      <c r="JJ125"/>
      <c r="JK125"/>
      <c r="JL125"/>
      <c r="JM125"/>
      <c r="JN125"/>
      <c r="JO125"/>
      <c r="JP125"/>
      <c r="JQ125"/>
      <c r="JR125"/>
      <c r="JS125"/>
      <c r="JT125"/>
      <c r="JU125"/>
      <c r="JV125"/>
      <c r="JW125"/>
      <c r="JX125"/>
      <c r="JY125"/>
      <c r="JZ125"/>
      <c r="KA125"/>
      <c r="KB125"/>
      <c r="KC125"/>
      <c r="KD125"/>
      <c r="KE125"/>
      <c r="KF125"/>
      <c r="KG125"/>
      <c r="KH125"/>
      <c r="KI125"/>
      <c r="KJ125"/>
      <c r="KK125"/>
      <c r="KL125"/>
      <c r="KM125"/>
      <c r="KN125"/>
      <c r="KO125"/>
      <c r="KP125"/>
      <c r="KQ125"/>
      <c r="KR125"/>
      <c r="KS125"/>
    </row>
    <row r="126" spans="2:305" hidden="1" x14ac:dyDescent="0.35">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c r="CU126"/>
      <c r="CV126"/>
      <c r="CW126"/>
      <c r="CX126"/>
      <c r="CY126"/>
      <c r="CZ126"/>
      <c r="DA126"/>
      <c r="DB126"/>
      <c r="DC126"/>
      <c r="DD126"/>
      <c r="DE126"/>
      <c r="DF126"/>
      <c r="DG126"/>
      <c r="DH126"/>
      <c r="DI126"/>
      <c r="DJ126"/>
      <c r="DK126"/>
      <c r="DL126"/>
      <c r="DM126"/>
      <c r="DN126"/>
      <c r="DO126"/>
      <c r="DP126"/>
      <c r="DQ126"/>
      <c r="DR126"/>
      <c r="DS126"/>
      <c r="DT126"/>
      <c r="DU126"/>
      <c r="DV126"/>
      <c r="DW126"/>
      <c r="DX126"/>
      <c r="DY126"/>
      <c r="DZ126"/>
      <c r="EA126"/>
      <c r="EB126"/>
      <c r="EC126"/>
      <c r="ED126"/>
      <c r="EE126"/>
      <c r="EF126"/>
      <c r="EG126"/>
      <c r="EH126"/>
      <c r="EI126"/>
      <c r="EJ126"/>
      <c r="EK126"/>
      <c r="EL126"/>
      <c r="EM126"/>
      <c r="EN126"/>
      <c r="EO126"/>
      <c r="EP126"/>
      <c r="EQ126"/>
      <c r="ER126"/>
      <c r="ES126"/>
      <c r="ET126"/>
      <c r="EU126"/>
      <c r="EV126"/>
      <c r="EW126"/>
      <c r="EX126"/>
      <c r="EY126"/>
      <c r="EZ126"/>
      <c r="FA126"/>
      <c r="FB126"/>
      <c r="FC126"/>
      <c r="FD126"/>
      <c r="FE126"/>
      <c r="FF126"/>
      <c r="FG126"/>
      <c r="FH126"/>
      <c r="FI126"/>
      <c r="FJ126"/>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c r="JA126"/>
      <c r="JB126"/>
      <c r="JC126"/>
      <c r="JD126"/>
      <c r="JE126"/>
      <c r="JF126"/>
      <c r="JG126"/>
      <c r="JH126"/>
      <c r="JI126"/>
      <c r="JJ126"/>
      <c r="JK126"/>
      <c r="JL126"/>
      <c r="JM126"/>
      <c r="JN126"/>
      <c r="JO126"/>
      <c r="JP126"/>
      <c r="JQ126"/>
      <c r="JR126"/>
      <c r="JS126"/>
      <c r="JT126"/>
      <c r="JU126"/>
      <c r="JV126"/>
      <c r="JW126"/>
      <c r="JX126"/>
      <c r="JY126"/>
      <c r="JZ126"/>
      <c r="KA126"/>
      <c r="KB126"/>
      <c r="KC126"/>
      <c r="KD126"/>
      <c r="KE126"/>
      <c r="KF126"/>
      <c r="KG126"/>
      <c r="KH126"/>
      <c r="KI126"/>
      <c r="KJ126"/>
      <c r="KK126"/>
      <c r="KL126"/>
      <c r="KM126"/>
      <c r="KN126"/>
      <c r="KO126"/>
      <c r="KP126"/>
      <c r="KQ126"/>
      <c r="KR126"/>
      <c r="KS126"/>
    </row>
    <row r="127" spans="2:305" hidden="1" x14ac:dyDescent="0.35">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c r="CU127"/>
      <c r="CV127"/>
      <c r="CW127"/>
      <c r="CX127"/>
      <c r="CY127"/>
      <c r="CZ127"/>
      <c r="DA127"/>
      <c r="DB127"/>
      <c r="DC127"/>
      <c r="DD127"/>
      <c r="DE127"/>
      <c r="DF127"/>
      <c r="DG127"/>
      <c r="DH127"/>
      <c r="DI127"/>
      <c r="DJ127"/>
      <c r="DK127"/>
      <c r="DL127"/>
      <c r="DM127"/>
      <c r="DN127"/>
      <c r="DO127"/>
      <c r="DP127"/>
      <c r="DQ127"/>
      <c r="DR127"/>
      <c r="DS127"/>
      <c r="DT127"/>
      <c r="DU127"/>
      <c r="DV127"/>
      <c r="DW127"/>
      <c r="DX127"/>
      <c r="DY127"/>
      <c r="DZ127"/>
      <c r="EA127"/>
      <c r="EB127"/>
      <c r="EC127"/>
      <c r="ED127"/>
      <c r="EE127"/>
      <c r="EF127"/>
      <c r="EG127"/>
      <c r="EH127"/>
      <c r="EI127"/>
      <c r="EJ127"/>
      <c r="EK127"/>
      <c r="EL127"/>
      <c r="EM127"/>
      <c r="EN127"/>
      <c r="EO127"/>
      <c r="EP127"/>
      <c r="EQ127"/>
      <c r="ER127"/>
      <c r="ES127"/>
      <c r="ET127"/>
      <c r="EU127"/>
      <c r="EV127"/>
      <c r="EW127"/>
      <c r="EX127"/>
      <c r="EY127"/>
      <c r="EZ127"/>
      <c r="FA127"/>
      <c r="FB127"/>
      <c r="FC127"/>
      <c r="FD127"/>
      <c r="FE127"/>
      <c r="FF127"/>
      <c r="FG127"/>
      <c r="FH127"/>
      <c r="FI127"/>
      <c r="FJ127"/>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c r="JA127"/>
      <c r="JB127"/>
      <c r="JC127"/>
      <c r="JD127"/>
      <c r="JE127"/>
      <c r="JF127"/>
      <c r="JG127"/>
      <c r="JH127"/>
      <c r="JI127"/>
      <c r="JJ127"/>
      <c r="JK127"/>
      <c r="JL127"/>
      <c r="JM127"/>
      <c r="JN127"/>
      <c r="JO127"/>
      <c r="JP127"/>
      <c r="JQ127"/>
      <c r="JR127"/>
      <c r="JS127"/>
      <c r="JT127"/>
      <c r="JU127"/>
      <c r="JV127"/>
      <c r="JW127"/>
      <c r="JX127"/>
      <c r="JY127"/>
      <c r="JZ127"/>
      <c r="KA127"/>
      <c r="KB127"/>
      <c r="KC127"/>
      <c r="KD127"/>
      <c r="KE127"/>
      <c r="KF127"/>
      <c r="KG127"/>
      <c r="KH127"/>
      <c r="KI127"/>
      <c r="KJ127"/>
      <c r="KK127"/>
      <c r="KL127"/>
      <c r="KM127"/>
      <c r="KN127"/>
      <c r="KO127"/>
      <c r="KP127"/>
      <c r="KQ127"/>
      <c r="KR127"/>
      <c r="KS127"/>
    </row>
    <row r="128" spans="2:305" hidden="1" x14ac:dyDescent="0.35">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c r="CU128"/>
      <c r="CV128"/>
      <c r="CW128"/>
      <c r="CX128"/>
      <c r="CY128"/>
      <c r="CZ128"/>
      <c r="DA128"/>
      <c r="DB128"/>
      <c r="DC128"/>
      <c r="DD128"/>
      <c r="DE128"/>
      <c r="DF128"/>
      <c r="DG128"/>
      <c r="DH128"/>
      <c r="DI128"/>
      <c r="DJ128"/>
      <c r="DK128"/>
      <c r="DL128"/>
      <c r="DM128"/>
      <c r="DN128"/>
      <c r="DO128"/>
      <c r="DP128"/>
      <c r="DQ128"/>
      <c r="DR128"/>
      <c r="DS128"/>
      <c r="DT128"/>
      <c r="DU128"/>
      <c r="DV128"/>
      <c r="DW128"/>
      <c r="DX128"/>
      <c r="DY128"/>
      <c r="DZ128"/>
      <c r="EA128"/>
      <c r="EB128"/>
      <c r="EC128"/>
      <c r="ED128"/>
      <c r="EE128"/>
      <c r="EF128"/>
      <c r="EG128"/>
      <c r="EH128"/>
      <c r="EI128"/>
      <c r="EJ128"/>
      <c r="EK128"/>
      <c r="EL128"/>
      <c r="EM128"/>
      <c r="EN128"/>
      <c r="EO128"/>
      <c r="EP128"/>
      <c r="EQ128"/>
      <c r="ER128"/>
      <c r="ES128"/>
      <c r="ET128"/>
      <c r="EU128"/>
      <c r="EV128"/>
      <c r="EW128"/>
      <c r="EX128"/>
      <c r="EY128"/>
      <c r="EZ128"/>
      <c r="FA128"/>
      <c r="FB128"/>
      <c r="FC128"/>
      <c r="FD128"/>
      <c r="FE128"/>
      <c r="FF128"/>
      <c r="FG128"/>
      <c r="FH128"/>
      <c r="FI128"/>
      <c r="FJ128"/>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c r="JA128"/>
      <c r="JB128"/>
      <c r="JC128"/>
      <c r="JD128"/>
      <c r="JE128"/>
      <c r="JF128"/>
      <c r="JG128"/>
      <c r="JH128"/>
      <c r="JI128"/>
      <c r="JJ128"/>
      <c r="JK128"/>
      <c r="JL128"/>
      <c r="JM128"/>
      <c r="JN128"/>
      <c r="JO128"/>
      <c r="JP128"/>
      <c r="JQ128"/>
      <c r="JR128"/>
      <c r="JS128"/>
      <c r="JT128"/>
      <c r="JU128"/>
      <c r="JV128"/>
      <c r="JW128"/>
      <c r="JX128"/>
      <c r="JY128"/>
      <c r="JZ128"/>
      <c r="KA128"/>
      <c r="KB128"/>
      <c r="KC128"/>
      <c r="KD128"/>
      <c r="KE128"/>
      <c r="KF128"/>
      <c r="KG128"/>
      <c r="KH128"/>
      <c r="KI128"/>
      <c r="KJ128"/>
      <c r="KK128"/>
      <c r="KL128"/>
      <c r="KM128"/>
      <c r="KN128"/>
      <c r="KO128"/>
      <c r="KP128"/>
      <c r="KQ128"/>
      <c r="KR128"/>
      <c r="KS128"/>
    </row>
    <row r="129" spans="2:305" hidden="1" x14ac:dyDescent="0.35">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c r="CU129"/>
      <c r="CV129"/>
      <c r="CW129"/>
      <c r="CX129"/>
      <c r="CY129"/>
      <c r="CZ129"/>
      <c r="DA129"/>
      <c r="DB129"/>
      <c r="DC129"/>
      <c r="DD129"/>
      <c r="DE129"/>
      <c r="DF129"/>
      <c r="DG129"/>
      <c r="DH129"/>
      <c r="DI129"/>
      <c r="DJ129"/>
      <c r="DK129"/>
      <c r="DL129"/>
      <c r="DM129"/>
      <c r="DN129"/>
      <c r="DO129"/>
      <c r="DP129"/>
      <c r="DQ129"/>
      <c r="DR129"/>
      <c r="DS129"/>
      <c r="DT129"/>
      <c r="DU129"/>
      <c r="DV129"/>
      <c r="DW129"/>
      <c r="DX129"/>
      <c r="DY129"/>
      <c r="DZ129"/>
      <c r="EA129"/>
      <c r="EB129"/>
      <c r="EC129"/>
      <c r="ED129"/>
      <c r="EE129"/>
      <c r="EF129"/>
      <c r="EG129"/>
      <c r="EH129"/>
      <c r="EI129"/>
      <c r="EJ129"/>
      <c r="EK129"/>
      <c r="EL129"/>
      <c r="EM129"/>
      <c r="EN129"/>
      <c r="EO129"/>
      <c r="EP129"/>
      <c r="EQ129"/>
      <c r="ER129"/>
      <c r="ES129"/>
      <c r="ET129"/>
      <c r="EU129"/>
      <c r="EV129"/>
      <c r="EW129"/>
      <c r="EX129"/>
      <c r="EY129"/>
      <c r="EZ129"/>
      <c r="FA129"/>
      <c r="FB129"/>
      <c r="FC129"/>
      <c r="FD129"/>
      <c r="FE129"/>
      <c r="FF129"/>
      <c r="FG129"/>
      <c r="FH129"/>
      <c r="FI129"/>
      <c r="FJ129"/>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c r="JA129"/>
      <c r="JB129"/>
      <c r="JC129"/>
      <c r="JD129"/>
      <c r="JE129"/>
      <c r="JF129"/>
      <c r="JG129"/>
      <c r="JH129"/>
      <c r="JI129"/>
      <c r="JJ129"/>
      <c r="JK129"/>
      <c r="JL129"/>
      <c r="JM129"/>
      <c r="JN129"/>
      <c r="JO129"/>
      <c r="JP129"/>
      <c r="JQ129"/>
      <c r="JR129"/>
      <c r="JS129"/>
      <c r="JT129"/>
      <c r="JU129"/>
      <c r="JV129"/>
      <c r="JW129"/>
      <c r="JX129"/>
      <c r="JY129"/>
      <c r="JZ129"/>
      <c r="KA129"/>
      <c r="KB129"/>
      <c r="KC129"/>
      <c r="KD129"/>
      <c r="KE129"/>
      <c r="KF129"/>
      <c r="KG129"/>
      <c r="KH129"/>
      <c r="KI129"/>
      <c r="KJ129"/>
      <c r="KK129"/>
      <c r="KL129"/>
      <c r="KM129"/>
      <c r="KN129"/>
      <c r="KO129"/>
      <c r="KP129"/>
      <c r="KQ129"/>
      <c r="KR129"/>
      <c r="KS129"/>
    </row>
    <row r="130" spans="2:305" hidden="1" x14ac:dyDescent="0.35">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c r="CU130"/>
      <c r="CV130"/>
      <c r="CW130"/>
      <c r="CX130"/>
      <c r="CY130"/>
      <c r="CZ130"/>
      <c r="DA130"/>
      <c r="DB130"/>
      <c r="DC130"/>
      <c r="DD130"/>
      <c r="DE130"/>
      <c r="DF130"/>
      <c r="DG130"/>
      <c r="DH130"/>
      <c r="DI130"/>
      <c r="DJ130"/>
      <c r="DK130"/>
      <c r="DL130"/>
      <c r="DM130"/>
      <c r="DN130"/>
      <c r="DO130"/>
      <c r="DP130"/>
      <c r="DQ130"/>
      <c r="DR130"/>
      <c r="DS130"/>
      <c r="DT130"/>
      <c r="DU130"/>
      <c r="DV130"/>
      <c r="DW130"/>
      <c r="DX130"/>
      <c r="DY130"/>
      <c r="DZ130"/>
      <c r="EA130"/>
      <c r="EB130"/>
      <c r="EC130"/>
      <c r="ED130"/>
      <c r="EE130"/>
      <c r="EF130"/>
      <c r="EG130"/>
      <c r="EH130"/>
      <c r="EI130"/>
      <c r="EJ130"/>
      <c r="EK130"/>
      <c r="EL130"/>
      <c r="EM130"/>
      <c r="EN130"/>
      <c r="EO130"/>
      <c r="EP130"/>
      <c r="EQ130"/>
      <c r="ER130"/>
      <c r="ES130"/>
      <c r="ET130"/>
      <c r="EU130"/>
      <c r="EV130"/>
      <c r="EW130"/>
      <c r="EX130"/>
      <c r="EY130"/>
      <c r="EZ130"/>
      <c r="FA130"/>
      <c r="FB130"/>
      <c r="FC130"/>
      <c r="FD130"/>
      <c r="FE130"/>
      <c r="FF130"/>
      <c r="FG130"/>
      <c r="FH130"/>
      <c r="FI130"/>
      <c r="FJ130"/>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c r="JA130"/>
      <c r="JB130"/>
      <c r="JC130"/>
      <c r="JD130"/>
      <c r="JE130"/>
      <c r="JF130"/>
      <c r="JG130"/>
      <c r="JH130"/>
      <c r="JI130"/>
      <c r="JJ130"/>
      <c r="JK130"/>
      <c r="JL130"/>
      <c r="JM130"/>
      <c r="JN130"/>
      <c r="JO130"/>
      <c r="JP130"/>
      <c r="JQ130"/>
      <c r="JR130"/>
      <c r="JS130"/>
      <c r="JT130"/>
      <c r="JU130"/>
      <c r="JV130"/>
      <c r="JW130"/>
      <c r="JX130"/>
      <c r="JY130"/>
      <c r="JZ130"/>
      <c r="KA130"/>
      <c r="KB130"/>
      <c r="KC130"/>
      <c r="KD130"/>
      <c r="KE130"/>
      <c r="KF130"/>
      <c r="KG130"/>
      <c r="KH130"/>
      <c r="KI130"/>
      <c r="KJ130"/>
      <c r="KK130"/>
      <c r="KL130"/>
      <c r="KM130"/>
      <c r="KN130"/>
      <c r="KO130"/>
      <c r="KP130"/>
      <c r="KQ130"/>
      <c r="KR130"/>
      <c r="KS130"/>
    </row>
    <row r="131" spans="2:305" hidden="1" x14ac:dyDescent="0.35">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c r="CU131"/>
      <c r="CV131"/>
      <c r="CW131"/>
      <c r="CX131"/>
      <c r="CY131"/>
      <c r="CZ131"/>
      <c r="DA131"/>
      <c r="DB131"/>
      <c r="DC131"/>
      <c r="DD131"/>
      <c r="DE131"/>
      <c r="DF131"/>
      <c r="DG131"/>
      <c r="DH131"/>
      <c r="DI131"/>
      <c r="DJ131"/>
      <c r="DK131"/>
      <c r="DL131"/>
      <c r="DM131"/>
      <c r="DN131"/>
      <c r="DO131"/>
      <c r="DP131"/>
      <c r="DQ131"/>
      <c r="DR131"/>
      <c r="DS131"/>
      <c r="DT131"/>
      <c r="DU131"/>
      <c r="DV131"/>
      <c r="DW131"/>
      <c r="DX131"/>
      <c r="DY131"/>
      <c r="DZ131"/>
      <c r="EA131"/>
      <c r="EB131"/>
      <c r="EC131"/>
      <c r="ED131"/>
      <c r="EE131"/>
      <c r="EF131"/>
      <c r="EG131"/>
      <c r="EH131"/>
      <c r="EI131"/>
      <c r="EJ131"/>
      <c r="EK131"/>
      <c r="EL131"/>
      <c r="EM131"/>
      <c r="EN131"/>
      <c r="EO131"/>
      <c r="EP131"/>
      <c r="EQ131"/>
      <c r="ER131"/>
      <c r="ES131"/>
      <c r="ET131"/>
      <c r="EU131"/>
      <c r="EV131"/>
      <c r="EW131"/>
      <c r="EX131"/>
      <c r="EY131"/>
      <c r="EZ131"/>
      <c r="FA131"/>
      <c r="FB131"/>
      <c r="FC131"/>
      <c r="FD131"/>
      <c r="FE131"/>
      <c r="FF131"/>
      <c r="FG131"/>
      <c r="FH131"/>
      <c r="FI131"/>
      <c r="FJ131"/>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c r="JA131"/>
      <c r="JB131"/>
      <c r="JC131"/>
      <c r="JD131"/>
      <c r="JE131"/>
      <c r="JF131"/>
      <c r="JG131"/>
      <c r="JH131"/>
      <c r="JI131"/>
      <c r="JJ131"/>
      <c r="JK131"/>
      <c r="JL131"/>
      <c r="JM131"/>
      <c r="JN131"/>
      <c r="JO131"/>
      <c r="JP131"/>
      <c r="JQ131"/>
      <c r="JR131"/>
      <c r="JS131"/>
      <c r="JT131"/>
      <c r="JU131"/>
      <c r="JV131"/>
      <c r="JW131"/>
      <c r="JX131"/>
      <c r="JY131"/>
      <c r="JZ131"/>
      <c r="KA131"/>
      <c r="KB131"/>
      <c r="KC131"/>
      <c r="KD131"/>
      <c r="KE131"/>
      <c r="KF131"/>
      <c r="KG131"/>
      <c r="KH131"/>
      <c r="KI131"/>
      <c r="KJ131"/>
      <c r="KK131"/>
      <c r="KL131"/>
      <c r="KM131"/>
      <c r="KN131"/>
      <c r="KO131"/>
      <c r="KP131"/>
      <c r="KQ131"/>
      <c r="KR131"/>
      <c r="KS131"/>
    </row>
    <row r="132" spans="2:305" hidden="1" x14ac:dyDescent="0.3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c r="CU132"/>
      <c r="CV132"/>
      <c r="CW132"/>
      <c r="CX132"/>
      <c r="CY132"/>
      <c r="CZ132"/>
      <c r="DA132"/>
      <c r="DB132"/>
      <c r="DC132"/>
      <c r="DD132"/>
      <c r="DE132"/>
      <c r="DF132"/>
      <c r="DG132"/>
      <c r="DH132"/>
      <c r="DI132"/>
      <c r="DJ132"/>
      <c r="DK132"/>
      <c r="DL132"/>
      <c r="DM132"/>
      <c r="DN132"/>
      <c r="DO132"/>
      <c r="DP132"/>
      <c r="DQ132"/>
      <c r="DR132"/>
      <c r="DS132"/>
      <c r="DT132"/>
      <c r="DU132"/>
      <c r="DV132"/>
      <c r="DW132"/>
      <c r="DX132"/>
      <c r="DY132"/>
      <c r="DZ132"/>
      <c r="EA132"/>
      <c r="EB132"/>
      <c r="EC132"/>
      <c r="ED132"/>
      <c r="EE132"/>
      <c r="EF132"/>
      <c r="EG132"/>
      <c r="EH132"/>
      <c r="EI132"/>
      <c r="EJ132"/>
      <c r="EK132"/>
      <c r="EL132"/>
      <c r="EM132"/>
      <c r="EN132"/>
      <c r="EO132"/>
      <c r="EP132"/>
      <c r="EQ132"/>
      <c r="ER132"/>
      <c r="ES132"/>
      <c r="ET132"/>
      <c r="EU132"/>
      <c r="EV132"/>
      <c r="EW132"/>
      <c r="EX132"/>
      <c r="EY132"/>
      <c r="EZ132"/>
      <c r="FA132"/>
      <c r="FB132"/>
      <c r="FC132"/>
      <c r="FD132"/>
      <c r="FE132"/>
      <c r="FF132"/>
      <c r="FG132"/>
      <c r="FH132"/>
      <c r="FI132"/>
      <c r="FJ132"/>
      <c r="FK132"/>
      <c r="FL132"/>
      <c r="FM132"/>
      <c r="FN132"/>
      <c r="FO132"/>
      <c r="FP132"/>
      <c r="FQ132"/>
      <c r="FR132"/>
      <c r="FS132"/>
      <c r="FT132"/>
      <c r="FU132"/>
      <c r="FV132"/>
      <c r="FW132"/>
      <c r="FX132"/>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c r="JA132"/>
      <c r="JB132"/>
      <c r="JC132"/>
      <c r="JD132"/>
      <c r="JE132"/>
      <c r="JF132"/>
      <c r="JG132"/>
      <c r="JH132"/>
      <c r="JI132"/>
      <c r="JJ132"/>
      <c r="JK132"/>
      <c r="JL132"/>
      <c r="JM132"/>
      <c r="JN132"/>
      <c r="JO132"/>
      <c r="JP132"/>
      <c r="JQ132"/>
      <c r="JR132"/>
      <c r="JS132"/>
      <c r="JT132"/>
      <c r="JU132"/>
      <c r="JV132"/>
      <c r="JW132"/>
      <c r="JX132"/>
      <c r="JY132"/>
      <c r="JZ132"/>
      <c r="KA132"/>
      <c r="KB132"/>
      <c r="KC132"/>
      <c r="KD132"/>
      <c r="KE132"/>
      <c r="KF132"/>
      <c r="KG132"/>
      <c r="KH132"/>
      <c r="KI132"/>
      <c r="KJ132"/>
      <c r="KK132"/>
      <c r="KL132"/>
      <c r="KM132"/>
      <c r="KN132"/>
      <c r="KO132"/>
      <c r="KP132"/>
      <c r="KQ132"/>
      <c r="KR132"/>
      <c r="KS132"/>
    </row>
    <row r="133" spans="2:305" hidden="1" x14ac:dyDescent="0.35">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c r="CU133"/>
      <c r="CV133"/>
      <c r="CW133"/>
      <c r="CX133"/>
      <c r="CY133"/>
      <c r="CZ133"/>
      <c r="DA133"/>
      <c r="DB133"/>
      <c r="DC133"/>
      <c r="DD133"/>
      <c r="DE133"/>
      <c r="DF133"/>
      <c r="DG133"/>
      <c r="DH133"/>
      <c r="DI133"/>
      <c r="DJ133"/>
      <c r="DK133"/>
      <c r="DL133"/>
      <c r="DM133"/>
      <c r="DN133"/>
      <c r="DO133"/>
      <c r="DP133"/>
      <c r="DQ133"/>
      <c r="DR133"/>
      <c r="DS133"/>
      <c r="DT133"/>
      <c r="DU133"/>
      <c r="DV133"/>
      <c r="DW133"/>
      <c r="DX133"/>
      <c r="DY133"/>
      <c r="DZ133"/>
      <c r="EA133"/>
      <c r="EB133"/>
      <c r="EC133"/>
      <c r="ED133"/>
      <c r="EE133"/>
      <c r="EF133"/>
      <c r="EG133"/>
      <c r="EH133"/>
      <c r="EI133"/>
      <c r="EJ133"/>
      <c r="EK133"/>
      <c r="EL133"/>
      <c r="EM133"/>
      <c r="EN133"/>
      <c r="EO133"/>
      <c r="EP133"/>
      <c r="EQ133"/>
      <c r="ER133"/>
      <c r="ES133"/>
      <c r="ET133"/>
      <c r="EU133"/>
      <c r="EV133"/>
      <c r="EW133"/>
      <c r="EX133"/>
      <c r="EY133"/>
      <c r="EZ133"/>
      <c r="FA133"/>
      <c r="FB133"/>
      <c r="FC133"/>
      <c r="FD133"/>
      <c r="FE133"/>
      <c r="FF133"/>
      <c r="FG133"/>
      <c r="FH133"/>
      <c r="FI133"/>
      <c r="FJ133"/>
      <c r="FK133"/>
      <c r="FL133"/>
      <c r="FM133"/>
      <c r="FN133"/>
      <c r="FO133"/>
      <c r="FP133"/>
      <c r="FQ133"/>
      <c r="FR133"/>
      <c r="FS133"/>
      <c r="FT133"/>
      <c r="FU133"/>
      <c r="FV133"/>
      <c r="FW133"/>
      <c r="FX133"/>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c r="JA133"/>
      <c r="JB133"/>
      <c r="JC133"/>
      <c r="JD133"/>
      <c r="JE133"/>
      <c r="JF133"/>
      <c r="JG133"/>
      <c r="JH133"/>
      <c r="JI133"/>
      <c r="JJ133"/>
      <c r="JK133"/>
      <c r="JL133"/>
      <c r="JM133"/>
      <c r="JN133"/>
      <c r="JO133"/>
      <c r="JP133"/>
      <c r="JQ133"/>
      <c r="JR133"/>
      <c r="JS133"/>
      <c r="JT133"/>
      <c r="JU133"/>
      <c r="JV133"/>
      <c r="JW133"/>
      <c r="JX133"/>
      <c r="JY133"/>
      <c r="JZ133"/>
      <c r="KA133"/>
      <c r="KB133"/>
      <c r="KC133"/>
      <c r="KD133"/>
      <c r="KE133"/>
      <c r="KF133"/>
      <c r="KG133"/>
      <c r="KH133"/>
      <c r="KI133"/>
      <c r="KJ133"/>
      <c r="KK133"/>
      <c r="KL133"/>
      <c r="KM133"/>
      <c r="KN133"/>
      <c r="KO133"/>
      <c r="KP133"/>
      <c r="KQ133"/>
      <c r="KR133"/>
      <c r="KS133"/>
    </row>
    <row r="134" spans="2:305" hidden="1" x14ac:dyDescent="0.35">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c r="CU134"/>
      <c r="CV134"/>
      <c r="CW134"/>
      <c r="CX134"/>
      <c r="CY134"/>
      <c r="CZ134"/>
      <c r="DA134"/>
      <c r="DB134"/>
      <c r="DC134"/>
      <c r="DD134"/>
      <c r="DE134"/>
      <c r="DF134"/>
      <c r="DG134"/>
      <c r="DH134"/>
      <c r="DI134"/>
      <c r="DJ134"/>
      <c r="DK134"/>
      <c r="DL134"/>
      <c r="DM134"/>
      <c r="DN134"/>
      <c r="DO134"/>
      <c r="DP134"/>
      <c r="DQ134"/>
      <c r="DR134"/>
      <c r="DS134"/>
      <c r="DT134"/>
      <c r="DU134"/>
      <c r="DV134"/>
      <c r="DW134"/>
      <c r="DX134"/>
      <c r="DY134"/>
      <c r="DZ134"/>
      <c r="EA134"/>
      <c r="EB134"/>
      <c r="EC134"/>
      <c r="ED134"/>
      <c r="EE134"/>
      <c r="EF134"/>
      <c r="EG134"/>
      <c r="EH134"/>
      <c r="EI134"/>
      <c r="EJ134"/>
      <c r="EK134"/>
      <c r="EL134"/>
      <c r="EM134"/>
      <c r="EN134"/>
      <c r="EO134"/>
      <c r="EP134"/>
      <c r="EQ134"/>
      <c r="ER134"/>
      <c r="ES134"/>
      <c r="ET134"/>
      <c r="EU134"/>
      <c r="EV134"/>
      <c r="EW134"/>
      <c r="EX134"/>
      <c r="EY134"/>
      <c r="EZ134"/>
      <c r="FA134"/>
      <c r="FB134"/>
      <c r="FC134"/>
      <c r="FD134"/>
      <c r="FE134"/>
      <c r="FF134"/>
      <c r="FG134"/>
      <c r="FH134"/>
      <c r="FI134"/>
      <c r="FJ134"/>
      <c r="FK134"/>
      <c r="FL134"/>
      <c r="FM134"/>
      <c r="FN134"/>
      <c r="FO134"/>
      <c r="FP134"/>
      <c r="FQ134"/>
      <c r="FR134"/>
      <c r="FS134"/>
      <c r="FT134"/>
      <c r="FU134"/>
      <c r="FV134"/>
      <c r="FW134"/>
      <c r="FX134"/>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c r="JA134"/>
      <c r="JB134"/>
      <c r="JC134"/>
      <c r="JD134"/>
      <c r="JE134"/>
      <c r="JF134"/>
      <c r="JG134"/>
      <c r="JH134"/>
      <c r="JI134"/>
      <c r="JJ134"/>
      <c r="JK134"/>
      <c r="JL134"/>
      <c r="JM134"/>
      <c r="JN134"/>
      <c r="JO134"/>
      <c r="JP134"/>
      <c r="JQ134"/>
      <c r="JR134"/>
      <c r="JS134"/>
      <c r="JT134"/>
      <c r="JU134"/>
      <c r="JV134"/>
      <c r="JW134"/>
      <c r="JX134"/>
      <c r="JY134"/>
      <c r="JZ134"/>
      <c r="KA134"/>
      <c r="KB134"/>
      <c r="KC134"/>
      <c r="KD134"/>
      <c r="KE134"/>
      <c r="KF134"/>
      <c r="KG134"/>
      <c r="KH134"/>
      <c r="KI134"/>
      <c r="KJ134"/>
      <c r="KK134"/>
      <c r="KL134"/>
      <c r="KM134"/>
      <c r="KN134"/>
      <c r="KO134"/>
      <c r="KP134"/>
      <c r="KQ134"/>
      <c r="KR134"/>
      <c r="KS134"/>
    </row>
    <row r="135" spans="2:305" hidden="1" x14ac:dyDescent="0.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c r="CU135"/>
      <c r="CV135"/>
      <c r="CW135"/>
      <c r="CX135"/>
      <c r="CY135"/>
      <c r="CZ135"/>
      <c r="DA135"/>
      <c r="DB135"/>
      <c r="DC135"/>
      <c r="DD135"/>
      <c r="DE135"/>
      <c r="DF135"/>
      <c r="DG135"/>
      <c r="DH135"/>
      <c r="DI135"/>
      <c r="DJ135"/>
      <c r="DK135"/>
      <c r="DL135"/>
      <c r="DM135"/>
      <c r="DN135"/>
      <c r="DO135"/>
      <c r="DP135"/>
      <c r="DQ135"/>
      <c r="DR135"/>
      <c r="DS135"/>
      <c r="DT135"/>
      <c r="DU135"/>
      <c r="DV135"/>
      <c r="DW135"/>
      <c r="DX135"/>
      <c r="DY135"/>
      <c r="DZ135"/>
      <c r="EA135"/>
      <c r="EB135"/>
      <c r="EC135"/>
      <c r="ED135"/>
      <c r="EE135"/>
      <c r="EF135"/>
      <c r="EG135"/>
      <c r="EH135"/>
      <c r="EI135"/>
      <c r="EJ135"/>
      <c r="EK135"/>
      <c r="EL135"/>
      <c r="EM135"/>
      <c r="EN135"/>
      <c r="EO135"/>
      <c r="EP135"/>
      <c r="EQ135"/>
      <c r="ER135"/>
      <c r="ES135"/>
      <c r="ET135"/>
      <c r="EU135"/>
      <c r="EV135"/>
      <c r="EW135"/>
      <c r="EX135"/>
      <c r="EY135"/>
      <c r="EZ135"/>
      <c r="FA135"/>
      <c r="FB135"/>
      <c r="FC135"/>
      <c r="FD135"/>
      <c r="FE135"/>
      <c r="FF135"/>
      <c r="FG135"/>
      <c r="FH135"/>
      <c r="FI135"/>
      <c r="FJ135"/>
      <c r="FK135"/>
      <c r="FL135"/>
      <c r="FM135"/>
      <c r="FN135"/>
      <c r="FO135"/>
      <c r="FP135"/>
      <c r="FQ135"/>
      <c r="FR135"/>
      <c r="FS135"/>
      <c r="FT135"/>
      <c r="FU135"/>
      <c r="FV135"/>
      <c r="FW135"/>
      <c r="FX135"/>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c r="JA135"/>
      <c r="JB135"/>
      <c r="JC135"/>
      <c r="JD135"/>
      <c r="JE135"/>
      <c r="JF135"/>
      <c r="JG135"/>
      <c r="JH135"/>
      <c r="JI135"/>
      <c r="JJ135"/>
      <c r="JK135"/>
      <c r="JL135"/>
      <c r="JM135"/>
      <c r="JN135"/>
      <c r="JO135"/>
      <c r="JP135"/>
      <c r="JQ135"/>
      <c r="JR135"/>
      <c r="JS135"/>
      <c r="JT135"/>
      <c r="JU135"/>
      <c r="JV135"/>
      <c r="JW135"/>
      <c r="JX135"/>
      <c r="JY135"/>
      <c r="JZ135"/>
      <c r="KA135"/>
      <c r="KB135"/>
      <c r="KC135"/>
      <c r="KD135"/>
      <c r="KE135"/>
      <c r="KF135"/>
      <c r="KG135"/>
      <c r="KH135"/>
      <c r="KI135"/>
      <c r="KJ135"/>
      <c r="KK135"/>
      <c r="KL135"/>
      <c r="KM135"/>
      <c r="KN135"/>
      <c r="KO135"/>
      <c r="KP135"/>
      <c r="KQ135"/>
      <c r="KR135"/>
      <c r="KS135"/>
    </row>
    <row r="136" spans="2:305" hidden="1" x14ac:dyDescent="0.35">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c r="CU136"/>
      <c r="CV136"/>
      <c r="CW136"/>
      <c r="CX136"/>
      <c r="CY136"/>
      <c r="CZ136"/>
      <c r="DA136"/>
      <c r="DB136"/>
      <c r="DC136"/>
      <c r="DD136"/>
      <c r="DE136"/>
      <c r="DF136"/>
      <c r="DG136"/>
      <c r="DH136"/>
      <c r="DI136"/>
      <c r="DJ136"/>
      <c r="DK136"/>
      <c r="DL136"/>
      <c r="DM136"/>
      <c r="DN136"/>
      <c r="DO136"/>
      <c r="DP136"/>
      <c r="DQ136"/>
      <c r="DR136"/>
      <c r="DS136"/>
      <c r="DT136"/>
      <c r="DU136"/>
      <c r="DV136"/>
      <c r="DW136"/>
      <c r="DX136"/>
      <c r="DY136"/>
      <c r="DZ136"/>
      <c r="EA136"/>
      <c r="EB136"/>
      <c r="EC136"/>
      <c r="ED136"/>
      <c r="EE136"/>
      <c r="EF136"/>
      <c r="EG136"/>
      <c r="EH136"/>
      <c r="EI136"/>
      <c r="EJ136"/>
      <c r="EK136"/>
      <c r="EL136"/>
      <c r="EM136"/>
      <c r="EN136"/>
      <c r="EO136"/>
      <c r="EP136"/>
      <c r="EQ136"/>
      <c r="ER136"/>
      <c r="ES136"/>
      <c r="ET136"/>
      <c r="EU136"/>
      <c r="EV136"/>
      <c r="EW136"/>
      <c r="EX136"/>
      <c r="EY136"/>
      <c r="EZ136"/>
      <c r="FA136"/>
      <c r="FB136"/>
      <c r="FC136"/>
      <c r="FD136"/>
      <c r="FE136"/>
      <c r="FF136"/>
      <c r="FG136"/>
      <c r="FH136"/>
      <c r="FI136"/>
      <c r="FJ136"/>
      <c r="FK136"/>
      <c r="FL136"/>
      <c r="FM136"/>
      <c r="FN136"/>
      <c r="FO136"/>
      <c r="FP136"/>
      <c r="FQ136"/>
      <c r="FR136"/>
      <c r="FS136"/>
      <c r="FT136"/>
      <c r="FU136"/>
      <c r="FV136"/>
      <c r="FW136"/>
      <c r="FX136"/>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c r="JA136"/>
      <c r="JB136"/>
      <c r="JC136"/>
      <c r="JD136"/>
      <c r="JE136"/>
      <c r="JF136"/>
      <c r="JG136"/>
      <c r="JH136"/>
      <c r="JI136"/>
      <c r="JJ136"/>
      <c r="JK136"/>
      <c r="JL136"/>
      <c r="JM136"/>
      <c r="JN136"/>
      <c r="JO136"/>
      <c r="JP136"/>
      <c r="JQ136"/>
      <c r="JR136"/>
      <c r="JS136"/>
      <c r="JT136"/>
      <c r="JU136"/>
      <c r="JV136"/>
      <c r="JW136"/>
      <c r="JX136"/>
      <c r="JY136"/>
      <c r="JZ136"/>
      <c r="KA136"/>
      <c r="KB136"/>
      <c r="KC136"/>
      <c r="KD136"/>
      <c r="KE136"/>
      <c r="KF136"/>
      <c r="KG136"/>
      <c r="KH136"/>
      <c r="KI136"/>
      <c r="KJ136"/>
      <c r="KK136"/>
      <c r="KL136"/>
      <c r="KM136"/>
      <c r="KN136"/>
      <c r="KO136"/>
      <c r="KP136"/>
      <c r="KQ136"/>
      <c r="KR136"/>
      <c r="KS136"/>
    </row>
    <row r="137" spans="2:305" hidden="1" x14ac:dyDescent="0.35">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c r="CU137"/>
      <c r="CV137"/>
      <c r="CW137"/>
      <c r="CX137"/>
      <c r="CY137"/>
      <c r="CZ137"/>
      <c r="DA137"/>
      <c r="DB137"/>
      <c r="DC137"/>
      <c r="DD137"/>
      <c r="DE137"/>
      <c r="DF137"/>
      <c r="DG137"/>
      <c r="DH137"/>
      <c r="DI137"/>
      <c r="DJ137"/>
      <c r="DK137"/>
      <c r="DL137"/>
      <c r="DM137"/>
      <c r="DN137"/>
      <c r="DO137"/>
      <c r="DP137"/>
      <c r="DQ137"/>
      <c r="DR137"/>
      <c r="DS137"/>
      <c r="DT137"/>
      <c r="DU137"/>
      <c r="DV137"/>
      <c r="DW137"/>
      <c r="DX137"/>
      <c r="DY137"/>
      <c r="DZ137"/>
      <c r="EA137"/>
      <c r="EB137"/>
      <c r="EC137"/>
      <c r="ED137"/>
      <c r="EE137"/>
      <c r="EF137"/>
      <c r="EG137"/>
      <c r="EH137"/>
      <c r="EI137"/>
      <c r="EJ137"/>
      <c r="EK137"/>
      <c r="EL137"/>
      <c r="EM137"/>
      <c r="EN137"/>
      <c r="EO137"/>
      <c r="EP137"/>
      <c r="EQ137"/>
      <c r="ER137"/>
      <c r="ES137"/>
      <c r="ET137"/>
      <c r="EU137"/>
      <c r="EV137"/>
      <c r="EW137"/>
      <c r="EX137"/>
      <c r="EY137"/>
      <c r="EZ137"/>
      <c r="FA137"/>
      <c r="FB137"/>
      <c r="FC137"/>
      <c r="FD137"/>
      <c r="FE137"/>
      <c r="FF137"/>
      <c r="FG137"/>
      <c r="FH137"/>
      <c r="FI137"/>
      <c r="FJ137"/>
      <c r="FK137"/>
      <c r="FL137"/>
      <c r="FM137"/>
      <c r="FN137"/>
      <c r="FO137"/>
      <c r="FP137"/>
      <c r="FQ137"/>
      <c r="FR137"/>
      <c r="FS137"/>
      <c r="FT137"/>
      <c r="FU137"/>
      <c r="FV137"/>
      <c r="FW137"/>
      <c r="FX137"/>
      <c r="FY137"/>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c r="JA137"/>
      <c r="JB137"/>
      <c r="JC137"/>
      <c r="JD137"/>
      <c r="JE137"/>
      <c r="JF137"/>
      <c r="JG137"/>
      <c r="JH137"/>
      <c r="JI137"/>
      <c r="JJ137"/>
      <c r="JK137"/>
      <c r="JL137"/>
      <c r="JM137"/>
      <c r="JN137"/>
      <c r="JO137"/>
      <c r="JP137"/>
      <c r="JQ137"/>
      <c r="JR137"/>
      <c r="JS137"/>
      <c r="JT137"/>
      <c r="JU137"/>
      <c r="JV137"/>
      <c r="JW137"/>
      <c r="JX137"/>
      <c r="JY137"/>
      <c r="JZ137"/>
      <c r="KA137"/>
      <c r="KB137"/>
      <c r="KC137"/>
      <c r="KD137"/>
      <c r="KE137"/>
      <c r="KF137"/>
      <c r="KG137"/>
      <c r="KH137"/>
      <c r="KI137"/>
      <c r="KJ137"/>
      <c r="KK137"/>
      <c r="KL137"/>
      <c r="KM137"/>
      <c r="KN137"/>
      <c r="KO137"/>
      <c r="KP137"/>
      <c r="KQ137"/>
      <c r="KR137"/>
      <c r="KS137"/>
    </row>
    <row r="138" spans="2:305" hidden="1" x14ac:dyDescent="0.35">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c r="CU138"/>
      <c r="CV138"/>
      <c r="CW138"/>
      <c r="CX138"/>
      <c r="CY138"/>
      <c r="CZ138"/>
      <c r="DA138"/>
      <c r="DB138"/>
      <c r="DC138"/>
      <c r="DD138"/>
      <c r="DE138"/>
      <c r="DF138"/>
      <c r="DG138"/>
      <c r="DH138"/>
      <c r="DI138"/>
      <c r="DJ138"/>
      <c r="DK138"/>
      <c r="DL138"/>
      <c r="DM138"/>
      <c r="DN138"/>
      <c r="DO138"/>
      <c r="DP138"/>
      <c r="DQ138"/>
      <c r="DR138"/>
      <c r="DS138"/>
      <c r="DT138"/>
      <c r="DU138"/>
      <c r="DV138"/>
      <c r="DW138"/>
      <c r="DX138"/>
      <c r="DY138"/>
      <c r="DZ138"/>
      <c r="EA138"/>
      <c r="EB138"/>
      <c r="EC138"/>
      <c r="ED138"/>
      <c r="EE138"/>
      <c r="EF138"/>
      <c r="EG138"/>
      <c r="EH138"/>
      <c r="EI138"/>
      <c r="EJ138"/>
      <c r="EK138"/>
      <c r="EL138"/>
      <c r="EM138"/>
      <c r="EN138"/>
      <c r="EO138"/>
      <c r="EP138"/>
      <c r="EQ138"/>
      <c r="ER138"/>
      <c r="ES138"/>
      <c r="ET138"/>
      <c r="EU138"/>
      <c r="EV138"/>
      <c r="EW138"/>
      <c r="EX138"/>
      <c r="EY138"/>
      <c r="EZ138"/>
      <c r="FA138"/>
      <c r="FB138"/>
      <c r="FC138"/>
      <c r="FD138"/>
      <c r="FE138"/>
      <c r="FF138"/>
      <c r="FG138"/>
      <c r="FH138"/>
      <c r="FI138"/>
      <c r="FJ138"/>
      <c r="FK138"/>
      <c r="FL138"/>
      <c r="FM138"/>
      <c r="FN138"/>
      <c r="FO138"/>
      <c r="FP138"/>
      <c r="FQ138"/>
      <c r="FR138"/>
      <c r="FS138"/>
      <c r="FT138"/>
      <c r="FU138"/>
      <c r="FV138"/>
      <c r="FW138"/>
      <c r="FX138"/>
      <c r="FY138"/>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c r="JA138"/>
      <c r="JB138"/>
      <c r="JC138"/>
      <c r="JD138"/>
      <c r="JE138"/>
      <c r="JF138"/>
      <c r="JG138"/>
      <c r="JH138"/>
      <c r="JI138"/>
      <c r="JJ138"/>
      <c r="JK138"/>
      <c r="JL138"/>
      <c r="JM138"/>
      <c r="JN138"/>
      <c r="JO138"/>
      <c r="JP138"/>
      <c r="JQ138"/>
      <c r="JR138"/>
      <c r="JS138"/>
      <c r="JT138"/>
      <c r="JU138"/>
      <c r="JV138"/>
      <c r="JW138"/>
      <c r="JX138"/>
      <c r="JY138"/>
      <c r="JZ138"/>
      <c r="KA138"/>
      <c r="KB138"/>
      <c r="KC138"/>
      <c r="KD138"/>
      <c r="KE138"/>
      <c r="KF138"/>
      <c r="KG138"/>
      <c r="KH138"/>
      <c r="KI138"/>
      <c r="KJ138"/>
      <c r="KK138"/>
      <c r="KL138"/>
      <c r="KM138"/>
      <c r="KN138"/>
      <c r="KO138"/>
      <c r="KP138"/>
      <c r="KQ138"/>
      <c r="KR138"/>
      <c r="KS138"/>
    </row>
    <row r="139" spans="2:305" hidden="1" x14ac:dyDescent="0.35">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c r="CU139"/>
      <c r="CV139"/>
      <c r="CW139"/>
      <c r="CX139"/>
      <c r="CY139"/>
      <c r="CZ139"/>
      <c r="DA139"/>
      <c r="DB139"/>
      <c r="DC139"/>
      <c r="DD139"/>
      <c r="DE139"/>
      <c r="DF139"/>
      <c r="DG139"/>
      <c r="DH139"/>
      <c r="DI139"/>
      <c r="DJ139"/>
      <c r="DK139"/>
      <c r="DL139"/>
      <c r="DM139"/>
      <c r="DN139"/>
      <c r="DO139"/>
      <c r="DP139"/>
      <c r="DQ139"/>
      <c r="DR139"/>
      <c r="DS139"/>
      <c r="DT139"/>
      <c r="DU139"/>
      <c r="DV139"/>
      <c r="DW139"/>
      <c r="DX139"/>
      <c r="DY139"/>
      <c r="DZ139"/>
      <c r="EA139"/>
      <c r="EB139"/>
      <c r="EC139"/>
      <c r="ED139"/>
      <c r="EE139"/>
      <c r="EF139"/>
      <c r="EG139"/>
      <c r="EH139"/>
      <c r="EI139"/>
      <c r="EJ139"/>
      <c r="EK139"/>
      <c r="EL139"/>
      <c r="EM139"/>
      <c r="EN139"/>
      <c r="EO139"/>
      <c r="EP139"/>
      <c r="EQ139"/>
      <c r="ER139"/>
      <c r="ES139"/>
      <c r="ET139"/>
      <c r="EU139"/>
      <c r="EV139"/>
      <c r="EW139"/>
      <c r="EX139"/>
      <c r="EY139"/>
      <c r="EZ139"/>
      <c r="FA139"/>
      <c r="FB139"/>
      <c r="FC139"/>
      <c r="FD139"/>
      <c r="FE139"/>
      <c r="FF139"/>
      <c r="FG139"/>
      <c r="FH139"/>
      <c r="FI139"/>
      <c r="FJ139"/>
      <c r="FK139"/>
      <c r="FL139"/>
      <c r="FM139"/>
      <c r="FN139"/>
      <c r="FO139"/>
      <c r="FP139"/>
      <c r="FQ139"/>
      <c r="FR139"/>
      <c r="FS139"/>
      <c r="FT139"/>
      <c r="FU139"/>
      <c r="FV139"/>
      <c r="FW139"/>
      <c r="FX13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c r="JA139"/>
      <c r="JB139"/>
      <c r="JC139"/>
      <c r="JD139"/>
      <c r="JE139"/>
      <c r="JF139"/>
      <c r="JG139"/>
      <c r="JH139"/>
      <c r="JI139"/>
      <c r="JJ139"/>
      <c r="JK139"/>
      <c r="JL139"/>
      <c r="JM139"/>
      <c r="JN139"/>
      <c r="JO139"/>
      <c r="JP139"/>
      <c r="JQ139"/>
      <c r="JR139"/>
      <c r="JS139"/>
      <c r="JT139"/>
      <c r="JU139"/>
      <c r="JV139"/>
      <c r="JW139"/>
      <c r="JX139"/>
      <c r="JY139"/>
      <c r="JZ139"/>
      <c r="KA139"/>
      <c r="KB139"/>
      <c r="KC139"/>
      <c r="KD139"/>
      <c r="KE139"/>
      <c r="KF139"/>
      <c r="KG139"/>
      <c r="KH139"/>
      <c r="KI139"/>
      <c r="KJ139"/>
      <c r="KK139"/>
      <c r="KL139"/>
      <c r="KM139"/>
      <c r="KN139"/>
      <c r="KO139"/>
      <c r="KP139"/>
      <c r="KQ139"/>
      <c r="KR139"/>
      <c r="KS139"/>
    </row>
    <row r="140" spans="2:305" hidden="1" x14ac:dyDescent="0.35">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c r="CU140"/>
      <c r="CV140"/>
      <c r="CW140"/>
      <c r="CX140"/>
      <c r="CY140"/>
      <c r="CZ140"/>
      <c r="DA140"/>
      <c r="DB140"/>
      <c r="DC140"/>
      <c r="DD140"/>
      <c r="DE140"/>
      <c r="DF140"/>
      <c r="DG140"/>
      <c r="DH140"/>
      <c r="DI140"/>
      <c r="DJ140"/>
      <c r="DK140"/>
      <c r="DL140"/>
      <c r="DM140"/>
      <c r="DN140"/>
      <c r="DO140"/>
      <c r="DP140"/>
      <c r="DQ140"/>
      <c r="DR140"/>
      <c r="DS140"/>
      <c r="DT140"/>
      <c r="DU140"/>
      <c r="DV140"/>
      <c r="DW140"/>
      <c r="DX140"/>
      <c r="DY140"/>
      <c r="DZ140"/>
      <c r="EA140"/>
      <c r="EB140"/>
      <c r="EC140"/>
      <c r="ED140"/>
      <c r="EE140"/>
      <c r="EF140"/>
      <c r="EG140"/>
      <c r="EH140"/>
      <c r="EI140"/>
      <c r="EJ140"/>
      <c r="EK140"/>
      <c r="EL140"/>
      <c r="EM140"/>
      <c r="EN140"/>
      <c r="EO140"/>
      <c r="EP140"/>
      <c r="EQ140"/>
      <c r="ER140"/>
      <c r="ES140"/>
      <c r="ET140"/>
      <c r="EU140"/>
      <c r="EV140"/>
      <c r="EW140"/>
      <c r="EX140"/>
      <c r="EY140"/>
      <c r="EZ140"/>
      <c r="FA140"/>
      <c r="FB140"/>
      <c r="FC140"/>
      <c r="FD140"/>
      <c r="FE140"/>
      <c r="FF140"/>
      <c r="FG140"/>
      <c r="FH140"/>
      <c r="FI140"/>
      <c r="FJ140"/>
      <c r="FK140"/>
      <c r="FL140"/>
      <c r="FM140"/>
      <c r="FN140"/>
      <c r="FO140"/>
      <c r="FP140"/>
      <c r="FQ140"/>
      <c r="FR140"/>
      <c r="FS140"/>
      <c r="FT140"/>
      <c r="FU140"/>
      <c r="FV140"/>
      <c r="FW140"/>
      <c r="FX140"/>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c r="JA140"/>
      <c r="JB140"/>
      <c r="JC140"/>
      <c r="JD140"/>
      <c r="JE140"/>
      <c r="JF140"/>
      <c r="JG140"/>
      <c r="JH140"/>
      <c r="JI140"/>
      <c r="JJ140"/>
      <c r="JK140"/>
      <c r="JL140"/>
      <c r="JM140"/>
      <c r="JN140"/>
      <c r="JO140"/>
      <c r="JP140"/>
      <c r="JQ140"/>
      <c r="JR140"/>
      <c r="JS140"/>
      <c r="JT140"/>
      <c r="JU140"/>
      <c r="JV140"/>
      <c r="JW140"/>
      <c r="JX140"/>
      <c r="JY140"/>
      <c r="JZ140"/>
      <c r="KA140"/>
      <c r="KB140"/>
      <c r="KC140"/>
      <c r="KD140"/>
      <c r="KE140"/>
      <c r="KF140"/>
      <c r="KG140"/>
      <c r="KH140"/>
      <c r="KI140"/>
      <c r="KJ140"/>
      <c r="KK140"/>
      <c r="KL140"/>
      <c r="KM140"/>
      <c r="KN140"/>
      <c r="KO140"/>
      <c r="KP140"/>
      <c r="KQ140"/>
      <c r="KR140"/>
      <c r="KS140"/>
    </row>
    <row r="141" spans="2:305" hidden="1" x14ac:dyDescent="0.35">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c r="CU141"/>
      <c r="CV141"/>
      <c r="CW141"/>
      <c r="CX141"/>
      <c r="CY141"/>
      <c r="CZ141"/>
      <c r="DA141"/>
      <c r="DB141"/>
      <c r="DC141"/>
      <c r="DD141"/>
      <c r="DE141"/>
      <c r="DF141"/>
      <c r="DG141"/>
      <c r="DH141"/>
      <c r="DI141"/>
      <c r="DJ141"/>
      <c r="DK141"/>
      <c r="DL141"/>
      <c r="DM141"/>
      <c r="DN141"/>
      <c r="DO141"/>
      <c r="DP141"/>
      <c r="DQ141"/>
      <c r="DR141"/>
      <c r="DS141"/>
      <c r="DT141"/>
      <c r="DU141"/>
      <c r="DV141"/>
      <c r="DW141"/>
      <c r="DX141"/>
      <c r="DY141"/>
      <c r="DZ141"/>
      <c r="EA141"/>
      <c r="EB141"/>
      <c r="EC141"/>
      <c r="ED141"/>
      <c r="EE141"/>
      <c r="EF141"/>
      <c r="EG141"/>
      <c r="EH141"/>
      <c r="EI141"/>
      <c r="EJ141"/>
      <c r="EK141"/>
      <c r="EL141"/>
      <c r="EM141"/>
      <c r="EN141"/>
      <c r="EO141"/>
      <c r="EP141"/>
      <c r="EQ141"/>
      <c r="ER141"/>
      <c r="ES141"/>
      <c r="ET141"/>
      <c r="EU141"/>
      <c r="EV141"/>
      <c r="EW141"/>
      <c r="EX141"/>
      <c r="EY141"/>
      <c r="EZ141"/>
      <c r="FA141"/>
      <c r="FB141"/>
      <c r="FC141"/>
      <c r="FD141"/>
      <c r="FE141"/>
      <c r="FF141"/>
      <c r="FG141"/>
      <c r="FH141"/>
      <c r="FI141"/>
      <c r="FJ141"/>
      <c r="FK141"/>
      <c r="FL141"/>
      <c r="FM141"/>
      <c r="FN141"/>
      <c r="FO141"/>
      <c r="FP141"/>
      <c r="FQ141"/>
      <c r="FR141"/>
      <c r="FS141"/>
      <c r="FT141"/>
      <c r="FU141"/>
      <c r="FV141"/>
      <c r="FW141"/>
      <c r="FX141"/>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c r="JA141"/>
      <c r="JB141"/>
      <c r="JC141"/>
      <c r="JD141"/>
      <c r="JE141"/>
      <c r="JF141"/>
      <c r="JG141"/>
      <c r="JH141"/>
      <c r="JI141"/>
      <c r="JJ141"/>
      <c r="JK141"/>
      <c r="JL141"/>
      <c r="JM141"/>
      <c r="JN141"/>
      <c r="JO141"/>
      <c r="JP141"/>
      <c r="JQ141"/>
      <c r="JR141"/>
      <c r="JS141"/>
      <c r="JT141"/>
      <c r="JU141"/>
      <c r="JV141"/>
      <c r="JW141"/>
      <c r="JX141"/>
      <c r="JY141"/>
      <c r="JZ141"/>
      <c r="KA141"/>
      <c r="KB141"/>
      <c r="KC141"/>
      <c r="KD141"/>
      <c r="KE141"/>
      <c r="KF141"/>
      <c r="KG141"/>
      <c r="KH141"/>
      <c r="KI141"/>
      <c r="KJ141"/>
      <c r="KK141"/>
      <c r="KL141"/>
      <c r="KM141"/>
      <c r="KN141"/>
      <c r="KO141"/>
      <c r="KP141"/>
      <c r="KQ141"/>
      <c r="KR141"/>
      <c r="KS141"/>
    </row>
    <row r="142" spans="2:305" hidden="1" x14ac:dyDescent="0.35">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c r="CU142"/>
      <c r="CV142"/>
      <c r="CW142"/>
      <c r="CX142"/>
      <c r="CY142"/>
      <c r="CZ142"/>
      <c r="DA142"/>
      <c r="DB142"/>
      <c r="DC142"/>
      <c r="DD142"/>
      <c r="DE142"/>
      <c r="DF142"/>
      <c r="DG142"/>
      <c r="DH142"/>
      <c r="DI142"/>
      <c r="DJ142"/>
      <c r="DK142"/>
      <c r="DL142"/>
      <c r="DM142"/>
      <c r="DN142"/>
      <c r="DO142"/>
      <c r="DP142"/>
      <c r="DQ142"/>
      <c r="DR142"/>
      <c r="DS142"/>
      <c r="DT142"/>
      <c r="DU142"/>
      <c r="DV142"/>
      <c r="DW142"/>
      <c r="DX142"/>
      <c r="DY142"/>
      <c r="DZ142"/>
      <c r="EA142"/>
      <c r="EB142"/>
      <c r="EC142"/>
      <c r="ED142"/>
      <c r="EE142"/>
      <c r="EF142"/>
      <c r="EG142"/>
      <c r="EH142"/>
      <c r="EI142"/>
      <c r="EJ142"/>
      <c r="EK142"/>
      <c r="EL142"/>
      <c r="EM142"/>
      <c r="EN142"/>
      <c r="EO142"/>
      <c r="EP142"/>
      <c r="EQ142"/>
      <c r="ER142"/>
      <c r="ES142"/>
      <c r="ET142"/>
      <c r="EU142"/>
      <c r="EV142"/>
      <c r="EW142"/>
      <c r="EX142"/>
      <c r="EY142"/>
      <c r="EZ142"/>
      <c r="FA142"/>
      <c r="FB142"/>
      <c r="FC142"/>
      <c r="FD142"/>
      <c r="FE142"/>
      <c r="FF142"/>
      <c r="FG142"/>
      <c r="FH142"/>
      <c r="FI142"/>
      <c r="FJ142"/>
      <c r="FK142"/>
      <c r="FL142"/>
      <c r="FM142"/>
      <c r="FN142"/>
      <c r="FO142"/>
      <c r="FP142"/>
      <c r="FQ142"/>
      <c r="FR142"/>
      <c r="FS142"/>
      <c r="FT142"/>
      <c r="FU142"/>
      <c r="FV142"/>
      <c r="FW142"/>
      <c r="FX142"/>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c r="JA142"/>
      <c r="JB142"/>
      <c r="JC142"/>
      <c r="JD142"/>
      <c r="JE142"/>
      <c r="JF142"/>
      <c r="JG142"/>
      <c r="JH142"/>
      <c r="JI142"/>
      <c r="JJ142"/>
      <c r="JK142"/>
      <c r="JL142"/>
      <c r="JM142"/>
      <c r="JN142"/>
      <c r="JO142"/>
      <c r="JP142"/>
      <c r="JQ142"/>
      <c r="JR142"/>
      <c r="JS142"/>
      <c r="JT142"/>
      <c r="JU142"/>
      <c r="JV142"/>
      <c r="JW142"/>
      <c r="JX142"/>
      <c r="JY142"/>
      <c r="JZ142"/>
      <c r="KA142"/>
      <c r="KB142"/>
      <c r="KC142"/>
      <c r="KD142"/>
      <c r="KE142"/>
      <c r="KF142"/>
      <c r="KG142"/>
      <c r="KH142"/>
      <c r="KI142"/>
      <c r="KJ142"/>
      <c r="KK142"/>
      <c r="KL142"/>
      <c r="KM142"/>
      <c r="KN142"/>
      <c r="KO142"/>
      <c r="KP142"/>
      <c r="KQ142"/>
      <c r="KR142"/>
      <c r="KS142"/>
    </row>
    <row r="143" spans="2:305" hidden="1" x14ac:dyDescent="0.35">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c r="CU143"/>
      <c r="CV143"/>
      <c r="CW143"/>
      <c r="CX143"/>
      <c r="CY143"/>
      <c r="CZ143"/>
      <c r="DA143"/>
      <c r="DB143"/>
      <c r="DC143"/>
      <c r="DD143"/>
      <c r="DE143"/>
      <c r="DF143"/>
      <c r="DG143"/>
      <c r="DH143"/>
      <c r="DI143"/>
      <c r="DJ143"/>
      <c r="DK143"/>
      <c r="DL143"/>
      <c r="DM143"/>
      <c r="DN143"/>
      <c r="DO143"/>
      <c r="DP143"/>
      <c r="DQ143"/>
      <c r="DR143"/>
      <c r="DS143"/>
      <c r="DT143"/>
      <c r="DU143"/>
      <c r="DV143"/>
      <c r="DW143"/>
      <c r="DX143"/>
      <c r="DY143"/>
      <c r="DZ143"/>
      <c r="EA143"/>
      <c r="EB143"/>
      <c r="EC143"/>
      <c r="ED143"/>
      <c r="EE143"/>
      <c r="EF143"/>
      <c r="EG143"/>
      <c r="EH143"/>
      <c r="EI143"/>
      <c r="EJ143"/>
      <c r="EK143"/>
      <c r="EL143"/>
      <c r="EM143"/>
      <c r="EN143"/>
      <c r="EO143"/>
      <c r="EP143"/>
      <c r="EQ143"/>
      <c r="ER143"/>
      <c r="ES143"/>
      <c r="ET143"/>
      <c r="EU143"/>
      <c r="EV143"/>
      <c r="EW143"/>
      <c r="EX143"/>
      <c r="EY143"/>
      <c r="EZ143"/>
      <c r="FA143"/>
      <c r="FB143"/>
      <c r="FC143"/>
      <c r="FD143"/>
      <c r="FE143"/>
      <c r="FF143"/>
      <c r="FG143"/>
      <c r="FH143"/>
      <c r="FI143"/>
      <c r="FJ143"/>
      <c r="FK143"/>
      <c r="FL143"/>
      <c r="FM143"/>
      <c r="FN143"/>
      <c r="FO143"/>
      <c r="FP143"/>
      <c r="FQ143"/>
      <c r="FR143"/>
      <c r="FS143"/>
      <c r="FT143"/>
      <c r="FU143"/>
      <c r="FV143"/>
      <c r="FW143"/>
      <c r="FX143"/>
      <c r="FY143"/>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c r="JA143"/>
      <c r="JB143"/>
      <c r="JC143"/>
      <c r="JD143"/>
      <c r="JE143"/>
      <c r="JF143"/>
      <c r="JG143"/>
      <c r="JH143"/>
      <c r="JI143"/>
      <c r="JJ143"/>
      <c r="JK143"/>
      <c r="JL143"/>
      <c r="JM143"/>
      <c r="JN143"/>
      <c r="JO143"/>
      <c r="JP143"/>
      <c r="JQ143"/>
      <c r="JR143"/>
      <c r="JS143"/>
      <c r="JT143"/>
      <c r="JU143"/>
      <c r="JV143"/>
      <c r="JW143"/>
      <c r="JX143"/>
      <c r="JY143"/>
      <c r="JZ143"/>
      <c r="KA143"/>
      <c r="KB143"/>
      <c r="KC143"/>
      <c r="KD143"/>
      <c r="KE143"/>
      <c r="KF143"/>
      <c r="KG143"/>
      <c r="KH143"/>
      <c r="KI143"/>
      <c r="KJ143"/>
      <c r="KK143"/>
      <c r="KL143"/>
      <c r="KM143"/>
      <c r="KN143"/>
      <c r="KO143"/>
      <c r="KP143"/>
      <c r="KQ143"/>
      <c r="KR143"/>
      <c r="KS143"/>
    </row>
    <row r="144" spans="2:305" hidden="1" x14ac:dyDescent="0.35">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c r="CU144"/>
      <c r="CV144"/>
      <c r="CW144"/>
      <c r="CX144"/>
      <c r="CY144"/>
      <c r="CZ144"/>
      <c r="DA144"/>
      <c r="DB144"/>
      <c r="DC144"/>
      <c r="DD144"/>
      <c r="DE144"/>
      <c r="DF144"/>
      <c r="DG144"/>
      <c r="DH144"/>
      <c r="DI144"/>
      <c r="DJ144"/>
      <c r="DK144"/>
      <c r="DL144"/>
      <c r="DM144"/>
      <c r="DN144"/>
      <c r="DO144"/>
      <c r="DP144"/>
      <c r="DQ144"/>
      <c r="DR144"/>
      <c r="DS144"/>
      <c r="DT144"/>
      <c r="DU144"/>
      <c r="DV144"/>
      <c r="DW144"/>
      <c r="DX144"/>
      <c r="DY144"/>
      <c r="DZ144"/>
      <c r="EA144"/>
      <c r="EB144"/>
      <c r="EC144"/>
      <c r="ED144"/>
      <c r="EE144"/>
      <c r="EF144"/>
      <c r="EG144"/>
      <c r="EH144"/>
      <c r="EI144"/>
      <c r="EJ144"/>
      <c r="EK144"/>
      <c r="EL144"/>
      <c r="EM144"/>
      <c r="EN144"/>
      <c r="EO144"/>
      <c r="EP144"/>
      <c r="EQ144"/>
      <c r="ER144"/>
      <c r="ES144"/>
      <c r="ET144"/>
      <c r="EU144"/>
      <c r="EV144"/>
      <c r="EW144"/>
      <c r="EX144"/>
      <c r="EY144"/>
      <c r="EZ144"/>
      <c r="FA144"/>
      <c r="FB144"/>
      <c r="FC144"/>
      <c r="FD144"/>
      <c r="FE144"/>
      <c r="FF144"/>
      <c r="FG144"/>
      <c r="FH144"/>
      <c r="FI144"/>
      <c r="FJ144"/>
      <c r="FK144"/>
      <c r="FL144"/>
      <c r="FM144"/>
      <c r="FN144"/>
      <c r="FO144"/>
      <c r="FP144"/>
      <c r="FQ144"/>
      <c r="FR144"/>
      <c r="FS144"/>
      <c r="FT144"/>
      <c r="FU144"/>
      <c r="FV144"/>
      <c r="FW144"/>
      <c r="FX144"/>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c r="JA144"/>
      <c r="JB144"/>
      <c r="JC144"/>
      <c r="JD144"/>
      <c r="JE144"/>
      <c r="JF144"/>
      <c r="JG144"/>
      <c r="JH144"/>
      <c r="JI144"/>
      <c r="JJ144"/>
      <c r="JK144"/>
      <c r="JL144"/>
      <c r="JM144"/>
      <c r="JN144"/>
      <c r="JO144"/>
      <c r="JP144"/>
      <c r="JQ144"/>
      <c r="JR144"/>
      <c r="JS144"/>
      <c r="JT144"/>
      <c r="JU144"/>
      <c r="JV144"/>
      <c r="JW144"/>
      <c r="JX144"/>
      <c r="JY144"/>
      <c r="JZ144"/>
      <c r="KA144"/>
      <c r="KB144"/>
      <c r="KC144"/>
      <c r="KD144"/>
      <c r="KE144"/>
      <c r="KF144"/>
      <c r="KG144"/>
      <c r="KH144"/>
      <c r="KI144"/>
      <c r="KJ144"/>
      <c r="KK144"/>
      <c r="KL144"/>
      <c r="KM144"/>
      <c r="KN144"/>
      <c r="KO144"/>
      <c r="KP144"/>
      <c r="KQ144"/>
      <c r="KR144"/>
      <c r="KS144"/>
    </row>
    <row r="145" spans="2:305" hidden="1" x14ac:dyDescent="0.3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c r="CU145"/>
      <c r="CV145"/>
      <c r="CW145"/>
      <c r="CX145"/>
      <c r="CY145"/>
      <c r="CZ145"/>
      <c r="DA145"/>
      <c r="DB145"/>
      <c r="DC145"/>
      <c r="DD145"/>
      <c r="DE145"/>
      <c r="DF145"/>
      <c r="DG145"/>
      <c r="DH145"/>
      <c r="DI145"/>
      <c r="DJ145"/>
      <c r="DK145"/>
      <c r="DL145"/>
      <c r="DM145"/>
      <c r="DN145"/>
      <c r="DO145"/>
      <c r="DP145"/>
      <c r="DQ145"/>
      <c r="DR145"/>
      <c r="DS145"/>
      <c r="DT145"/>
      <c r="DU145"/>
      <c r="DV145"/>
      <c r="DW145"/>
      <c r="DX145"/>
      <c r="DY145"/>
      <c r="DZ145"/>
      <c r="EA145"/>
      <c r="EB145"/>
      <c r="EC145"/>
      <c r="ED145"/>
      <c r="EE145"/>
      <c r="EF145"/>
      <c r="EG145"/>
      <c r="EH145"/>
      <c r="EI145"/>
      <c r="EJ145"/>
      <c r="EK145"/>
      <c r="EL145"/>
      <c r="EM145"/>
      <c r="EN145"/>
      <c r="EO145"/>
      <c r="EP145"/>
      <c r="EQ145"/>
      <c r="ER145"/>
      <c r="ES145"/>
      <c r="ET145"/>
      <c r="EU145"/>
      <c r="EV145"/>
      <c r="EW145"/>
      <c r="EX145"/>
      <c r="EY145"/>
      <c r="EZ145"/>
      <c r="FA145"/>
      <c r="FB145"/>
      <c r="FC145"/>
      <c r="FD145"/>
      <c r="FE145"/>
      <c r="FF145"/>
      <c r="FG145"/>
      <c r="FH145"/>
      <c r="FI145"/>
      <c r="FJ145"/>
      <c r="FK145"/>
      <c r="FL145"/>
      <c r="FM145"/>
      <c r="FN145"/>
      <c r="FO145"/>
      <c r="FP145"/>
      <c r="FQ145"/>
      <c r="FR145"/>
      <c r="FS145"/>
      <c r="FT145"/>
      <c r="FU145"/>
      <c r="FV145"/>
      <c r="FW145"/>
      <c r="FX145"/>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c r="JA145"/>
      <c r="JB145"/>
      <c r="JC145"/>
      <c r="JD145"/>
      <c r="JE145"/>
      <c r="JF145"/>
      <c r="JG145"/>
      <c r="JH145"/>
      <c r="JI145"/>
      <c r="JJ145"/>
      <c r="JK145"/>
      <c r="JL145"/>
      <c r="JM145"/>
      <c r="JN145"/>
      <c r="JO145"/>
      <c r="JP145"/>
      <c r="JQ145"/>
      <c r="JR145"/>
      <c r="JS145"/>
      <c r="JT145"/>
      <c r="JU145"/>
      <c r="JV145"/>
      <c r="JW145"/>
      <c r="JX145"/>
      <c r="JY145"/>
      <c r="JZ145"/>
      <c r="KA145"/>
      <c r="KB145"/>
      <c r="KC145"/>
      <c r="KD145"/>
      <c r="KE145"/>
      <c r="KF145"/>
      <c r="KG145"/>
      <c r="KH145"/>
      <c r="KI145"/>
      <c r="KJ145"/>
      <c r="KK145"/>
      <c r="KL145"/>
      <c r="KM145"/>
      <c r="KN145"/>
      <c r="KO145"/>
      <c r="KP145"/>
      <c r="KQ145"/>
      <c r="KR145"/>
      <c r="KS145"/>
    </row>
    <row r="146" spans="2:305" hidden="1" x14ac:dyDescent="0.35">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c r="CU146"/>
      <c r="CV146"/>
      <c r="CW146"/>
      <c r="CX146"/>
      <c r="CY146"/>
      <c r="CZ146"/>
      <c r="DA146"/>
      <c r="DB146"/>
      <c r="DC146"/>
      <c r="DD146"/>
      <c r="DE146"/>
      <c r="DF146"/>
      <c r="DG146"/>
      <c r="DH146"/>
      <c r="DI146"/>
      <c r="DJ146"/>
      <c r="DK146"/>
      <c r="DL146"/>
      <c r="DM146"/>
      <c r="DN146"/>
      <c r="DO146"/>
      <c r="DP146"/>
      <c r="DQ146"/>
      <c r="DR146"/>
      <c r="DS146"/>
      <c r="DT146"/>
      <c r="DU146"/>
      <c r="DV146"/>
      <c r="DW146"/>
      <c r="DX146"/>
      <c r="DY146"/>
      <c r="DZ146"/>
      <c r="EA146"/>
      <c r="EB146"/>
      <c r="EC146"/>
      <c r="ED146"/>
      <c r="EE146"/>
      <c r="EF146"/>
      <c r="EG146"/>
      <c r="EH146"/>
      <c r="EI146"/>
      <c r="EJ146"/>
      <c r="EK146"/>
      <c r="EL146"/>
      <c r="EM146"/>
      <c r="EN146"/>
      <c r="EO146"/>
      <c r="EP146"/>
      <c r="EQ146"/>
      <c r="ER146"/>
      <c r="ES146"/>
      <c r="ET146"/>
      <c r="EU146"/>
      <c r="EV146"/>
      <c r="EW146"/>
      <c r="EX146"/>
      <c r="EY146"/>
      <c r="EZ146"/>
      <c r="FA146"/>
      <c r="FB146"/>
      <c r="FC146"/>
      <c r="FD146"/>
      <c r="FE146"/>
      <c r="FF146"/>
      <c r="FG146"/>
      <c r="FH146"/>
      <c r="FI146"/>
      <c r="FJ146"/>
      <c r="FK146"/>
      <c r="FL146"/>
      <c r="FM146"/>
      <c r="FN146"/>
      <c r="FO146"/>
      <c r="FP146"/>
      <c r="FQ146"/>
      <c r="FR146"/>
      <c r="FS146"/>
      <c r="FT146"/>
      <c r="FU146"/>
      <c r="FV146"/>
      <c r="FW146"/>
      <c r="FX14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c r="JA146"/>
      <c r="JB146"/>
      <c r="JC146"/>
      <c r="JD146"/>
      <c r="JE146"/>
      <c r="JF146"/>
      <c r="JG146"/>
      <c r="JH146"/>
      <c r="JI146"/>
      <c r="JJ146"/>
      <c r="JK146"/>
      <c r="JL146"/>
      <c r="JM146"/>
      <c r="JN146"/>
      <c r="JO146"/>
      <c r="JP146"/>
      <c r="JQ146"/>
      <c r="JR146"/>
      <c r="JS146"/>
      <c r="JT146"/>
      <c r="JU146"/>
      <c r="JV146"/>
      <c r="JW146"/>
      <c r="JX146"/>
      <c r="JY146"/>
      <c r="JZ146"/>
      <c r="KA146"/>
      <c r="KB146"/>
      <c r="KC146"/>
      <c r="KD146"/>
      <c r="KE146"/>
      <c r="KF146"/>
      <c r="KG146"/>
      <c r="KH146"/>
      <c r="KI146"/>
      <c r="KJ146"/>
      <c r="KK146"/>
      <c r="KL146"/>
      <c r="KM146"/>
      <c r="KN146"/>
      <c r="KO146"/>
      <c r="KP146"/>
      <c r="KQ146"/>
      <c r="KR146"/>
      <c r="KS146"/>
    </row>
    <row r="147" spans="2:305" hidden="1" x14ac:dyDescent="0.35">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c r="CU147"/>
      <c r="CV147"/>
      <c r="CW147"/>
      <c r="CX147"/>
      <c r="CY147"/>
      <c r="CZ147"/>
      <c r="DA147"/>
      <c r="DB147"/>
      <c r="DC147"/>
      <c r="DD147"/>
      <c r="DE147"/>
      <c r="DF147"/>
      <c r="DG147"/>
      <c r="DH147"/>
      <c r="DI147"/>
      <c r="DJ147"/>
      <c r="DK147"/>
      <c r="DL147"/>
      <c r="DM147"/>
      <c r="DN147"/>
      <c r="DO147"/>
      <c r="DP147"/>
      <c r="DQ147"/>
      <c r="DR147"/>
      <c r="DS147"/>
      <c r="DT147"/>
      <c r="DU147"/>
      <c r="DV147"/>
      <c r="DW147"/>
      <c r="DX147"/>
      <c r="DY147"/>
      <c r="DZ147"/>
      <c r="EA147"/>
      <c r="EB147"/>
      <c r="EC147"/>
      <c r="ED147"/>
      <c r="EE147"/>
      <c r="EF147"/>
      <c r="EG147"/>
      <c r="EH147"/>
      <c r="EI147"/>
      <c r="EJ147"/>
      <c r="EK147"/>
      <c r="EL147"/>
      <c r="EM147"/>
      <c r="EN147"/>
      <c r="EO147"/>
      <c r="EP147"/>
      <c r="EQ147"/>
      <c r="ER147"/>
      <c r="ES147"/>
      <c r="ET147"/>
      <c r="EU147"/>
      <c r="EV147"/>
      <c r="EW147"/>
      <c r="EX147"/>
      <c r="EY147"/>
      <c r="EZ147"/>
      <c r="FA147"/>
      <c r="FB147"/>
      <c r="FC147"/>
      <c r="FD147"/>
      <c r="FE147"/>
      <c r="FF147"/>
      <c r="FG147"/>
      <c r="FH147"/>
      <c r="FI147"/>
      <c r="FJ147"/>
      <c r="FK147"/>
      <c r="FL147"/>
      <c r="FM147"/>
      <c r="FN147"/>
      <c r="FO147"/>
      <c r="FP147"/>
      <c r="FQ147"/>
      <c r="FR147"/>
      <c r="FS147"/>
      <c r="FT147"/>
      <c r="FU147"/>
      <c r="FV147"/>
      <c r="FW147"/>
      <c r="FX147"/>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c r="JA147"/>
      <c r="JB147"/>
      <c r="JC147"/>
      <c r="JD147"/>
      <c r="JE147"/>
      <c r="JF147"/>
      <c r="JG147"/>
      <c r="JH147"/>
      <c r="JI147"/>
      <c r="JJ147"/>
      <c r="JK147"/>
      <c r="JL147"/>
      <c r="JM147"/>
      <c r="JN147"/>
      <c r="JO147"/>
      <c r="JP147"/>
      <c r="JQ147"/>
      <c r="JR147"/>
      <c r="JS147"/>
      <c r="JT147"/>
      <c r="JU147"/>
      <c r="JV147"/>
      <c r="JW147"/>
      <c r="JX147"/>
      <c r="JY147"/>
      <c r="JZ147"/>
      <c r="KA147"/>
      <c r="KB147"/>
      <c r="KC147"/>
      <c r="KD147"/>
      <c r="KE147"/>
      <c r="KF147"/>
      <c r="KG147"/>
      <c r="KH147"/>
      <c r="KI147"/>
      <c r="KJ147"/>
      <c r="KK147"/>
      <c r="KL147"/>
      <c r="KM147"/>
      <c r="KN147"/>
      <c r="KO147"/>
      <c r="KP147"/>
      <c r="KQ147"/>
      <c r="KR147"/>
      <c r="KS147"/>
    </row>
    <row r="148" spans="2:305" hidden="1" x14ac:dyDescent="0.35">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c r="CU148"/>
      <c r="CV148"/>
      <c r="CW148"/>
      <c r="CX148"/>
      <c r="CY148"/>
      <c r="CZ148"/>
      <c r="DA148"/>
      <c r="DB148"/>
      <c r="DC148"/>
      <c r="DD148"/>
      <c r="DE148"/>
      <c r="DF148"/>
      <c r="DG148"/>
      <c r="DH148"/>
      <c r="DI148"/>
      <c r="DJ148"/>
      <c r="DK148"/>
      <c r="DL148"/>
      <c r="DM148"/>
      <c r="DN148"/>
      <c r="DO148"/>
      <c r="DP148"/>
      <c r="DQ148"/>
      <c r="DR148"/>
      <c r="DS148"/>
      <c r="DT148"/>
      <c r="DU148"/>
      <c r="DV148"/>
      <c r="DW148"/>
      <c r="DX148"/>
      <c r="DY148"/>
      <c r="DZ148"/>
      <c r="EA148"/>
      <c r="EB148"/>
      <c r="EC148"/>
      <c r="ED148"/>
      <c r="EE148"/>
      <c r="EF148"/>
      <c r="EG148"/>
      <c r="EH148"/>
      <c r="EI148"/>
      <c r="EJ148"/>
      <c r="EK148"/>
      <c r="EL148"/>
      <c r="EM148"/>
      <c r="EN148"/>
      <c r="EO148"/>
      <c r="EP148"/>
      <c r="EQ148"/>
      <c r="ER148"/>
      <c r="ES148"/>
      <c r="ET148"/>
      <c r="EU148"/>
      <c r="EV148"/>
      <c r="EW148"/>
      <c r="EX148"/>
      <c r="EY148"/>
      <c r="EZ148"/>
      <c r="FA148"/>
      <c r="FB148"/>
      <c r="FC148"/>
      <c r="FD148"/>
      <c r="FE148"/>
      <c r="FF148"/>
      <c r="FG148"/>
      <c r="FH148"/>
      <c r="FI148"/>
      <c r="FJ148"/>
      <c r="FK148"/>
      <c r="FL148"/>
      <c r="FM148"/>
      <c r="FN148"/>
      <c r="FO148"/>
      <c r="FP148"/>
      <c r="FQ148"/>
      <c r="FR148"/>
      <c r="FS148"/>
      <c r="FT148"/>
      <c r="FU148"/>
      <c r="FV148"/>
      <c r="FW148"/>
      <c r="FX148"/>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c r="JA148"/>
      <c r="JB148"/>
      <c r="JC148"/>
      <c r="JD148"/>
      <c r="JE148"/>
      <c r="JF148"/>
      <c r="JG148"/>
      <c r="JH148"/>
      <c r="JI148"/>
      <c r="JJ148"/>
      <c r="JK148"/>
      <c r="JL148"/>
      <c r="JM148"/>
      <c r="JN148"/>
      <c r="JO148"/>
      <c r="JP148"/>
      <c r="JQ148"/>
      <c r="JR148"/>
      <c r="JS148"/>
      <c r="JT148"/>
      <c r="JU148"/>
      <c r="JV148"/>
      <c r="JW148"/>
      <c r="JX148"/>
      <c r="JY148"/>
      <c r="JZ148"/>
      <c r="KA148"/>
      <c r="KB148"/>
      <c r="KC148"/>
      <c r="KD148"/>
      <c r="KE148"/>
      <c r="KF148"/>
      <c r="KG148"/>
      <c r="KH148"/>
      <c r="KI148"/>
      <c r="KJ148"/>
      <c r="KK148"/>
      <c r="KL148"/>
      <c r="KM148"/>
      <c r="KN148"/>
      <c r="KO148"/>
      <c r="KP148"/>
      <c r="KQ148"/>
      <c r="KR148"/>
      <c r="KS148"/>
    </row>
    <row r="149" spans="2:305" hidden="1" x14ac:dyDescent="0.35">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c r="CU149"/>
      <c r="CV149"/>
      <c r="CW149"/>
      <c r="CX149"/>
      <c r="CY149"/>
      <c r="CZ149"/>
      <c r="DA149"/>
      <c r="DB149"/>
      <c r="DC149"/>
      <c r="DD149"/>
      <c r="DE149"/>
      <c r="DF149"/>
      <c r="DG149"/>
      <c r="DH149"/>
      <c r="DI149"/>
      <c r="DJ149"/>
      <c r="DK149"/>
      <c r="DL149"/>
      <c r="DM149"/>
      <c r="DN149"/>
      <c r="DO149"/>
      <c r="DP149"/>
      <c r="DQ149"/>
      <c r="DR149"/>
      <c r="DS149"/>
      <c r="DT149"/>
      <c r="DU149"/>
      <c r="DV149"/>
      <c r="DW149"/>
      <c r="DX149"/>
      <c r="DY149"/>
      <c r="DZ149"/>
      <c r="EA149"/>
      <c r="EB149"/>
      <c r="EC149"/>
      <c r="ED149"/>
      <c r="EE149"/>
      <c r="EF149"/>
      <c r="EG149"/>
      <c r="EH149"/>
      <c r="EI149"/>
      <c r="EJ149"/>
      <c r="EK149"/>
      <c r="EL149"/>
      <c r="EM149"/>
      <c r="EN149"/>
      <c r="EO149"/>
      <c r="EP149"/>
      <c r="EQ149"/>
      <c r="ER149"/>
      <c r="ES149"/>
      <c r="ET149"/>
      <c r="EU149"/>
      <c r="EV149"/>
      <c r="EW149"/>
      <c r="EX149"/>
      <c r="EY149"/>
      <c r="EZ149"/>
      <c r="FA149"/>
      <c r="FB149"/>
      <c r="FC149"/>
      <c r="FD149"/>
      <c r="FE149"/>
      <c r="FF149"/>
      <c r="FG149"/>
      <c r="FH149"/>
      <c r="FI149"/>
      <c r="FJ149"/>
      <c r="FK149"/>
      <c r="FL149"/>
      <c r="FM149"/>
      <c r="FN149"/>
      <c r="FO149"/>
      <c r="FP149"/>
      <c r="FQ149"/>
      <c r="FR149"/>
      <c r="FS149"/>
      <c r="FT149"/>
      <c r="FU149"/>
      <c r="FV149"/>
      <c r="FW149"/>
      <c r="FX149"/>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c r="JA149"/>
      <c r="JB149"/>
      <c r="JC149"/>
      <c r="JD149"/>
      <c r="JE149"/>
      <c r="JF149"/>
      <c r="JG149"/>
      <c r="JH149"/>
      <c r="JI149"/>
      <c r="JJ149"/>
      <c r="JK149"/>
      <c r="JL149"/>
      <c r="JM149"/>
      <c r="JN149"/>
      <c r="JO149"/>
      <c r="JP149"/>
      <c r="JQ149"/>
      <c r="JR149"/>
      <c r="JS149"/>
      <c r="JT149"/>
      <c r="JU149"/>
      <c r="JV149"/>
      <c r="JW149"/>
      <c r="JX149"/>
      <c r="JY149"/>
      <c r="JZ149"/>
      <c r="KA149"/>
      <c r="KB149"/>
      <c r="KC149"/>
      <c r="KD149"/>
      <c r="KE149"/>
      <c r="KF149"/>
      <c r="KG149"/>
      <c r="KH149"/>
      <c r="KI149"/>
      <c r="KJ149"/>
      <c r="KK149"/>
      <c r="KL149"/>
      <c r="KM149"/>
      <c r="KN149"/>
      <c r="KO149"/>
      <c r="KP149"/>
      <c r="KQ149"/>
      <c r="KR149"/>
      <c r="KS149"/>
    </row>
    <row r="150" spans="2:305" hidden="1" x14ac:dyDescent="0.35">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c r="CU150"/>
      <c r="CV150"/>
      <c r="CW150"/>
      <c r="CX150"/>
      <c r="CY150"/>
      <c r="CZ150"/>
      <c r="DA150"/>
      <c r="DB150"/>
      <c r="DC150"/>
      <c r="DD150"/>
      <c r="DE150"/>
      <c r="DF150"/>
      <c r="DG150"/>
      <c r="DH150"/>
      <c r="DI150"/>
      <c r="DJ150"/>
      <c r="DK150"/>
      <c r="DL150"/>
      <c r="DM150"/>
      <c r="DN150"/>
      <c r="DO150"/>
      <c r="DP150"/>
      <c r="DQ150"/>
      <c r="DR150"/>
      <c r="DS150"/>
      <c r="DT150"/>
      <c r="DU150"/>
      <c r="DV150"/>
      <c r="DW150"/>
      <c r="DX150"/>
      <c r="DY150"/>
      <c r="DZ150"/>
      <c r="EA150"/>
      <c r="EB150"/>
      <c r="EC150"/>
      <c r="ED150"/>
      <c r="EE150"/>
      <c r="EF150"/>
      <c r="EG150"/>
      <c r="EH150"/>
      <c r="EI150"/>
      <c r="EJ150"/>
      <c r="EK150"/>
      <c r="EL150"/>
      <c r="EM150"/>
      <c r="EN150"/>
      <c r="EO150"/>
      <c r="EP150"/>
      <c r="EQ150"/>
      <c r="ER150"/>
      <c r="ES150"/>
      <c r="ET150"/>
      <c r="EU150"/>
      <c r="EV150"/>
      <c r="EW150"/>
      <c r="EX150"/>
      <c r="EY150"/>
      <c r="EZ150"/>
      <c r="FA150"/>
      <c r="FB150"/>
      <c r="FC150"/>
      <c r="FD150"/>
      <c r="FE150"/>
      <c r="FF150"/>
      <c r="FG150"/>
      <c r="FH150"/>
      <c r="FI150"/>
      <c r="FJ150"/>
      <c r="FK150"/>
      <c r="FL150"/>
      <c r="FM150"/>
      <c r="FN150"/>
      <c r="FO150"/>
      <c r="FP150"/>
      <c r="FQ150"/>
      <c r="FR150"/>
      <c r="FS150"/>
      <c r="FT150"/>
      <c r="FU150"/>
      <c r="FV150"/>
      <c r="FW150"/>
      <c r="FX150"/>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c r="JA150"/>
      <c r="JB150"/>
      <c r="JC150"/>
      <c r="JD150"/>
      <c r="JE150"/>
      <c r="JF150"/>
      <c r="JG150"/>
      <c r="JH150"/>
      <c r="JI150"/>
      <c r="JJ150"/>
      <c r="JK150"/>
      <c r="JL150"/>
      <c r="JM150"/>
      <c r="JN150"/>
      <c r="JO150"/>
      <c r="JP150"/>
      <c r="JQ150"/>
      <c r="JR150"/>
      <c r="JS150"/>
      <c r="JT150"/>
      <c r="JU150"/>
      <c r="JV150"/>
      <c r="JW150"/>
      <c r="JX150"/>
      <c r="JY150"/>
      <c r="JZ150"/>
      <c r="KA150"/>
      <c r="KB150"/>
      <c r="KC150"/>
      <c r="KD150"/>
      <c r="KE150"/>
      <c r="KF150"/>
      <c r="KG150"/>
      <c r="KH150"/>
      <c r="KI150"/>
      <c r="KJ150"/>
      <c r="KK150"/>
      <c r="KL150"/>
      <c r="KM150"/>
      <c r="KN150"/>
      <c r="KO150"/>
      <c r="KP150"/>
      <c r="KQ150"/>
      <c r="KR150"/>
      <c r="KS150"/>
    </row>
    <row r="151" spans="2:305" hidden="1" x14ac:dyDescent="0.35">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c r="CU151"/>
      <c r="CV151"/>
      <c r="CW151"/>
      <c r="CX151"/>
      <c r="CY151"/>
      <c r="CZ151"/>
      <c r="DA151"/>
      <c r="DB151"/>
      <c r="DC151"/>
      <c r="DD151"/>
      <c r="DE151"/>
      <c r="DF151"/>
      <c r="DG151"/>
      <c r="DH151"/>
      <c r="DI151"/>
      <c r="DJ151"/>
      <c r="DK151"/>
      <c r="DL151"/>
      <c r="DM151"/>
      <c r="DN151"/>
      <c r="DO151"/>
      <c r="DP151"/>
      <c r="DQ151"/>
      <c r="DR151"/>
      <c r="DS151"/>
      <c r="DT151"/>
      <c r="DU151"/>
      <c r="DV151"/>
      <c r="DW151"/>
      <c r="DX151"/>
      <c r="DY151"/>
      <c r="DZ151"/>
      <c r="EA151"/>
      <c r="EB151"/>
      <c r="EC151"/>
      <c r="ED151"/>
      <c r="EE151"/>
      <c r="EF151"/>
      <c r="EG151"/>
      <c r="EH151"/>
      <c r="EI151"/>
      <c r="EJ151"/>
      <c r="EK151"/>
      <c r="EL151"/>
      <c r="EM151"/>
      <c r="EN151"/>
      <c r="EO151"/>
      <c r="EP151"/>
      <c r="EQ151"/>
      <c r="ER151"/>
      <c r="ES151"/>
      <c r="ET151"/>
      <c r="EU151"/>
      <c r="EV151"/>
      <c r="EW151"/>
      <c r="EX151"/>
      <c r="EY151"/>
      <c r="EZ151"/>
      <c r="FA151"/>
      <c r="FB151"/>
      <c r="FC151"/>
      <c r="FD151"/>
      <c r="FE151"/>
      <c r="FF151"/>
      <c r="FG151"/>
      <c r="FH151"/>
      <c r="FI151"/>
      <c r="FJ151"/>
      <c r="FK151"/>
      <c r="FL151"/>
      <c r="FM151"/>
      <c r="FN151"/>
      <c r="FO151"/>
      <c r="FP151"/>
      <c r="FQ151"/>
      <c r="FR151"/>
      <c r="FS151"/>
      <c r="FT151"/>
      <c r="FU151"/>
      <c r="FV151"/>
      <c r="FW151"/>
      <c r="FX151"/>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c r="JA151"/>
      <c r="JB151"/>
      <c r="JC151"/>
      <c r="JD151"/>
      <c r="JE151"/>
      <c r="JF151"/>
      <c r="JG151"/>
      <c r="JH151"/>
      <c r="JI151"/>
      <c r="JJ151"/>
      <c r="JK151"/>
      <c r="JL151"/>
      <c r="JM151"/>
      <c r="JN151"/>
      <c r="JO151"/>
      <c r="JP151"/>
      <c r="JQ151"/>
      <c r="JR151"/>
      <c r="JS151"/>
      <c r="JT151"/>
      <c r="JU151"/>
      <c r="JV151"/>
      <c r="JW151"/>
      <c r="JX151"/>
      <c r="JY151"/>
      <c r="JZ151"/>
      <c r="KA151"/>
      <c r="KB151"/>
      <c r="KC151"/>
      <c r="KD151"/>
      <c r="KE151"/>
      <c r="KF151"/>
      <c r="KG151"/>
      <c r="KH151"/>
      <c r="KI151"/>
      <c r="KJ151"/>
      <c r="KK151"/>
      <c r="KL151"/>
      <c r="KM151"/>
      <c r="KN151"/>
      <c r="KO151"/>
      <c r="KP151"/>
      <c r="KQ151"/>
      <c r="KR151"/>
      <c r="KS151"/>
    </row>
    <row r="152" spans="2:305" hidden="1" x14ac:dyDescent="0.35">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c r="CU152"/>
      <c r="CV152"/>
      <c r="CW152"/>
      <c r="CX152"/>
      <c r="CY152"/>
      <c r="CZ152"/>
      <c r="DA152"/>
      <c r="DB152"/>
      <c r="DC152"/>
      <c r="DD152"/>
      <c r="DE152"/>
      <c r="DF152"/>
      <c r="DG152"/>
      <c r="DH152"/>
      <c r="DI152"/>
      <c r="DJ152"/>
      <c r="DK152"/>
      <c r="DL152"/>
      <c r="DM152"/>
      <c r="DN152"/>
      <c r="DO152"/>
      <c r="DP152"/>
      <c r="DQ152"/>
      <c r="DR152"/>
      <c r="DS152"/>
      <c r="DT152"/>
      <c r="DU152"/>
      <c r="DV152"/>
      <c r="DW152"/>
      <c r="DX152"/>
      <c r="DY152"/>
      <c r="DZ152"/>
      <c r="EA152"/>
      <c r="EB152"/>
      <c r="EC152"/>
      <c r="ED152"/>
      <c r="EE152"/>
      <c r="EF152"/>
      <c r="EG152"/>
      <c r="EH152"/>
      <c r="EI152"/>
      <c r="EJ152"/>
      <c r="EK152"/>
      <c r="EL152"/>
      <c r="EM152"/>
      <c r="EN152"/>
      <c r="EO152"/>
      <c r="EP152"/>
      <c r="EQ152"/>
      <c r="ER152"/>
      <c r="ES152"/>
      <c r="ET152"/>
      <c r="EU152"/>
      <c r="EV152"/>
      <c r="EW152"/>
      <c r="EX152"/>
      <c r="EY152"/>
      <c r="EZ152"/>
      <c r="FA152"/>
      <c r="FB152"/>
      <c r="FC152"/>
      <c r="FD152"/>
      <c r="FE152"/>
      <c r="FF152"/>
      <c r="FG152"/>
      <c r="FH152"/>
      <c r="FI152"/>
      <c r="FJ152"/>
      <c r="FK152"/>
      <c r="FL152"/>
      <c r="FM152"/>
      <c r="FN152"/>
      <c r="FO152"/>
      <c r="FP152"/>
      <c r="FQ152"/>
      <c r="FR152"/>
      <c r="FS152"/>
      <c r="FT152"/>
      <c r="FU152"/>
      <c r="FV152"/>
      <c r="FW152"/>
      <c r="FX152"/>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c r="JA152"/>
      <c r="JB152"/>
      <c r="JC152"/>
      <c r="JD152"/>
      <c r="JE152"/>
      <c r="JF152"/>
      <c r="JG152"/>
      <c r="JH152"/>
      <c r="JI152"/>
      <c r="JJ152"/>
      <c r="JK152"/>
      <c r="JL152"/>
      <c r="JM152"/>
      <c r="JN152"/>
      <c r="JO152"/>
      <c r="JP152"/>
      <c r="JQ152"/>
      <c r="JR152"/>
      <c r="JS152"/>
      <c r="JT152"/>
      <c r="JU152"/>
      <c r="JV152"/>
      <c r="JW152"/>
      <c r="JX152"/>
      <c r="JY152"/>
      <c r="JZ152"/>
      <c r="KA152"/>
      <c r="KB152"/>
      <c r="KC152"/>
      <c r="KD152"/>
      <c r="KE152"/>
      <c r="KF152"/>
      <c r="KG152"/>
      <c r="KH152"/>
      <c r="KI152"/>
      <c r="KJ152"/>
      <c r="KK152"/>
      <c r="KL152"/>
      <c r="KM152"/>
      <c r="KN152"/>
      <c r="KO152"/>
      <c r="KP152"/>
      <c r="KQ152"/>
      <c r="KR152"/>
      <c r="KS152"/>
    </row>
    <row r="153" spans="2:305" hidden="1" x14ac:dyDescent="0.35">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c r="CU153"/>
      <c r="CV153"/>
      <c r="CW153"/>
      <c r="CX153"/>
      <c r="CY153"/>
      <c r="CZ153"/>
      <c r="DA153"/>
      <c r="DB153"/>
      <c r="DC153"/>
      <c r="DD153"/>
      <c r="DE153"/>
      <c r="DF153"/>
      <c r="DG153"/>
      <c r="DH153"/>
      <c r="DI153"/>
      <c r="DJ153"/>
      <c r="DK153"/>
      <c r="DL153"/>
      <c r="DM153"/>
      <c r="DN153"/>
      <c r="DO153"/>
      <c r="DP153"/>
      <c r="DQ153"/>
      <c r="DR153"/>
      <c r="DS153"/>
      <c r="DT153"/>
      <c r="DU153"/>
      <c r="DV153"/>
      <c r="DW153"/>
      <c r="DX153"/>
      <c r="DY153"/>
      <c r="DZ153"/>
      <c r="EA153"/>
      <c r="EB153"/>
      <c r="EC153"/>
      <c r="ED153"/>
      <c r="EE153"/>
      <c r="EF153"/>
      <c r="EG153"/>
      <c r="EH153"/>
      <c r="EI153"/>
      <c r="EJ153"/>
      <c r="EK153"/>
      <c r="EL153"/>
      <c r="EM153"/>
      <c r="EN153"/>
      <c r="EO153"/>
      <c r="EP153"/>
      <c r="EQ153"/>
      <c r="ER153"/>
      <c r="ES153"/>
      <c r="ET153"/>
      <c r="EU153"/>
      <c r="EV153"/>
      <c r="EW153"/>
      <c r="EX153"/>
      <c r="EY153"/>
      <c r="EZ153"/>
      <c r="FA153"/>
      <c r="FB153"/>
      <c r="FC153"/>
      <c r="FD153"/>
      <c r="FE153"/>
      <c r="FF153"/>
      <c r="FG153"/>
      <c r="FH153"/>
      <c r="FI153"/>
      <c r="FJ153"/>
      <c r="FK153"/>
      <c r="FL153"/>
      <c r="FM153"/>
      <c r="FN153"/>
      <c r="FO153"/>
      <c r="FP153"/>
      <c r="FQ153"/>
      <c r="FR153"/>
      <c r="FS153"/>
      <c r="FT153"/>
      <c r="FU153"/>
      <c r="FV153"/>
      <c r="FW153"/>
      <c r="FX153"/>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c r="JA153"/>
      <c r="JB153"/>
      <c r="JC153"/>
      <c r="JD153"/>
      <c r="JE153"/>
      <c r="JF153"/>
      <c r="JG153"/>
      <c r="JH153"/>
      <c r="JI153"/>
      <c r="JJ153"/>
      <c r="JK153"/>
      <c r="JL153"/>
      <c r="JM153"/>
      <c r="JN153"/>
      <c r="JO153"/>
      <c r="JP153"/>
      <c r="JQ153"/>
      <c r="JR153"/>
      <c r="JS153"/>
      <c r="JT153"/>
      <c r="JU153"/>
      <c r="JV153"/>
      <c r="JW153"/>
      <c r="JX153"/>
      <c r="JY153"/>
      <c r="JZ153"/>
      <c r="KA153"/>
      <c r="KB153"/>
      <c r="KC153"/>
      <c r="KD153"/>
      <c r="KE153"/>
      <c r="KF153"/>
      <c r="KG153"/>
      <c r="KH153"/>
      <c r="KI153"/>
      <c r="KJ153"/>
      <c r="KK153"/>
      <c r="KL153"/>
      <c r="KM153"/>
      <c r="KN153"/>
      <c r="KO153"/>
      <c r="KP153"/>
      <c r="KQ153"/>
      <c r="KR153"/>
      <c r="KS153"/>
    </row>
    <row r="154" spans="2:305" hidden="1" x14ac:dyDescent="0.35">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c r="DO154"/>
      <c r="DP154"/>
      <c r="DQ154"/>
      <c r="DR154"/>
      <c r="DS154"/>
      <c r="DT154"/>
      <c r="DU154"/>
      <c r="DV154"/>
      <c r="DW154"/>
      <c r="DX154"/>
      <c r="DY154"/>
      <c r="DZ154"/>
      <c r="EA154"/>
      <c r="EB154"/>
      <c r="EC154"/>
      <c r="ED154"/>
      <c r="EE154"/>
      <c r="EF154"/>
      <c r="EG154"/>
      <c r="EH154"/>
      <c r="EI154"/>
      <c r="EJ154"/>
      <c r="EK154"/>
      <c r="EL154"/>
      <c r="EM154"/>
      <c r="EN154"/>
      <c r="EO154"/>
      <c r="EP154"/>
      <c r="EQ154"/>
      <c r="ER154"/>
      <c r="ES154"/>
      <c r="ET154"/>
      <c r="EU154"/>
      <c r="EV154"/>
      <c r="EW154"/>
      <c r="EX154"/>
      <c r="EY154"/>
      <c r="EZ154"/>
      <c r="FA154"/>
      <c r="FB154"/>
      <c r="FC154"/>
      <c r="FD154"/>
      <c r="FE154"/>
      <c r="FF154"/>
      <c r="FG154"/>
      <c r="FH154"/>
      <c r="FI154"/>
      <c r="FJ154"/>
      <c r="FK154"/>
      <c r="FL154"/>
      <c r="FM154"/>
      <c r="FN154"/>
      <c r="FO154"/>
      <c r="FP154"/>
      <c r="FQ154"/>
      <c r="FR154"/>
      <c r="FS154"/>
      <c r="FT154"/>
      <c r="FU154"/>
      <c r="FV154"/>
      <c r="FW154"/>
      <c r="FX154"/>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c r="JA154"/>
      <c r="JB154"/>
      <c r="JC154"/>
      <c r="JD154"/>
      <c r="JE154"/>
      <c r="JF154"/>
      <c r="JG154"/>
      <c r="JH154"/>
      <c r="JI154"/>
      <c r="JJ154"/>
      <c r="JK154"/>
      <c r="JL154"/>
      <c r="JM154"/>
      <c r="JN154"/>
      <c r="JO154"/>
      <c r="JP154"/>
      <c r="JQ154"/>
      <c r="JR154"/>
      <c r="JS154"/>
      <c r="JT154"/>
      <c r="JU154"/>
      <c r="JV154"/>
      <c r="JW154"/>
      <c r="JX154"/>
      <c r="JY154"/>
      <c r="JZ154"/>
      <c r="KA154"/>
      <c r="KB154"/>
      <c r="KC154"/>
      <c r="KD154"/>
      <c r="KE154"/>
      <c r="KF154"/>
      <c r="KG154"/>
      <c r="KH154"/>
      <c r="KI154"/>
      <c r="KJ154"/>
      <c r="KK154"/>
      <c r="KL154"/>
      <c r="KM154"/>
      <c r="KN154"/>
      <c r="KO154"/>
      <c r="KP154"/>
      <c r="KQ154"/>
      <c r="KR154"/>
      <c r="KS154"/>
    </row>
    <row r="155" spans="2:305" hidden="1" x14ac:dyDescent="0.3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c r="CU155"/>
      <c r="CV155"/>
      <c r="CW155"/>
      <c r="CX155"/>
      <c r="CY155"/>
      <c r="CZ155"/>
      <c r="DA155"/>
      <c r="DB155"/>
      <c r="DC155"/>
      <c r="DD155"/>
      <c r="DE155"/>
      <c r="DF155"/>
      <c r="DG155"/>
      <c r="DH155"/>
      <c r="DI155"/>
      <c r="DJ155"/>
      <c r="DK155"/>
      <c r="DL155"/>
      <c r="DM155"/>
      <c r="DN155"/>
      <c r="DO155"/>
      <c r="DP155"/>
      <c r="DQ155"/>
      <c r="DR155"/>
      <c r="DS155"/>
      <c r="DT155"/>
      <c r="DU155"/>
      <c r="DV155"/>
      <c r="DW155"/>
      <c r="DX155"/>
      <c r="DY155"/>
      <c r="DZ155"/>
      <c r="EA155"/>
      <c r="EB155"/>
      <c r="EC155"/>
      <c r="ED155"/>
      <c r="EE155"/>
      <c r="EF155"/>
      <c r="EG155"/>
      <c r="EH155"/>
      <c r="EI155"/>
      <c r="EJ155"/>
      <c r="EK155"/>
      <c r="EL155"/>
      <c r="EM155"/>
      <c r="EN155"/>
      <c r="EO155"/>
      <c r="EP155"/>
      <c r="EQ155"/>
      <c r="ER155"/>
      <c r="ES155"/>
      <c r="ET155"/>
      <c r="EU155"/>
      <c r="EV155"/>
      <c r="EW155"/>
      <c r="EX155"/>
      <c r="EY155"/>
      <c r="EZ155"/>
      <c r="FA155"/>
      <c r="FB155"/>
      <c r="FC155"/>
      <c r="FD155"/>
      <c r="FE155"/>
      <c r="FF155"/>
      <c r="FG155"/>
      <c r="FH155"/>
      <c r="FI155"/>
      <c r="FJ155"/>
      <c r="FK155"/>
      <c r="FL155"/>
      <c r="FM155"/>
      <c r="FN155"/>
      <c r="FO155"/>
      <c r="FP155"/>
      <c r="FQ155"/>
      <c r="FR155"/>
      <c r="FS155"/>
      <c r="FT155"/>
      <c r="FU155"/>
      <c r="FV155"/>
      <c r="FW155"/>
      <c r="FX155"/>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c r="JA155"/>
      <c r="JB155"/>
      <c r="JC155"/>
      <c r="JD155"/>
      <c r="JE155"/>
      <c r="JF155"/>
      <c r="JG155"/>
      <c r="JH155"/>
      <c r="JI155"/>
      <c r="JJ155"/>
      <c r="JK155"/>
      <c r="JL155"/>
      <c r="JM155"/>
      <c r="JN155"/>
      <c r="JO155"/>
      <c r="JP155"/>
      <c r="JQ155"/>
      <c r="JR155"/>
      <c r="JS155"/>
      <c r="JT155"/>
      <c r="JU155"/>
      <c r="JV155"/>
      <c r="JW155"/>
      <c r="JX155"/>
      <c r="JY155"/>
      <c r="JZ155"/>
      <c r="KA155"/>
      <c r="KB155"/>
      <c r="KC155"/>
      <c r="KD155"/>
      <c r="KE155"/>
      <c r="KF155"/>
      <c r="KG155"/>
      <c r="KH155"/>
      <c r="KI155"/>
      <c r="KJ155"/>
      <c r="KK155"/>
      <c r="KL155"/>
      <c r="KM155"/>
      <c r="KN155"/>
      <c r="KO155"/>
      <c r="KP155"/>
      <c r="KQ155"/>
      <c r="KR155"/>
      <c r="KS155"/>
    </row>
    <row r="156" spans="2:305" hidden="1" x14ac:dyDescent="0.35">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c r="CU156"/>
      <c r="CV156"/>
      <c r="CW156"/>
      <c r="CX156"/>
      <c r="CY156"/>
      <c r="CZ156"/>
      <c r="DA156"/>
      <c r="DB156"/>
      <c r="DC156"/>
      <c r="DD156"/>
      <c r="DE156"/>
      <c r="DF156"/>
      <c r="DG156"/>
      <c r="DH156"/>
      <c r="DI156"/>
      <c r="DJ156"/>
      <c r="DK156"/>
      <c r="DL156"/>
      <c r="DM156"/>
      <c r="DN156"/>
      <c r="DO156"/>
      <c r="DP156"/>
      <c r="DQ156"/>
      <c r="DR156"/>
      <c r="DS156"/>
      <c r="DT156"/>
      <c r="DU156"/>
      <c r="DV156"/>
      <c r="DW156"/>
      <c r="DX156"/>
      <c r="DY156"/>
      <c r="DZ156"/>
      <c r="EA156"/>
      <c r="EB156"/>
      <c r="EC156"/>
      <c r="ED156"/>
      <c r="EE156"/>
      <c r="EF156"/>
      <c r="EG156"/>
      <c r="EH156"/>
      <c r="EI156"/>
      <c r="EJ156"/>
      <c r="EK156"/>
      <c r="EL156"/>
      <c r="EM156"/>
      <c r="EN156"/>
      <c r="EO156"/>
      <c r="EP156"/>
      <c r="EQ156"/>
      <c r="ER156"/>
      <c r="ES156"/>
      <c r="ET156"/>
      <c r="EU156"/>
      <c r="EV156"/>
      <c r="EW156"/>
      <c r="EX156"/>
      <c r="EY156"/>
      <c r="EZ156"/>
      <c r="FA156"/>
      <c r="FB156"/>
      <c r="FC156"/>
      <c r="FD156"/>
      <c r="FE156"/>
      <c r="FF156"/>
      <c r="FG156"/>
      <c r="FH156"/>
      <c r="FI156"/>
      <c r="FJ156"/>
      <c r="FK156"/>
      <c r="FL156"/>
      <c r="FM156"/>
      <c r="FN156"/>
      <c r="FO156"/>
      <c r="FP156"/>
      <c r="FQ156"/>
      <c r="FR156"/>
      <c r="FS156"/>
      <c r="FT156"/>
      <c r="FU156"/>
      <c r="FV156"/>
      <c r="FW156"/>
      <c r="FX15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c r="JA156"/>
      <c r="JB156"/>
      <c r="JC156"/>
      <c r="JD156"/>
      <c r="JE156"/>
      <c r="JF156"/>
      <c r="JG156"/>
      <c r="JH156"/>
      <c r="JI156"/>
      <c r="JJ156"/>
      <c r="JK156"/>
      <c r="JL156"/>
      <c r="JM156"/>
      <c r="JN156"/>
      <c r="JO156"/>
      <c r="JP156"/>
      <c r="JQ156"/>
      <c r="JR156"/>
      <c r="JS156"/>
      <c r="JT156"/>
      <c r="JU156"/>
      <c r="JV156"/>
      <c r="JW156"/>
      <c r="JX156"/>
      <c r="JY156"/>
      <c r="JZ156"/>
      <c r="KA156"/>
      <c r="KB156"/>
      <c r="KC156"/>
      <c r="KD156"/>
      <c r="KE156"/>
      <c r="KF156"/>
      <c r="KG156"/>
      <c r="KH156"/>
      <c r="KI156"/>
      <c r="KJ156"/>
      <c r="KK156"/>
      <c r="KL156"/>
      <c r="KM156"/>
      <c r="KN156"/>
      <c r="KO156"/>
      <c r="KP156"/>
      <c r="KQ156"/>
      <c r="KR156"/>
      <c r="KS156"/>
    </row>
    <row r="157" spans="2:305" hidden="1" x14ac:dyDescent="0.35">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c r="CU157"/>
      <c r="CV157"/>
      <c r="CW157"/>
      <c r="CX157"/>
      <c r="CY157"/>
      <c r="CZ157"/>
      <c r="DA157"/>
      <c r="DB157"/>
      <c r="DC157"/>
      <c r="DD157"/>
      <c r="DE157"/>
      <c r="DF157"/>
      <c r="DG157"/>
      <c r="DH157"/>
      <c r="DI157"/>
      <c r="DJ157"/>
      <c r="DK157"/>
      <c r="DL157"/>
      <c r="DM157"/>
      <c r="DN157"/>
      <c r="DO157"/>
      <c r="DP157"/>
      <c r="DQ157"/>
      <c r="DR157"/>
      <c r="DS157"/>
      <c r="DT157"/>
      <c r="DU157"/>
      <c r="DV157"/>
      <c r="DW157"/>
      <c r="DX157"/>
      <c r="DY157"/>
      <c r="DZ157"/>
      <c r="EA157"/>
      <c r="EB157"/>
      <c r="EC157"/>
      <c r="ED157"/>
      <c r="EE157"/>
      <c r="EF157"/>
      <c r="EG157"/>
      <c r="EH157"/>
      <c r="EI157"/>
      <c r="EJ157"/>
      <c r="EK157"/>
      <c r="EL157"/>
      <c r="EM157"/>
      <c r="EN157"/>
      <c r="EO157"/>
      <c r="EP157"/>
      <c r="EQ157"/>
      <c r="ER157"/>
      <c r="ES157"/>
      <c r="ET157"/>
      <c r="EU157"/>
      <c r="EV157"/>
      <c r="EW157"/>
      <c r="EX157"/>
      <c r="EY157"/>
      <c r="EZ157"/>
      <c r="FA157"/>
      <c r="FB157"/>
      <c r="FC157"/>
      <c r="FD157"/>
      <c r="FE157"/>
      <c r="FF157"/>
      <c r="FG157"/>
      <c r="FH157"/>
      <c r="FI157"/>
      <c r="FJ157"/>
      <c r="FK157"/>
      <c r="FL157"/>
      <c r="FM157"/>
      <c r="FN157"/>
      <c r="FO157"/>
      <c r="FP157"/>
      <c r="FQ157"/>
      <c r="FR157"/>
      <c r="FS157"/>
      <c r="FT157"/>
      <c r="FU157"/>
      <c r="FV157"/>
      <c r="FW157"/>
      <c r="FX157"/>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c r="JA157"/>
      <c r="JB157"/>
      <c r="JC157"/>
      <c r="JD157"/>
      <c r="JE157"/>
      <c r="JF157"/>
      <c r="JG157"/>
      <c r="JH157"/>
      <c r="JI157"/>
      <c r="JJ157"/>
      <c r="JK157"/>
      <c r="JL157"/>
      <c r="JM157"/>
      <c r="JN157"/>
      <c r="JO157"/>
      <c r="JP157"/>
      <c r="JQ157"/>
      <c r="JR157"/>
      <c r="JS157"/>
      <c r="JT157"/>
      <c r="JU157"/>
      <c r="JV157"/>
      <c r="JW157"/>
      <c r="JX157"/>
      <c r="JY157"/>
      <c r="JZ157"/>
      <c r="KA157"/>
      <c r="KB157"/>
      <c r="KC157"/>
      <c r="KD157"/>
      <c r="KE157"/>
      <c r="KF157"/>
      <c r="KG157"/>
      <c r="KH157"/>
      <c r="KI157"/>
      <c r="KJ157"/>
      <c r="KK157"/>
      <c r="KL157"/>
      <c r="KM157"/>
      <c r="KN157"/>
      <c r="KO157"/>
      <c r="KP157"/>
      <c r="KQ157"/>
      <c r="KR157"/>
      <c r="KS157"/>
    </row>
    <row r="158" spans="2:305" hidden="1" x14ac:dyDescent="0.35">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c r="CU158"/>
      <c r="CV158"/>
      <c r="CW158"/>
      <c r="CX158"/>
      <c r="CY158"/>
      <c r="CZ158"/>
      <c r="DA158"/>
      <c r="DB158"/>
      <c r="DC158"/>
      <c r="DD158"/>
      <c r="DE158"/>
      <c r="DF158"/>
      <c r="DG158"/>
      <c r="DH158"/>
      <c r="DI158"/>
      <c r="DJ158"/>
      <c r="DK158"/>
      <c r="DL158"/>
      <c r="DM158"/>
      <c r="DN158"/>
      <c r="DO158"/>
      <c r="DP158"/>
      <c r="DQ158"/>
      <c r="DR158"/>
      <c r="DS158"/>
      <c r="DT158"/>
      <c r="DU158"/>
      <c r="DV158"/>
      <c r="DW158"/>
      <c r="DX158"/>
      <c r="DY158"/>
      <c r="DZ158"/>
      <c r="EA158"/>
      <c r="EB158"/>
      <c r="EC158"/>
      <c r="ED158"/>
      <c r="EE158"/>
      <c r="EF158"/>
      <c r="EG158"/>
      <c r="EH158"/>
      <c r="EI158"/>
      <c r="EJ158"/>
      <c r="EK158"/>
      <c r="EL158"/>
      <c r="EM158"/>
      <c r="EN158"/>
      <c r="EO158"/>
      <c r="EP158"/>
      <c r="EQ158"/>
      <c r="ER158"/>
      <c r="ES158"/>
      <c r="ET158"/>
      <c r="EU158"/>
      <c r="EV158"/>
      <c r="EW158"/>
      <c r="EX158"/>
      <c r="EY158"/>
      <c r="EZ158"/>
      <c r="FA158"/>
      <c r="FB158"/>
      <c r="FC158"/>
      <c r="FD158"/>
      <c r="FE158"/>
      <c r="FF158"/>
      <c r="FG158"/>
      <c r="FH158"/>
      <c r="FI158"/>
      <c r="FJ158"/>
      <c r="FK158"/>
      <c r="FL158"/>
      <c r="FM158"/>
      <c r="FN158"/>
      <c r="FO158"/>
      <c r="FP158"/>
      <c r="FQ158"/>
      <c r="FR158"/>
      <c r="FS158"/>
      <c r="FT158"/>
      <c r="FU158"/>
      <c r="FV158"/>
      <c r="FW158"/>
      <c r="FX158"/>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c r="JA158"/>
      <c r="JB158"/>
      <c r="JC158"/>
      <c r="JD158"/>
      <c r="JE158"/>
      <c r="JF158"/>
      <c r="JG158"/>
      <c r="JH158"/>
      <c r="JI158"/>
      <c r="JJ158"/>
      <c r="JK158"/>
      <c r="JL158"/>
      <c r="JM158"/>
      <c r="JN158"/>
      <c r="JO158"/>
      <c r="JP158"/>
      <c r="JQ158"/>
      <c r="JR158"/>
      <c r="JS158"/>
      <c r="JT158"/>
      <c r="JU158"/>
      <c r="JV158"/>
      <c r="JW158"/>
      <c r="JX158"/>
      <c r="JY158"/>
      <c r="JZ158"/>
      <c r="KA158"/>
      <c r="KB158"/>
      <c r="KC158"/>
      <c r="KD158"/>
      <c r="KE158"/>
      <c r="KF158"/>
      <c r="KG158"/>
      <c r="KH158"/>
      <c r="KI158"/>
      <c r="KJ158"/>
      <c r="KK158"/>
      <c r="KL158"/>
      <c r="KM158"/>
      <c r="KN158"/>
      <c r="KO158"/>
      <c r="KP158"/>
      <c r="KQ158"/>
      <c r="KR158"/>
      <c r="KS158"/>
    </row>
    <row r="159" spans="2:305" hidden="1" x14ac:dyDescent="0.35">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c r="CU159"/>
      <c r="CV159"/>
      <c r="CW159"/>
      <c r="CX159"/>
      <c r="CY159"/>
      <c r="CZ159"/>
      <c r="DA159"/>
      <c r="DB159"/>
      <c r="DC159"/>
      <c r="DD159"/>
      <c r="DE159"/>
      <c r="DF159"/>
      <c r="DG159"/>
      <c r="DH159"/>
      <c r="DI159"/>
      <c r="DJ159"/>
      <c r="DK159"/>
      <c r="DL159"/>
      <c r="DM159"/>
      <c r="DN159"/>
      <c r="DO159"/>
      <c r="DP159"/>
      <c r="DQ159"/>
      <c r="DR159"/>
      <c r="DS159"/>
      <c r="DT159"/>
      <c r="DU159"/>
      <c r="DV159"/>
      <c r="DW159"/>
      <c r="DX159"/>
      <c r="DY159"/>
      <c r="DZ159"/>
      <c r="EA159"/>
      <c r="EB159"/>
      <c r="EC159"/>
      <c r="ED159"/>
      <c r="EE159"/>
      <c r="EF159"/>
      <c r="EG159"/>
      <c r="EH159"/>
      <c r="EI159"/>
      <c r="EJ159"/>
      <c r="EK159"/>
      <c r="EL159"/>
      <c r="EM159"/>
      <c r="EN159"/>
      <c r="EO159"/>
      <c r="EP159"/>
      <c r="EQ159"/>
      <c r="ER159"/>
      <c r="ES159"/>
      <c r="ET159"/>
      <c r="EU159"/>
      <c r="EV159"/>
      <c r="EW159"/>
      <c r="EX159"/>
      <c r="EY159"/>
      <c r="EZ159"/>
      <c r="FA159"/>
      <c r="FB159"/>
      <c r="FC159"/>
      <c r="FD159"/>
      <c r="FE159"/>
      <c r="FF159"/>
      <c r="FG159"/>
      <c r="FH159"/>
      <c r="FI159"/>
      <c r="FJ159"/>
      <c r="FK159"/>
      <c r="FL159"/>
      <c r="FM159"/>
      <c r="FN159"/>
      <c r="FO159"/>
      <c r="FP159"/>
      <c r="FQ159"/>
      <c r="FR159"/>
      <c r="FS159"/>
      <c r="FT159"/>
      <c r="FU159"/>
      <c r="FV159"/>
      <c r="FW159"/>
      <c r="FX159"/>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c r="JA159"/>
      <c r="JB159"/>
      <c r="JC159"/>
      <c r="JD159"/>
      <c r="JE159"/>
      <c r="JF159"/>
      <c r="JG159"/>
      <c r="JH159"/>
      <c r="JI159"/>
      <c r="JJ159"/>
      <c r="JK159"/>
      <c r="JL159"/>
      <c r="JM159"/>
      <c r="JN159"/>
      <c r="JO159"/>
      <c r="JP159"/>
      <c r="JQ159"/>
      <c r="JR159"/>
      <c r="JS159"/>
      <c r="JT159"/>
      <c r="JU159"/>
      <c r="JV159"/>
      <c r="JW159"/>
      <c r="JX159"/>
      <c r="JY159"/>
      <c r="JZ159"/>
      <c r="KA159"/>
      <c r="KB159"/>
      <c r="KC159"/>
      <c r="KD159"/>
      <c r="KE159"/>
      <c r="KF159"/>
      <c r="KG159"/>
      <c r="KH159"/>
      <c r="KI159"/>
      <c r="KJ159"/>
      <c r="KK159"/>
      <c r="KL159"/>
      <c r="KM159"/>
      <c r="KN159"/>
      <c r="KO159"/>
      <c r="KP159"/>
      <c r="KQ159"/>
      <c r="KR159"/>
      <c r="KS159"/>
    </row>
    <row r="160" spans="2:305" hidden="1" x14ac:dyDescent="0.35">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c r="CU160"/>
      <c r="CV160"/>
      <c r="CW160"/>
      <c r="CX160"/>
      <c r="CY160"/>
      <c r="CZ160"/>
      <c r="DA160"/>
      <c r="DB160"/>
      <c r="DC160"/>
      <c r="DD160"/>
      <c r="DE160"/>
      <c r="DF160"/>
      <c r="DG160"/>
      <c r="DH160"/>
      <c r="DI160"/>
      <c r="DJ160"/>
      <c r="DK160"/>
      <c r="DL160"/>
      <c r="DM160"/>
      <c r="DN160"/>
      <c r="DO160"/>
      <c r="DP160"/>
      <c r="DQ160"/>
      <c r="DR160"/>
      <c r="DS160"/>
      <c r="DT160"/>
      <c r="DU160"/>
      <c r="DV160"/>
      <c r="DW160"/>
      <c r="DX160"/>
      <c r="DY160"/>
      <c r="DZ160"/>
      <c r="EA160"/>
      <c r="EB160"/>
      <c r="EC160"/>
      <c r="ED160"/>
      <c r="EE160"/>
      <c r="EF160"/>
      <c r="EG160"/>
      <c r="EH160"/>
      <c r="EI160"/>
      <c r="EJ160"/>
      <c r="EK160"/>
      <c r="EL160"/>
      <c r="EM160"/>
      <c r="EN160"/>
      <c r="EO160"/>
      <c r="EP160"/>
      <c r="EQ160"/>
      <c r="ER160"/>
      <c r="ES160"/>
      <c r="ET160"/>
      <c r="EU160"/>
      <c r="EV160"/>
      <c r="EW160"/>
      <c r="EX160"/>
      <c r="EY160"/>
      <c r="EZ160"/>
      <c r="FA160"/>
      <c r="FB160"/>
      <c r="FC160"/>
      <c r="FD160"/>
      <c r="FE160"/>
      <c r="FF160"/>
      <c r="FG160"/>
      <c r="FH160"/>
      <c r="FI160"/>
      <c r="FJ160"/>
      <c r="FK160"/>
      <c r="FL160"/>
      <c r="FM160"/>
      <c r="FN160"/>
      <c r="FO160"/>
      <c r="FP160"/>
      <c r="FQ160"/>
      <c r="FR160"/>
      <c r="FS160"/>
      <c r="FT160"/>
      <c r="FU160"/>
      <c r="FV160"/>
      <c r="FW160"/>
      <c r="FX160"/>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c r="JA160"/>
      <c r="JB160"/>
      <c r="JC160"/>
      <c r="JD160"/>
      <c r="JE160"/>
      <c r="JF160"/>
      <c r="JG160"/>
      <c r="JH160"/>
      <c r="JI160"/>
      <c r="JJ160"/>
      <c r="JK160"/>
      <c r="JL160"/>
      <c r="JM160"/>
      <c r="JN160"/>
      <c r="JO160"/>
      <c r="JP160"/>
      <c r="JQ160"/>
      <c r="JR160"/>
      <c r="JS160"/>
      <c r="JT160"/>
      <c r="JU160"/>
      <c r="JV160"/>
      <c r="JW160"/>
      <c r="JX160"/>
      <c r="JY160"/>
      <c r="JZ160"/>
      <c r="KA160"/>
      <c r="KB160"/>
      <c r="KC160"/>
      <c r="KD160"/>
      <c r="KE160"/>
      <c r="KF160"/>
      <c r="KG160"/>
      <c r="KH160"/>
      <c r="KI160"/>
      <c r="KJ160"/>
      <c r="KK160"/>
      <c r="KL160"/>
      <c r="KM160"/>
      <c r="KN160"/>
      <c r="KO160"/>
      <c r="KP160"/>
      <c r="KQ160"/>
      <c r="KR160"/>
      <c r="KS160"/>
    </row>
    <row r="161" spans="2:305" hidden="1" x14ac:dyDescent="0.35">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c r="CU161"/>
      <c r="CV161"/>
      <c r="CW161"/>
      <c r="CX161"/>
      <c r="CY161"/>
      <c r="CZ161"/>
      <c r="DA161"/>
      <c r="DB161"/>
      <c r="DC161"/>
      <c r="DD161"/>
      <c r="DE161"/>
      <c r="DF161"/>
      <c r="DG161"/>
      <c r="DH161"/>
      <c r="DI161"/>
      <c r="DJ161"/>
      <c r="DK161"/>
      <c r="DL161"/>
      <c r="DM161"/>
      <c r="DN161"/>
      <c r="DO161"/>
      <c r="DP161"/>
      <c r="DQ161"/>
      <c r="DR161"/>
      <c r="DS161"/>
      <c r="DT161"/>
      <c r="DU161"/>
      <c r="DV161"/>
      <c r="DW161"/>
      <c r="DX161"/>
      <c r="DY161"/>
      <c r="DZ161"/>
      <c r="EA161"/>
      <c r="EB161"/>
      <c r="EC161"/>
      <c r="ED161"/>
      <c r="EE161"/>
      <c r="EF161"/>
      <c r="EG161"/>
      <c r="EH161"/>
      <c r="EI161"/>
      <c r="EJ161"/>
      <c r="EK161"/>
      <c r="EL161"/>
      <c r="EM161"/>
      <c r="EN161"/>
      <c r="EO161"/>
      <c r="EP161"/>
      <c r="EQ161"/>
      <c r="ER161"/>
      <c r="ES161"/>
      <c r="ET161"/>
      <c r="EU161"/>
      <c r="EV161"/>
      <c r="EW161"/>
      <c r="EX161"/>
      <c r="EY161"/>
      <c r="EZ161"/>
      <c r="FA161"/>
      <c r="FB161"/>
      <c r="FC161"/>
      <c r="FD161"/>
      <c r="FE161"/>
      <c r="FF161"/>
      <c r="FG161"/>
      <c r="FH161"/>
      <c r="FI161"/>
      <c r="FJ161"/>
      <c r="FK161"/>
      <c r="FL161"/>
      <c r="FM161"/>
      <c r="FN161"/>
      <c r="FO161"/>
      <c r="FP161"/>
      <c r="FQ161"/>
      <c r="FR161"/>
      <c r="FS161"/>
      <c r="FT161"/>
      <c r="FU161"/>
      <c r="FV161"/>
      <c r="FW161"/>
      <c r="FX161"/>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c r="JA161"/>
      <c r="JB161"/>
      <c r="JC161"/>
      <c r="JD161"/>
      <c r="JE161"/>
      <c r="JF161"/>
      <c r="JG161"/>
      <c r="JH161"/>
      <c r="JI161"/>
      <c r="JJ161"/>
      <c r="JK161"/>
      <c r="JL161"/>
      <c r="JM161"/>
      <c r="JN161"/>
      <c r="JO161"/>
      <c r="JP161"/>
      <c r="JQ161"/>
      <c r="JR161"/>
      <c r="JS161"/>
      <c r="JT161"/>
      <c r="JU161"/>
      <c r="JV161"/>
      <c r="JW161"/>
      <c r="JX161"/>
      <c r="JY161"/>
      <c r="JZ161"/>
      <c r="KA161"/>
      <c r="KB161"/>
      <c r="KC161"/>
      <c r="KD161"/>
      <c r="KE161"/>
      <c r="KF161"/>
      <c r="KG161"/>
      <c r="KH161"/>
      <c r="KI161"/>
      <c r="KJ161"/>
      <c r="KK161"/>
      <c r="KL161"/>
      <c r="KM161"/>
      <c r="KN161"/>
      <c r="KO161"/>
      <c r="KP161"/>
      <c r="KQ161"/>
      <c r="KR161"/>
      <c r="KS161"/>
    </row>
    <row r="162" spans="2:305" hidden="1" x14ac:dyDescent="0.35">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c r="CU162"/>
      <c r="CV162"/>
      <c r="CW162"/>
      <c r="CX162"/>
      <c r="CY162"/>
      <c r="CZ162"/>
      <c r="DA162"/>
      <c r="DB162"/>
      <c r="DC162"/>
      <c r="DD162"/>
      <c r="DE162"/>
      <c r="DF162"/>
      <c r="DG162"/>
      <c r="DH162"/>
      <c r="DI162"/>
      <c r="DJ162"/>
      <c r="DK162"/>
      <c r="DL162"/>
      <c r="DM162"/>
      <c r="DN162"/>
      <c r="DO162"/>
      <c r="DP162"/>
      <c r="DQ162"/>
      <c r="DR162"/>
      <c r="DS162"/>
      <c r="DT162"/>
      <c r="DU162"/>
      <c r="DV162"/>
      <c r="DW162"/>
      <c r="DX162"/>
      <c r="DY162"/>
      <c r="DZ162"/>
      <c r="EA162"/>
      <c r="EB162"/>
      <c r="EC162"/>
      <c r="ED162"/>
      <c r="EE162"/>
      <c r="EF162"/>
      <c r="EG162"/>
      <c r="EH162"/>
      <c r="EI162"/>
      <c r="EJ162"/>
      <c r="EK162"/>
      <c r="EL162"/>
      <c r="EM162"/>
      <c r="EN162"/>
      <c r="EO162"/>
      <c r="EP162"/>
      <c r="EQ162"/>
      <c r="ER162"/>
      <c r="ES162"/>
      <c r="ET162"/>
      <c r="EU162"/>
      <c r="EV162"/>
      <c r="EW162"/>
      <c r="EX162"/>
      <c r="EY162"/>
      <c r="EZ162"/>
      <c r="FA162"/>
      <c r="FB162"/>
      <c r="FC162"/>
      <c r="FD162"/>
      <c r="FE162"/>
      <c r="FF162"/>
      <c r="FG162"/>
      <c r="FH162"/>
      <c r="FI162"/>
      <c r="FJ162"/>
      <c r="FK162"/>
      <c r="FL162"/>
      <c r="FM162"/>
      <c r="FN162"/>
      <c r="FO162"/>
      <c r="FP162"/>
      <c r="FQ162"/>
      <c r="FR162"/>
      <c r="FS162"/>
      <c r="FT162"/>
      <c r="FU162"/>
      <c r="FV162"/>
      <c r="FW162"/>
      <c r="FX162"/>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c r="JA162"/>
      <c r="JB162"/>
      <c r="JC162"/>
      <c r="JD162"/>
      <c r="JE162"/>
      <c r="JF162"/>
      <c r="JG162"/>
      <c r="JH162"/>
      <c r="JI162"/>
      <c r="JJ162"/>
      <c r="JK162"/>
      <c r="JL162"/>
      <c r="JM162"/>
      <c r="JN162"/>
      <c r="JO162"/>
      <c r="JP162"/>
      <c r="JQ162"/>
      <c r="JR162"/>
      <c r="JS162"/>
      <c r="JT162"/>
      <c r="JU162"/>
      <c r="JV162"/>
      <c r="JW162"/>
      <c r="JX162"/>
      <c r="JY162"/>
      <c r="JZ162"/>
      <c r="KA162"/>
      <c r="KB162"/>
      <c r="KC162"/>
      <c r="KD162"/>
      <c r="KE162"/>
      <c r="KF162"/>
      <c r="KG162"/>
      <c r="KH162"/>
      <c r="KI162"/>
      <c r="KJ162"/>
      <c r="KK162"/>
      <c r="KL162"/>
      <c r="KM162"/>
      <c r="KN162"/>
      <c r="KO162"/>
      <c r="KP162"/>
      <c r="KQ162"/>
      <c r="KR162"/>
      <c r="KS162"/>
    </row>
    <row r="163" spans="2:305" hidden="1" x14ac:dyDescent="0.35">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c r="CU163"/>
      <c r="CV163"/>
      <c r="CW163"/>
      <c r="CX163"/>
      <c r="CY163"/>
      <c r="CZ163"/>
      <c r="DA163"/>
      <c r="DB163"/>
      <c r="DC163"/>
      <c r="DD163"/>
      <c r="DE163"/>
      <c r="DF163"/>
      <c r="DG163"/>
      <c r="DH163"/>
      <c r="DI163"/>
      <c r="DJ163"/>
      <c r="DK163"/>
      <c r="DL163"/>
      <c r="DM163"/>
      <c r="DN163"/>
      <c r="DO163"/>
      <c r="DP163"/>
      <c r="DQ163"/>
      <c r="DR163"/>
      <c r="DS163"/>
      <c r="DT163"/>
      <c r="DU163"/>
      <c r="DV163"/>
      <c r="DW163"/>
      <c r="DX163"/>
      <c r="DY163"/>
      <c r="DZ163"/>
      <c r="EA163"/>
      <c r="EB163"/>
      <c r="EC163"/>
      <c r="ED163"/>
      <c r="EE163"/>
      <c r="EF163"/>
      <c r="EG163"/>
      <c r="EH163"/>
      <c r="EI163"/>
      <c r="EJ163"/>
      <c r="EK163"/>
      <c r="EL163"/>
      <c r="EM163"/>
      <c r="EN163"/>
      <c r="EO163"/>
      <c r="EP163"/>
      <c r="EQ163"/>
      <c r="ER163"/>
      <c r="ES163"/>
      <c r="ET163"/>
      <c r="EU163"/>
      <c r="EV163"/>
      <c r="EW163"/>
      <c r="EX163"/>
      <c r="EY163"/>
      <c r="EZ163"/>
      <c r="FA163"/>
      <c r="FB163"/>
      <c r="FC163"/>
      <c r="FD163"/>
      <c r="FE163"/>
      <c r="FF163"/>
      <c r="FG163"/>
      <c r="FH163"/>
      <c r="FI163"/>
      <c r="FJ163"/>
      <c r="FK163"/>
      <c r="FL163"/>
      <c r="FM163"/>
      <c r="FN163"/>
      <c r="FO163"/>
      <c r="FP163"/>
      <c r="FQ163"/>
      <c r="FR163"/>
      <c r="FS163"/>
      <c r="FT163"/>
      <c r="FU163"/>
      <c r="FV163"/>
      <c r="FW163"/>
      <c r="FX163"/>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c r="JA163"/>
      <c r="JB163"/>
      <c r="JC163"/>
      <c r="JD163"/>
      <c r="JE163"/>
      <c r="JF163"/>
      <c r="JG163"/>
      <c r="JH163"/>
      <c r="JI163"/>
      <c r="JJ163"/>
      <c r="JK163"/>
      <c r="JL163"/>
      <c r="JM163"/>
      <c r="JN163"/>
      <c r="JO163"/>
      <c r="JP163"/>
      <c r="JQ163"/>
      <c r="JR163"/>
      <c r="JS163"/>
      <c r="JT163"/>
      <c r="JU163"/>
      <c r="JV163"/>
      <c r="JW163"/>
      <c r="JX163"/>
      <c r="JY163"/>
      <c r="JZ163"/>
      <c r="KA163"/>
      <c r="KB163"/>
      <c r="KC163"/>
      <c r="KD163"/>
      <c r="KE163"/>
      <c r="KF163"/>
      <c r="KG163"/>
      <c r="KH163"/>
      <c r="KI163"/>
      <c r="KJ163"/>
      <c r="KK163"/>
      <c r="KL163"/>
      <c r="KM163"/>
      <c r="KN163"/>
      <c r="KO163"/>
      <c r="KP163"/>
      <c r="KQ163"/>
      <c r="KR163"/>
      <c r="KS163"/>
    </row>
    <row r="164" spans="2:305" hidden="1" x14ac:dyDescent="0.35">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c r="CU164"/>
      <c r="CV164"/>
      <c r="CW164"/>
      <c r="CX164"/>
      <c r="CY164"/>
      <c r="CZ164"/>
      <c r="DA164"/>
      <c r="DB164"/>
      <c r="DC164"/>
      <c r="DD164"/>
      <c r="DE164"/>
      <c r="DF164"/>
      <c r="DG164"/>
      <c r="DH164"/>
      <c r="DI164"/>
      <c r="DJ164"/>
      <c r="DK164"/>
      <c r="DL164"/>
      <c r="DM164"/>
      <c r="DN164"/>
      <c r="DO164"/>
      <c r="DP164"/>
      <c r="DQ164"/>
      <c r="DR164"/>
      <c r="DS164"/>
      <c r="DT164"/>
      <c r="DU164"/>
      <c r="DV164"/>
      <c r="DW164"/>
      <c r="DX164"/>
      <c r="DY164"/>
      <c r="DZ164"/>
      <c r="EA164"/>
      <c r="EB164"/>
      <c r="EC164"/>
      <c r="ED164"/>
      <c r="EE164"/>
      <c r="EF164"/>
      <c r="EG164"/>
      <c r="EH164"/>
      <c r="EI164"/>
      <c r="EJ164"/>
      <c r="EK164"/>
      <c r="EL164"/>
      <c r="EM164"/>
      <c r="EN164"/>
      <c r="EO164"/>
      <c r="EP164"/>
      <c r="EQ164"/>
      <c r="ER164"/>
      <c r="ES164"/>
      <c r="ET164"/>
      <c r="EU164"/>
      <c r="EV164"/>
      <c r="EW164"/>
      <c r="EX164"/>
      <c r="EY164"/>
      <c r="EZ164"/>
      <c r="FA164"/>
      <c r="FB164"/>
      <c r="FC164"/>
      <c r="FD164"/>
      <c r="FE164"/>
      <c r="FF164"/>
      <c r="FG164"/>
      <c r="FH164"/>
      <c r="FI164"/>
      <c r="FJ164"/>
      <c r="FK164"/>
      <c r="FL164"/>
      <c r="FM164"/>
      <c r="FN164"/>
      <c r="FO164"/>
      <c r="FP164"/>
      <c r="FQ164"/>
      <c r="FR164"/>
      <c r="FS164"/>
      <c r="FT164"/>
      <c r="FU164"/>
      <c r="FV164"/>
      <c r="FW164"/>
      <c r="FX16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c r="JA164"/>
      <c r="JB164"/>
      <c r="JC164"/>
      <c r="JD164"/>
      <c r="JE164"/>
      <c r="JF164"/>
      <c r="JG164"/>
      <c r="JH164"/>
      <c r="JI164"/>
      <c r="JJ164"/>
      <c r="JK164"/>
      <c r="JL164"/>
      <c r="JM164"/>
      <c r="JN164"/>
      <c r="JO164"/>
      <c r="JP164"/>
      <c r="JQ164"/>
      <c r="JR164"/>
      <c r="JS164"/>
      <c r="JT164"/>
      <c r="JU164"/>
      <c r="JV164"/>
      <c r="JW164"/>
      <c r="JX164"/>
      <c r="JY164"/>
      <c r="JZ164"/>
      <c r="KA164"/>
      <c r="KB164"/>
      <c r="KC164"/>
      <c r="KD164"/>
      <c r="KE164"/>
      <c r="KF164"/>
      <c r="KG164"/>
      <c r="KH164"/>
      <c r="KI164"/>
      <c r="KJ164"/>
      <c r="KK164"/>
      <c r="KL164"/>
      <c r="KM164"/>
      <c r="KN164"/>
      <c r="KO164"/>
      <c r="KP164"/>
      <c r="KQ164"/>
      <c r="KR164"/>
      <c r="KS164"/>
    </row>
    <row r="165" spans="2:305" hidden="1" x14ac:dyDescent="0.3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c r="CU165"/>
      <c r="CV165"/>
      <c r="CW165"/>
      <c r="CX165"/>
      <c r="CY165"/>
      <c r="CZ165"/>
      <c r="DA165"/>
      <c r="DB165"/>
      <c r="DC165"/>
      <c r="DD165"/>
      <c r="DE165"/>
      <c r="DF165"/>
      <c r="DG165"/>
      <c r="DH165"/>
      <c r="DI165"/>
      <c r="DJ165"/>
      <c r="DK165"/>
      <c r="DL165"/>
      <c r="DM165"/>
      <c r="DN165"/>
      <c r="DO165"/>
      <c r="DP165"/>
      <c r="DQ165"/>
      <c r="DR165"/>
      <c r="DS165"/>
      <c r="DT165"/>
      <c r="DU165"/>
      <c r="DV165"/>
      <c r="DW165"/>
      <c r="DX165"/>
      <c r="DY165"/>
      <c r="DZ165"/>
      <c r="EA165"/>
      <c r="EB165"/>
      <c r="EC165"/>
      <c r="ED165"/>
      <c r="EE165"/>
      <c r="EF165"/>
      <c r="EG165"/>
      <c r="EH165"/>
      <c r="EI165"/>
      <c r="EJ165"/>
      <c r="EK165"/>
      <c r="EL165"/>
      <c r="EM165"/>
      <c r="EN165"/>
      <c r="EO165"/>
      <c r="EP165"/>
      <c r="EQ165"/>
      <c r="ER165"/>
      <c r="ES165"/>
      <c r="ET165"/>
      <c r="EU165"/>
      <c r="EV165"/>
      <c r="EW165"/>
      <c r="EX165"/>
      <c r="EY165"/>
      <c r="EZ165"/>
      <c r="FA165"/>
      <c r="FB165"/>
      <c r="FC165"/>
      <c r="FD165"/>
      <c r="FE165"/>
      <c r="FF165"/>
      <c r="FG165"/>
      <c r="FH165"/>
      <c r="FI165"/>
      <c r="FJ165"/>
      <c r="FK165"/>
      <c r="FL165"/>
      <c r="FM165"/>
      <c r="FN165"/>
      <c r="FO165"/>
      <c r="FP165"/>
      <c r="FQ165"/>
      <c r="FR165"/>
      <c r="FS165"/>
      <c r="FT165"/>
      <c r="FU165"/>
      <c r="FV165"/>
      <c r="FW165"/>
      <c r="FX165"/>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c r="JA165"/>
      <c r="JB165"/>
      <c r="JC165"/>
      <c r="JD165"/>
      <c r="JE165"/>
      <c r="JF165"/>
      <c r="JG165"/>
      <c r="JH165"/>
      <c r="JI165"/>
      <c r="JJ165"/>
      <c r="JK165"/>
      <c r="JL165"/>
      <c r="JM165"/>
      <c r="JN165"/>
      <c r="JO165"/>
      <c r="JP165"/>
      <c r="JQ165"/>
      <c r="JR165"/>
      <c r="JS165"/>
      <c r="JT165"/>
      <c r="JU165"/>
      <c r="JV165"/>
      <c r="JW165"/>
      <c r="JX165"/>
      <c r="JY165"/>
      <c r="JZ165"/>
      <c r="KA165"/>
      <c r="KB165"/>
      <c r="KC165"/>
      <c r="KD165"/>
      <c r="KE165"/>
      <c r="KF165"/>
      <c r="KG165"/>
      <c r="KH165"/>
      <c r="KI165"/>
      <c r="KJ165"/>
      <c r="KK165"/>
      <c r="KL165"/>
      <c r="KM165"/>
      <c r="KN165"/>
      <c r="KO165"/>
      <c r="KP165"/>
      <c r="KQ165"/>
      <c r="KR165"/>
      <c r="KS165"/>
    </row>
    <row r="166" spans="2:305" hidden="1" x14ac:dyDescent="0.35">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c r="CU166"/>
      <c r="CV166"/>
      <c r="CW166"/>
      <c r="CX166"/>
      <c r="CY166"/>
      <c r="CZ166"/>
      <c r="DA166"/>
      <c r="DB166"/>
      <c r="DC166"/>
      <c r="DD166"/>
      <c r="DE166"/>
      <c r="DF166"/>
      <c r="DG166"/>
      <c r="DH166"/>
      <c r="DI166"/>
      <c r="DJ166"/>
      <c r="DK166"/>
      <c r="DL166"/>
      <c r="DM166"/>
      <c r="DN166"/>
      <c r="DO166"/>
      <c r="DP166"/>
      <c r="DQ166"/>
      <c r="DR166"/>
      <c r="DS166"/>
      <c r="DT166"/>
      <c r="DU166"/>
      <c r="DV166"/>
      <c r="DW166"/>
      <c r="DX166"/>
      <c r="DY166"/>
      <c r="DZ166"/>
      <c r="EA166"/>
      <c r="EB166"/>
      <c r="EC166"/>
      <c r="ED166"/>
      <c r="EE166"/>
      <c r="EF166"/>
      <c r="EG166"/>
      <c r="EH166"/>
      <c r="EI166"/>
      <c r="EJ166"/>
      <c r="EK166"/>
      <c r="EL166"/>
      <c r="EM166"/>
      <c r="EN166"/>
      <c r="EO166"/>
      <c r="EP166"/>
      <c r="EQ166"/>
      <c r="ER166"/>
      <c r="ES166"/>
      <c r="ET166"/>
      <c r="EU166"/>
      <c r="EV166"/>
      <c r="EW166"/>
      <c r="EX166"/>
      <c r="EY166"/>
      <c r="EZ166"/>
      <c r="FA166"/>
      <c r="FB166"/>
      <c r="FC166"/>
      <c r="FD166"/>
      <c r="FE166"/>
      <c r="FF166"/>
      <c r="FG166"/>
      <c r="FH166"/>
      <c r="FI166"/>
      <c r="FJ166"/>
      <c r="FK166"/>
      <c r="FL166"/>
      <c r="FM166"/>
      <c r="FN166"/>
      <c r="FO166"/>
      <c r="FP166"/>
      <c r="FQ166"/>
      <c r="FR166"/>
      <c r="FS166"/>
      <c r="FT166"/>
      <c r="FU166"/>
      <c r="FV166"/>
      <c r="FW166"/>
      <c r="FX166"/>
      <c r="FY166"/>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c r="JA166"/>
      <c r="JB166"/>
      <c r="JC166"/>
      <c r="JD166"/>
      <c r="JE166"/>
      <c r="JF166"/>
      <c r="JG166"/>
      <c r="JH166"/>
      <c r="JI166"/>
      <c r="JJ166"/>
      <c r="JK166"/>
      <c r="JL166"/>
      <c r="JM166"/>
      <c r="JN166"/>
      <c r="JO166"/>
      <c r="JP166"/>
      <c r="JQ166"/>
      <c r="JR166"/>
      <c r="JS166"/>
      <c r="JT166"/>
      <c r="JU166"/>
      <c r="JV166"/>
      <c r="JW166"/>
      <c r="JX166"/>
      <c r="JY166"/>
      <c r="JZ166"/>
      <c r="KA166"/>
      <c r="KB166"/>
      <c r="KC166"/>
      <c r="KD166"/>
      <c r="KE166"/>
      <c r="KF166"/>
      <c r="KG166"/>
      <c r="KH166"/>
      <c r="KI166"/>
      <c r="KJ166"/>
      <c r="KK166"/>
      <c r="KL166"/>
      <c r="KM166"/>
      <c r="KN166"/>
      <c r="KO166"/>
      <c r="KP166"/>
      <c r="KQ166"/>
      <c r="KR166"/>
      <c r="KS166"/>
    </row>
    <row r="167" spans="2:305" hidden="1" x14ac:dyDescent="0.35">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c r="CU167"/>
      <c r="CV167"/>
      <c r="CW167"/>
      <c r="CX167"/>
      <c r="CY167"/>
      <c r="CZ167"/>
      <c r="DA167"/>
      <c r="DB167"/>
      <c r="DC167"/>
      <c r="DD167"/>
      <c r="DE167"/>
      <c r="DF167"/>
      <c r="DG167"/>
      <c r="DH167"/>
      <c r="DI167"/>
      <c r="DJ167"/>
      <c r="DK167"/>
      <c r="DL167"/>
      <c r="DM167"/>
      <c r="DN167"/>
      <c r="DO167"/>
      <c r="DP167"/>
      <c r="DQ167"/>
      <c r="DR167"/>
      <c r="DS167"/>
      <c r="DT167"/>
      <c r="DU167"/>
      <c r="DV167"/>
      <c r="DW167"/>
      <c r="DX167"/>
      <c r="DY167"/>
      <c r="DZ167"/>
      <c r="EA167"/>
      <c r="EB167"/>
      <c r="EC167"/>
      <c r="ED167"/>
      <c r="EE167"/>
      <c r="EF167"/>
      <c r="EG167"/>
      <c r="EH167"/>
      <c r="EI167"/>
      <c r="EJ167"/>
      <c r="EK167"/>
      <c r="EL167"/>
      <c r="EM167"/>
      <c r="EN167"/>
      <c r="EO167"/>
      <c r="EP167"/>
      <c r="EQ167"/>
      <c r="ER167"/>
      <c r="ES167"/>
      <c r="ET167"/>
      <c r="EU167"/>
      <c r="EV167"/>
      <c r="EW167"/>
      <c r="EX167"/>
      <c r="EY167"/>
      <c r="EZ167"/>
      <c r="FA167"/>
      <c r="FB167"/>
      <c r="FC167"/>
      <c r="FD167"/>
      <c r="FE167"/>
      <c r="FF167"/>
      <c r="FG167"/>
      <c r="FH167"/>
      <c r="FI167"/>
      <c r="FJ167"/>
      <c r="FK167"/>
      <c r="FL167"/>
      <c r="FM167"/>
      <c r="FN167"/>
      <c r="FO167"/>
      <c r="FP167"/>
      <c r="FQ167"/>
      <c r="FR167"/>
      <c r="FS167"/>
      <c r="FT167"/>
      <c r="FU167"/>
      <c r="FV167"/>
      <c r="FW167"/>
      <c r="FX167"/>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c r="JA167"/>
      <c r="JB167"/>
      <c r="JC167"/>
      <c r="JD167"/>
      <c r="JE167"/>
      <c r="JF167"/>
      <c r="JG167"/>
      <c r="JH167"/>
      <c r="JI167"/>
      <c r="JJ167"/>
      <c r="JK167"/>
      <c r="JL167"/>
      <c r="JM167"/>
      <c r="JN167"/>
      <c r="JO167"/>
      <c r="JP167"/>
      <c r="JQ167"/>
      <c r="JR167"/>
      <c r="JS167"/>
      <c r="JT167"/>
      <c r="JU167"/>
      <c r="JV167"/>
      <c r="JW167"/>
      <c r="JX167"/>
      <c r="JY167"/>
      <c r="JZ167"/>
      <c r="KA167"/>
      <c r="KB167"/>
      <c r="KC167"/>
      <c r="KD167"/>
      <c r="KE167"/>
      <c r="KF167"/>
      <c r="KG167"/>
      <c r="KH167"/>
      <c r="KI167"/>
      <c r="KJ167"/>
      <c r="KK167"/>
      <c r="KL167"/>
      <c r="KM167"/>
      <c r="KN167"/>
      <c r="KO167"/>
      <c r="KP167"/>
      <c r="KQ167"/>
      <c r="KR167"/>
      <c r="KS167"/>
    </row>
    <row r="168" spans="2:305" hidden="1" x14ac:dyDescent="0.35">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c r="CU168"/>
      <c r="CV168"/>
      <c r="CW168"/>
      <c r="CX168"/>
      <c r="CY168"/>
      <c r="CZ168"/>
      <c r="DA168"/>
      <c r="DB168"/>
      <c r="DC168"/>
      <c r="DD168"/>
      <c r="DE168"/>
      <c r="DF168"/>
      <c r="DG168"/>
      <c r="DH168"/>
      <c r="DI168"/>
      <c r="DJ168"/>
      <c r="DK168"/>
      <c r="DL168"/>
      <c r="DM168"/>
      <c r="DN168"/>
      <c r="DO168"/>
      <c r="DP168"/>
      <c r="DQ168"/>
      <c r="DR168"/>
      <c r="DS168"/>
      <c r="DT168"/>
      <c r="DU168"/>
      <c r="DV168"/>
      <c r="DW168"/>
      <c r="DX168"/>
      <c r="DY168"/>
      <c r="DZ168"/>
      <c r="EA168"/>
      <c r="EB168"/>
      <c r="EC168"/>
      <c r="ED168"/>
      <c r="EE168"/>
      <c r="EF168"/>
      <c r="EG168"/>
      <c r="EH168"/>
      <c r="EI168"/>
      <c r="EJ168"/>
      <c r="EK168"/>
      <c r="EL168"/>
      <c r="EM168"/>
      <c r="EN168"/>
      <c r="EO168"/>
      <c r="EP168"/>
      <c r="EQ168"/>
      <c r="ER168"/>
      <c r="ES168"/>
      <c r="ET168"/>
      <c r="EU168"/>
      <c r="EV168"/>
      <c r="EW168"/>
      <c r="EX168"/>
      <c r="EY168"/>
      <c r="EZ168"/>
      <c r="FA168"/>
      <c r="FB168"/>
      <c r="FC168"/>
      <c r="FD168"/>
      <c r="FE168"/>
      <c r="FF168"/>
      <c r="FG168"/>
      <c r="FH168"/>
      <c r="FI168"/>
      <c r="FJ168"/>
      <c r="FK168"/>
      <c r="FL168"/>
      <c r="FM168"/>
      <c r="FN168"/>
      <c r="FO168"/>
      <c r="FP168"/>
      <c r="FQ168"/>
      <c r="FR168"/>
      <c r="FS168"/>
      <c r="FT168"/>
      <c r="FU168"/>
      <c r="FV168"/>
      <c r="FW168"/>
      <c r="FX168"/>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c r="JA168"/>
      <c r="JB168"/>
      <c r="JC168"/>
      <c r="JD168"/>
      <c r="JE168"/>
      <c r="JF168"/>
      <c r="JG168"/>
      <c r="JH168"/>
      <c r="JI168"/>
      <c r="JJ168"/>
      <c r="JK168"/>
      <c r="JL168"/>
      <c r="JM168"/>
      <c r="JN168"/>
      <c r="JO168"/>
      <c r="JP168"/>
      <c r="JQ168"/>
      <c r="JR168"/>
      <c r="JS168"/>
      <c r="JT168"/>
      <c r="JU168"/>
      <c r="JV168"/>
      <c r="JW168"/>
      <c r="JX168"/>
      <c r="JY168"/>
      <c r="JZ168"/>
      <c r="KA168"/>
      <c r="KB168"/>
      <c r="KC168"/>
      <c r="KD168"/>
      <c r="KE168"/>
      <c r="KF168"/>
      <c r="KG168"/>
      <c r="KH168"/>
      <c r="KI168"/>
      <c r="KJ168"/>
      <c r="KK168"/>
      <c r="KL168"/>
      <c r="KM168"/>
      <c r="KN168"/>
      <c r="KO168"/>
      <c r="KP168"/>
      <c r="KQ168"/>
      <c r="KR168"/>
      <c r="KS168"/>
    </row>
    <row r="169" spans="2:305" hidden="1" x14ac:dyDescent="0.35">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c r="CU169"/>
      <c r="CV169"/>
      <c r="CW169"/>
      <c r="CX169"/>
      <c r="CY169"/>
      <c r="CZ169"/>
      <c r="DA169"/>
      <c r="DB169"/>
      <c r="DC169"/>
      <c r="DD169"/>
      <c r="DE169"/>
      <c r="DF169"/>
      <c r="DG169"/>
      <c r="DH169"/>
      <c r="DI169"/>
      <c r="DJ169"/>
      <c r="DK169"/>
      <c r="DL169"/>
      <c r="DM169"/>
      <c r="DN169"/>
      <c r="DO169"/>
      <c r="DP169"/>
      <c r="DQ169"/>
      <c r="DR169"/>
      <c r="DS169"/>
      <c r="DT169"/>
      <c r="DU169"/>
      <c r="DV169"/>
      <c r="DW169"/>
      <c r="DX169"/>
      <c r="DY169"/>
      <c r="DZ169"/>
      <c r="EA169"/>
      <c r="EB169"/>
      <c r="EC169"/>
      <c r="ED169"/>
      <c r="EE169"/>
      <c r="EF169"/>
      <c r="EG169"/>
      <c r="EH169"/>
      <c r="EI169"/>
      <c r="EJ169"/>
      <c r="EK169"/>
      <c r="EL169"/>
      <c r="EM169"/>
      <c r="EN169"/>
      <c r="EO169"/>
      <c r="EP169"/>
      <c r="EQ169"/>
      <c r="ER169"/>
      <c r="ES169"/>
      <c r="ET169"/>
      <c r="EU169"/>
      <c r="EV169"/>
      <c r="EW169"/>
      <c r="EX169"/>
      <c r="EY169"/>
      <c r="EZ169"/>
      <c r="FA169"/>
      <c r="FB169"/>
      <c r="FC169"/>
      <c r="FD169"/>
      <c r="FE169"/>
      <c r="FF169"/>
      <c r="FG169"/>
      <c r="FH169"/>
      <c r="FI169"/>
      <c r="FJ169"/>
      <c r="FK169"/>
      <c r="FL169"/>
      <c r="FM169"/>
      <c r="FN169"/>
      <c r="FO169"/>
      <c r="FP169"/>
      <c r="FQ169"/>
      <c r="FR169"/>
      <c r="FS169"/>
      <c r="FT169"/>
      <c r="FU169"/>
      <c r="FV169"/>
      <c r="FW169"/>
      <c r="FX169"/>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c r="JA169"/>
      <c r="JB169"/>
      <c r="JC169"/>
      <c r="JD169"/>
      <c r="JE169"/>
      <c r="JF169"/>
      <c r="JG169"/>
      <c r="JH169"/>
      <c r="JI169"/>
      <c r="JJ169"/>
      <c r="JK169"/>
      <c r="JL169"/>
      <c r="JM169"/>
      <c r="JN169"/>
      <c r="JO169"/>
      <c r="JP169"/>
      <c r="JQ169"/>
      <c r="JR169"/>
      <c r="JS169"/>
      <c r="JT169"/>
      <c r="JU169"/>
      <c r="JV169"/>
      <c r="JW169"/>
      <c r="JX169"/>
      <c r="JY169"/>
      <c r="JZ169"/>
      <c r="KA169"/>
      <c r="KB169"/>
      <c r="KC169"/>
      <c r="KD169"/>
      <c r="KE169"/>
      <c r="KF169"/>
      <c r="KG169"/>
      <c r="KH169"/>
      <c r="KI169"/>
      <c r="KJ169"/>
      <c r="KK169"/>
      <c r="KL169"/>
      <c r="KM169"/>
      <c r="KN169"/>
      <c r="KO169"/>
      <c r="KP169"/>
      <c r="KQ169"/>
      <c r="KR169"/>
      <c r="KS169"/>
    </row>
    <row r="170" spans="2:305" hidden="1" x14ac:dyDescent="0.35">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c r="CU170"/>
      <c r="CV170"/>
      <c r="CW170"/>
      <c r="CX170"/>
      <c r="CY170"/>
      <c r="CZ170"/>
      <c r="DA170"/>
      <c r="DB170"/>
      <c r="DC170"/>
      <c r="DD170"/>
      <c r="DE170"/>
      <c r="DF170"/>
      <c r="DG170"/>
      <c r="DH170"/>
      <c r="DI170"/>
      <c r="DJ170"/>
      <c r="DK170"/>
      <c r="DL170"/>
      <c r="DM170"/>
      <c r="DN170"/>
      <c r="DO170"/>
      <c r="DP170"/>
      <c r="DQ170"/>
      <c r="DR170"/>
      <c r="DS170"/>
      <c r="DT170"/>
      <c r="DU170"/>
      <c r="DV170"/>
      <c r="DW170"/>
      <c r="DX170"/>
      <c r="DY170"/>
      <c r="DZ170"/>
      <c r="EA170"/>
      <c r="EB170"/>
      <c r="EC170"/>
      <c r="ED170"/>
      <c r="EE170"/>
      <c r="EF170"/>
      <c r="EG170"/>
      <c r="EH170"/>
      <c r="EI170"/>
      <c r="EJ170"/>
      <c r="EK170"/>
      <c r="EL170"/>
      <c r="EM170"/>
      <c r="EN170"/>
      <c r="EO170"/>
      <c r="EP170"/>
      <c r="EQ170"/>
      <c r="ER170"/>
      <c r="ES170"/>
      <c r="ET170"/>
      <c r="EU170"/>
      <c r="EV170"/>
      <c r="EW170"/>
      <c r="EX170"/>
      <c r="EY170"/>
      <c r="EZ170"/>
      <c r="FA170"/>
      <c r="FB170"/>
      <c r="FC170"/>
      <c r="FD170"/>
      <c r="FE170"/>
      <c r="FF170"/>
      <c r="FG170"/>
      <c r="FH170"/>
      <c r="FI170"/>
      <c r="FJ170"/>
      <c r="FK170"/>
      <c r="FL170"/>
      <c r="FM170"/>
      <c r="FN170"/>
      <c r="FO170"/>
      <c r="FP170"/>
      <c r="FQ170"/>
      <c r="FR170"/>
      <c r="FS170"/>
      <c r="FT170"/>
      <c r="FU170"/>
      <c r="FV170"/>
      <c r="FW170"/>
      <c r="FX17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c r="JA170"/>
      <c r="JB170"/>
      <c r="JC170"/>
      <c r="JD170"/>
      <c r="JE170"/>
      <c r="JF170"/>
      <c r="JG170"/>
      <c r="JH170"/>
      <c r="JI170"/>
      <c r="JJ170"/>
      <c r="JK170"/>
      <c r="JL170"/>
      <c r="JM170"/>
      <c r="JN170"/>
      <c r="JO170"/>
      <c r="JP170"/>
      <c r="JQ170"/>
      <c r="JR170"/>
      <c r="JS170"/>
      <c r="JT170"/>
      <c r="JU170"/>
      <c r="JV170"/>
      <c r="JW170"/>
      <c r="JX170"/>
      <c r="JY170"/>
      <c r="JZ170"/>
      <c r="KA170"/>
      <c r="KB170"/>
      <c r="KC170"/>
      <c r="KD170"/>
      <c r="KE170"/>
      <c r="KF170"/>
      <c r="KG170"/>
      <c r="KH170"/>
      <c r="KI170"/>
      <c r="KJ170"/>
      <c r="KK170"/>
      <c r="KL170"/>
      <c r="KM170"/>
      <c r="KN170"/>
      <c r="KO170"/>
      <c r="KP170"/>
      <c r="KQ170"/>
      <c r="KR170"/>
      <c r="KS170"/>
    </row>
    <row r="171" spans="2:305" hidden="1" x14ac:dyDescent="0.35">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c r="CU171"/>
      <c r="CV171"/>
      <c r="CW171"/>
      <c r="CX171"/>
      <c r="CY171"/>
      <c r="CZ171"/>
      <c r="DA171"/>
      <c r="DB171"/>
      <c r="DC171"/>
      <c r="DD171"/>
      <c r="DE171"/>
      <c r="DF171"/>
      <c r="DG171"/>
      <c r="DH171"/>
      <c r="DI171"/>
      <c r="DJ171"/>
      <c r="DK171"/>
      <c r="DL171"/>
      <c r="DM171"/>
      <c r="DN171"/>
      <c r="DO171"/>
      <c r="DP171"/>
      <c r="DQ171"/>
      <c r="DR171"/>
      <c r="DS171"/>
      <c r="DT171"/>
      <c r="DU171"/>
      <c r="DV171"/>
      <c r="DW171"/>
      <c r="DX171"/>
      <c r="DY171"/>
      <c r="DZ171"/>
      <c r="EA171"/>
      <c r="EB171"/>
      <c r="EC171"/>
      <c r="ED171"/>
      <c r="EE171"/>
      <c r="EF171"/>
      <c r="EG171"/>
      <c r="EH171"/>
      <c r="EI171"/>
      <c r="EJ171"/>
      <c r="EK171"/>
      <c r="EL171"/>
      <c r="EM171"/>
      <c r="EN171"/>
      <c r="EO171"/>
      <c r="EP171"/>
      <c r="EQ171"/>
      <c r="ER171"/>
      <c r="ES171"/>
      <c r="ET171"/>
      <c r="EU171"/>
      <c r="EV171"/>
      <c r="EW171"/>
      <c r="EX171"/>
      <c r="EY171"/>
      <c r="EZ171"/>
      <c r="FA171"/>
      <c r="FB171"/>
      <c r="FC171"/>
      <c r="FD171"/>
      <c r="FE171"/>
      <c r="FF171"/>
      <c r="FG171"/>
      <c r="FH171"/>
      <c r="FI171"/>
      <c r="FJ171"/>
      <c r="FK171"/>
      <c r="FL171"/>
      <c r="FM171"/>
      <c r="FN171"/>
      <c r="FO171"/>
      <c r="FP171"/>
      <c r="FQ171"/>
      <c r="FR171"/>
      <c r="FS171"/>
      <c r="FT171"/>
      <c r="FU171"/>
      <c r="FV171"/>
      <c r="FW171"/>
      <c r="FX171"/>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c r="JA171"/>
      <c r="JB171"/>
      <c r="JC171"/>
      <c r="JD171"/>
      <c r="JE171"/>
      <c r="JF171"/>
      <c r="JG171"/>
      <c r="JH171"/>
      <c r="JI171"/>
      <c r="JJ171"/>
      <c r="JK171"/>
      <c r="JL171"/>
      <c r="JM171"/>
      <c r="JN171"/>
      <c r="JO171"/>
      <c r="JP171"/>
      <c r="JQ171"/>
      <c r="JR171"/>
      <c r="JS171"/>
      <c r="JT171"/>
      <c r="JU171"/>
      <c r="JV171"/>
      <c r="JW171"/>
      <c r="JX171"/>
      <c r="JY171"/>
      <c r="JZ171"/>
      <c r="KA171"/>
      <c r="KB171"/>
      <c r="KC171"/>
      <c r="KD171"/>
      <c r="KE171"/>
      <c r="KF171"/>
      <c r="KG171"/>
      <c r="KH171"/>
      <c r="KI171"/>
      <c r="KJ171"/>
      <c r="KK171"/>
      <c r="KL171"/>
      <c r="KM171"/>
      <c r="KN171"/>
      <c r="KO171"/>
      <c r="KP171"/>
      <c r="KQ171"/>
      <c r="KR171"/>
      <c r="KS171"/>
    </row>
    <row r="172" spans="2:305" hidden="1" x14ac:dyDescent="0.35">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c r="CU172"/>
      <c r="CV172"/>
      <c r="CW172"/>
      <c r="CX172"/>
      <c r="CY172"/>
      <c r="CZ172"/>
      <c r="DA172"/>
      <c r="DB172"/>
      <c r="DC172"/>
      <c r="DD172"/>
      <c r="DE172"/>
      <c r="DF172"/>
      <c r="DG172"/>
      <c r="DH172"/>
      <c r="DI172"/>
      <c r="DJ172"/>
      <c r="DK172"/>
      <c r="DL172"/>
      <c r="DM172"/>
      <c r="DN172"/>
      <c r="DO172"/>
      <c r="DP172"/>
      <c r="DQ172"/>
      <c r="DR172"/>
      <c r="DS172"/>
      <c r="DT172"/>
      <c r="DU172"/>
      <c r="DV172"/>
      <c r="DW172"/>
      <c r="DX172"/>
      <c r="DY172"/>
      <c r="DZ172"/>
      <c r="EA172"/>
      <c r="EB172"/>
      <c r="EC172"/>
      <c r="ED172"/>
      <c r="EE172"/>
      <c r="EF172"/>
      <c r="EG172"/>
      <c r="EH172"/>
      <c r="EI172"/>
      <c r="EJ172"/>
      <c r="EK172"/>
      <c r="EL172"/>
      <c r="EM172"/>
      <c r="EN172"/>
      <c r="EO172"/>
      <c r="EP172"/>
      <c r="EQ172"/>
      <c r="ER172"/>
      <c r="ES172"/>
      <c r="ET172"/>
      <c r="EU172"/>
      <c r="EV172"/>
      <c r="EW172"/>
      <c r="EX172"/>
      <c r="EY172"/>
      <c r="EZ172"/>
      <c r="FA172"/>
      <c r="FB172"/>
      <c r="FC172"/>
      <c r="FD172"/>
      <c r="FE172"/>
      <c r="FF172"/>
      <c r="FG172"/>
      <c r="FH172"/>
      <c r="FI172"/>
      <c r="FJ172"/>
      <c r="FK172"/>
      <c r="FL172"/>
      <c r="FM172"/>
      <c r="FN172"/>
      <c r="FO172"/>
      <c r="FP172"/>
      <c r="FQ172"/>
      <c r="FR172"/>
      <c r="FS172"/>
      <c r="FT172"/>
      <c r="FU172"/>
      <c r="FV172"/>
      <c r="FW172"/>
      <c r="FX172"/>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c r="JA172"/>
      <c r="JB172"/>
      <c r="JC172"/>
      <c r="JD172"/>
      <c r="JE172"/>
      <c r="JF172"/>
      <c r="JG172"/>
      <c r="JH172"/>
      <c r="JI172"/>
      <c r="JJ172"/>
      <c r="JK172"/>
      <c r="JL172"/>
      <c r="JM172"/>
      <c r="JN172"/>
      <c r="JO172"/>
      <c r="JP172"/>
      <c r="JQ172"/>
      <c r="JR172"/>
      <c r="JS172"/>
      <c r="JT172"/>
      <c r="JU172"/>
      <c r="JV172"/>
      <c r="JW172"/>
      <c r="JX172"/>
      <c r="JY172"/>
      <c r="JZ172"/>
      <c r="KA172"/>
      <c r="KB172"/>
      <c r="KC172"/>
      <c r="KD172"/>
      <c r="KE172"/>
      <c r="KF172"/>
      <c r="KG172"/>
      <c r="KH172"/>
      <c r="KI172"/>
      <c r="KJ172"/>
      <c r="KK172"/>
      <c r="KL172"/>
      <c r="KM172"/>
      <c r="KN172"/>
      <c r="KO172"/>
      <c r="KP172"/>
      <c r="KQ172"/>
      <c r="KR172"/>
      <c r="KS172"/>
    </row>
    <row r="173" spans="2:305" hidden="1" x14ac:dyDescent="0.35">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c r="CU173"/>
      <c r="CV173"/>
      <c r="CW173"/>
      <c r="CX173"/>
      <c r="CY173"/>
      <c r="CZ173"/>
      <c r="DA173"/>
      <c r="DB173"/>
      <c r="DC173"/>
      <c r="DD173"/>
      <c r="DE173"/>
      <c r="DF173"/>
      <c r="DG173"/>
      <c r="DH173"/>
      <c r="DI173"/>
      <c r="DJ173"/>
      <c r="DK173"/>
      <c r="DL173"/>
      <c r="DM173"/>
      <c r="DN173"/>
      <c r="DO173"/>
      <c r="DP173"/>
      <c r="DQ173"/>
      <c r="DR173"/>
      <c r="DS173"/>
      <c r="DT173"/>
      <c r="DU173"/>
      <c r="DV173"/>
      <c r="DW173"/>
      <c r="DX173"/>
      <c r="DY173"/>
      <c r="DZ173"/>
      <c r="EA173"/>
      <c r="EB173"/>
      <c r="EC173"/>
      <c r="ED173"/>
      <c r="EE173"/>
      <c r="EF173"/>
      <c r="EG173"/>
      <c r="EH173"/>
      <c r="EI173"/>
      <c r="EJ173"/>
      <c r="EK173"/>
      <c r="EL173"/>
      <c r="EM173"/>
      <c r="EN173"/>
      <c r="EO173"/>
      <c r="EP173"/>
      <c r="EQ173"/>
      <c r="ER173"/>
      <c r="ES173"/>
      <c r="ET173"/>
      <c r="EU173"/>
      <c r="EV173"/>
      <c r="EW173"/>
      <c r="EX173"/>
      <c r="EY173"/>
      <c r="EZ173"/>
      <c r="FA173"/>
      <c r="FB173"/>
      <c r="FC173"/>
      <c r="FD173"/>
      <c r="FE173"/>
      <c r="FF173"/>
      <c r="FG173"/>
      <c r="FH173"/>
      <c r="FI173"/>
      <c r="FJ173"/>
      <c r="FK173"/>
      <c r="FL173"/>
      <c r="FM173"/>
      <c r="FN173"/>
      <c r="FO173"/>
      <c r="FP173"/>
      <c r="FQ173"/>
      <c r="FR173"/>
      <c r="FS173"/>
      <c r="FT173"/>
      <c r="FU173"/>
      <c r="FV173"/>
      <c r="FW173"/>
      <c r="FX173"/>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c r="JA173"/>
      <c r="JB173"/>
      <c r="JC173"/>
      <c r="JD173"/>
      <c r="JE173"/>
      <c r="JF173"/>
      <c r="JG173"/>
      <c r="JH173"/>
      <c r="JI173"/>
      <c r="JJ173"/>
      <c r="JK173"/>
      <c r="JL173"/>
      <c r="JM173"/>
      <c r="JN173"/>
      <c r="JO173"/>
      <c r="JP173"/>
      <c r="JQ173"/>
      <c r="JR173"/>
      <c r="JS173"/>
      <c r="JT173"/>
      <c r="JU173"/>
      <c r="JV173"/>
      <c r="JW173"/>
      <c r="JX173"/>
      <c r="JY173"/>
      <c r="JZ173"/>
      <c r="KA173"/>
      <c r="KB173"/>
      <c r="KC173"/>
      <c r="KD173"/>
      <c r="KE173"/>
      <c r="KF173"/>
      <c r="KG173"/>
      <c r="KH173"/>
      <c r="KI173"/>
      <c r="KJ173"/>
      <c r="KK173"/>
      <c r="KL173"/>
      <c r="KM173"/>
      <c r="KN173"/>
      <c r="KO173"/>
      <c r="KP173"/>
      <c r="KQ173"/>
      <c r="KR173"/>
      <c r="KS173"/>
    </row>
    <row r="174" spans="2:305" hidden="1" x14ac:dyDescent="0.35">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c r="CU174"/>
      <c r="CV174"/>
      <c r="CW174"/>
      <c r="CX174"/>
      <c r="CY174"/>
      <c r="CZ174"/>
      <c r="DA174"/>
      <c r="DB174"/>
      <c r="DC174"/>
      <c r="DD174"/>
      <c r="DE174"/>
      <c r="DF174"/>
      <c r="DG174"/>
      <c r="DH174"/>
      <c r="DI174"/>
      <c r="DJ174"/>
      <c r="DK174"/>
      <c r="DL174"/>
      <c r="DM174"/>
      <c r="DN174"/>
      <c r="DO174"/>
      <c r="DP174"/>
      <c r="DQ174"/>
      <c r="DR174"/>
      <c r="DS174"/>
      <c r="DT174"/>
      <c r="DU174"/>
      <c r="DV174"/>
      <c r="DW174"/>
      <c r="DX174"/>
      <c r="DY174"/>
      <c r="DZ174"/>
      <c r="EA174"/>
      <c r="EB174"/>
      <c r="EC174"/>
      <c r="ED174"/>
      <c r="EE174"/>
      <c r="EF174"/>
      <c r="EG174"/>
      <c r="EH174"/>
      <c r="EI174"/>
      <c r="EJ174"/>
      <c r="EK174"/>
      <c r="EL174"/>
      <c r="EM174"/>
      <c r="EN174"/>
      <c r="EO174"/>
      <c r="EP174"/>
      <c r="EQ174"/>
      <c r="ER174"/>
      <c r="ES174"/>
      <c r="ET174"/>
      <c r="EU174"/>
      <c r="EV174"/>
      <c r="EW174"/>
      <c r="EX174"/>
      <c r="EY174"/>
      <c r="EZ174"/>
      <c r="FA174"/>
      <c r="FB174"/>
      <c r="FC174"/>
      <c r="FD174"/>
      <c r="FE174"/>
      <c r="FF174"/>
      <c r="FG174"/>
      <c r="FH174"/>
      <c r="FI174"/>
      <c r="FJ174"/>
      <c r="FK174"/>
      <c r="FL174"/>
      <c r="FM174"/>
      <c r="FN174"/>
      <c r="FO174"/>
      <c r="FP174"/>
      <c r="FQ174"/>
      <c r="FR174"/>
      <c r="FS174"/>
      <c r="FT174"/>
      <c r="FU174"/>
      <c r="FV174"/>
      <c r="FW174"/>
      <c r="FX174"/>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c r="JA174"/>
      <c r="JB174"/>
      <c r="JC174"/>
      <c r="JD174"/>
      <c r="JE174"/>
      <c r="JF174"/>
      <c r="JG174"/>
      <c r="JH174"/>
      <c r="JI174"/>
      <c r="JJ174"/>
      <c r="JK174"/>
      <c r="JL174"/>
      <c r="JM174"/>
      <c r="JN174"/>
      <c r="JO174"/>
      <c r="JP174"/>
      <c r="JQ174"/>
      <c r="JR174"/>
      <c r="JS174"/>
      <c r="JT174"/>
      <c r="JU174"/>
      <c r="JV174"/>
      <c r="JW174"/>
      <c r="JX174"/>
      <c r="JY174"/>
      <c r="JZ174"/>
      <c r="KA174"/>
      <c r="KB174"/>
      <c r="KC174"/>
      <c r="KD174"/>
      <c r="KE174"/>
      <c r="KF174"/>
      <c r="KG174"/>
      <c r="KH174"/>
      <c r="KI174"/>
      <c r="KJ174"/>
      <c r="KK174"/>
      <c r="KL174"/>
      <c r="KM174"/>
      <c r="KN174"/>
      <c r="KO174"/>
      <c r="KP174"/>
      <c r="KQ174"/>
      <c r="KR174"/>
      <c r="KS174"/>
    </row>
    <row r="175" spans="2:305" hidden="1" x14ac:dyDescent="0.3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c r="CU175"/>
      <c r="CV175"/>
      <c r="CW175"/>
      <c r="CX175"/>
      <c r="CY175"/>
      <c r="CZ175"/>
      <c r="DA175"/>
      <c r="DB175"/>
      <c r="DC175"/>
      <c r="DD175"/>
      <c r="DE175"/>
      <c r="DF175"/>
      <c r="DG175"/>
      <c r="DH175"/>
      <c r="DI175"/>
      <c r="DJ175"/>
      <c r="DK175"/>
      <c r="DL175"/>
      <c r="DM175"/>
      <c r="DN175"/>
      <c r="DO175"/>
      <c r="DP175"/>
      <c r="DQ175"/>
      <c r="DR175"/>
      <c r="DS175"/>
      <c r="DT175"/>
      <c r="DU175"/>
      <c r="DV175"/>
      <c r="DW175"/>
      <c r="DX175"/>
      <c r="DY175"/>
      <c r="DZ175"/>
      <c r="EA175"/>
      <c r="EB175"/>
      <c r="EC175"/>
      <c r="ED175"/>
      <c r="EE175"/>
      <c r="EF175"/>
      <c r="EG175"/>
      <c r="EH175"/>
      <c r="EI175"/>
      <c r="EJ175"/>
      <c r="EK175"/>
      <c r="EL175"/>
      <c r="EM175"/>
      <c r="EN175"/>
      <c r="EO175"/>
      <c r="EP175"/>
      <c r="EQ175"/>
      <c r="ER175"/>
      <c r="ES175"/>
      <c r="ET175"/>
      <c r="EU175"/>
      <c r="EV175"/>
      <c r="EW175"/>
      <c r="EX175"/>
      <c r="EY175"/>
      <c r="EZ175"/>
      <c r="FA175"/>
      <c r="FB175"/>
      <c r="FC175"/>
      <c r="FD175"/>
      <c r="FE175"/>
      <c r="FF175"/>
      <c r="FG175"/>
      <c r="FH175"/>
      <c r="FI175"/>
      <c r="FJ175"/>
      <c r="FK175"/>
      <c r="FL175"/>
      <c r="FM175"/>
      <c r="FN175"/>
      <c r="FO175"/>
      <c r="FP175"/>
      <c r="FQ175"/>
      <c r="FR175"/>
      <c r="FS175"/>
      <c r="FT175"/>
      <c r="FU175"/>
      <c r="FV175"/>
      <c r="FW175"/>
      <c r="FX175"/>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c r="JA175"/>
      <c r="JB175"/>
      <c r="JC175"/>
      <c r="JD175"/>
      <c r="JE175"/>
      <c r="JF175"/>
      <c r="JG175"/>
      <c r="JH175"/>
      <c r="JI175"/>
      <c r="JJ175"/>
      <c r="JK175"/>
      <c r="JL175"/>
      <c r="JM175"/>
      <c r="JN175"/>
      <c r="JO175"/>
      <c r="JP175"/>
      <c r="JQ175"/>
      <c r="JR175"/>
      <c r="JS175"/>
      <c r="JT175"/>
      <c r="JU175"/>
      <c r="JV175"/>
      <c r="JW175"/>
      <c r="JX175"/>
      <c r="JY175"/>
      <c r="JZ175"/>
      <c r="KA175"/>
      <c r="KB175"/>
      <c r="KC175"/>
      <c r="KD175"/>
      <c r="KE175"/>
      <c r="KF175"/>
      <c r="KG175"/>
      <c r="KH175"/>
      <c r="KI175"/>
      <c r="KJ175"/>
      <c r="KK175"/>
      <c r="KL175"/>
      <c r="KM175"/>
      <c r="KN175"/>
      <c r="KO175"/>
      <c r="KP175"/>
      <c r="KQ175"/>
      <c r="KR175"/>
      <c r="KS175"/>
    </row>
    <row r="176" spans="2:305" hidden="1" x14ac:dyDescent="0.35">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c r="CU176"/>
      <c r="CV176"/>
      <c r="CW176"/>
      <c r="CX176"/>
      <c r="CY176"/>
      <c r="CZ176"/>
      <c r="DA176"/>
      <c r="DB176"/>
      <c r="DC176"/>
      <c r="DD176"/>
      <c r="DE176"/>
      <c r="DF176"/>
      <c r="DG176"/>
      <c r="DH176"/>
      <c r="DI176"/>
      <c r="DJ176"/>
      <c r="DK176"/>
      <c r="DL176"/>
      <c r="DM176"/>
      <c r="DN176"/>
      <c r="DO176"/>
      <c r="DP176"/>
      <c r="DQ176"/>
      <c r="DR176"/>
      <c r="DS176"/>
      <c r="DT176"/>
      <c r="DU176"/>
      <c r="DV176"/>
      <c r="DW176"/>
      <c r="DX176"/>
      <c r="DY176"/>
      <c r="DZ176"/>
      <c r="EA176"/>
      <c r="EB176"/>
      <c r="EC176"/>
      <c r="ED176"/>
      <c r="EE176"/>
      <c r="EF176"/>
      <c r="EG176"/>
      <c r="EH176"/>
      <c r="EI176"/>
      <c r="EJ176"/>
      <c r="EK176"/>
      <c r="EL176"/>
      <c r="EM176"/>
      <c r="EN176"/>
      <c r="EO176"/>
      <c r="EP176"/>
      <c r="EQ176"/>
      <c r="ER176"/>
      <c r="ES176"/>
      <c r="ET176"/>
      <c r="EU176"/>
      <c r="EV176"/>
      <c r="EW176"/>
      <c r="EX176"/>
      <c r="EY176"/>
      <c r="EZ176"/>
      <c r="FA176"/>
      <c r="FB176"/>
      <c r="FC176"/>
      <c r="FD176"/>
      <c r="FE176"/>
      <c r="FF176"/>
      <c r="FG176"/>
      <c r="FH176"/>
      <c r="FI176"/>
      <c r="FJ176"/>
      <c r="FK176"/>
      <c r="FL176"/>
      <c r="FM176"/>
      <c r="FN176"/>
      <c r="FO176"/>
      <c r="FP176"/>
      <c r="FQ176"/>
      <c r="FR176"/>
      <c r="FS176"/>
      <c r="FT176"/>
      <c r="FU176"/>
      <c r="FV176"/>
      <c r="FW176"/>
      <c r="FX176"/>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c r="JA176"/>
      <c r="JB176"/>
      <c r="JC176"/>
      <c r="JD176"/>
      <c r="JE176"/>
      <c r="JF176"/>
      <c r="JG176"/>
      <c r="JH176"/>
      <c r="JI176"/>
      <c r="JJ176"/>
      <c r="JK176"/>
      <c r="JL176"/>
      <c r="JM176"/>
      <c r="JN176"/>
      <c r="JO176"/>
      <c r="JP176"/>
      <c r="JQ176"/>
      <c r="JR176"/>
      <c r="JS176"/>
      <c r="JT176"/>
      <c r="JU176"/>
      <c r="JV176"/>
      <c r="JW176"/>
      <c r="JX176"/>
      <c r="JY176"/>
      <c r="JZ176"/>
      <c r="KA176"/>
      <c r="KB176"/>
      <c r="KC176"/>
      <c r="KD176"/>
      <c r="KE176"/>
      <c r="KF176"/>
      <c r="KG176"/>
      <c r="KH176"/>
      <c r="KI176"/>
      <c r="KJ176"/>
      <c r="KK176"/>
      <c r="KL176"/>
      <c r="KM176"/>
      <c r="KN176"/>
      <c r="KO176"/>
      <c r="KP176"/>
      <c r="KQ176"/>
      <c r="KR176"/>
      <c r="KS176"/>
    </row>
    <row r="177" spans="2:305" hidden="1" x14ac:dyDescent="0.35">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c r="CU177"/>
      <c r="CV177"/>
      <c r="CW177"/>
      <c r="CX177"/>
      <c r="CY177"/>
      <c r="CZ177"/>
      <c r="DA177"/>
      <c r="DB177"/>
      <c r="DC177"/>
      <c r="DD177"/>
      <c r="DE177"/>
      <c r="DF177"/>
      <c r="DG177"/>
      <c r="DH177"/>
      <c r="DI177"/>
      <c r="DJ177"/>
      <c r="DK177"/>
      <c r="DL177"/>
      <c r="DM177"/>
      <c r="DN177"/>
      <c r="DO177"/>
      <c r="DP177"/>
      <c r="DQ177"/>
      <c r="DR177"/>
      <c r="DS177"/>
      <c r="DT177"/>
      <c r="DU177"/>
      <c r="DV177"/>
      <c r="DW177"/>
      <c r="DX177"/>
      <c r="DY177"/>
      <c r="DZ177"/>
      <c r="EA177"/>
      <c r="EB177"/>
      <c r="EC177"/>
      <c r="ED177"/>
      <c r="EE177"/>
      <c r="EF177"/>
      <c r="EG177"/>
      <c r="EH177"/>
      <c r="EI177"/>
      <c r="EJ177"/>
      <c r="EK177"/>
      <c r="EL177"/>
      <c r="EM177"/>
      <c r="EN177"/>
      <c r="EO177"/>
      <c r="EP177"/>
      <c r="EQ177"/>
      <c r="ER177"/>
      <c r="ES177"/>
      <c r="ET177"/>
      <c r="EU177"/>
      <c r="EV177"/>
      <c r="EW177"/>
      <c r="EX177"/>
      <c r="EY177"/>
      <c r="EZ177"/>
      <c r="FA177"/>
      <c r="FB177"/>
      <c r="FC177"/>
      <c r="FD177"/>
      <c r="FE177"/>
      <c r="FF177"/>
      <c r="FG177"/>
      <c r="FH177"/>
      <c r="FI177"/>
      <c r="FJ177"/>
      <c r="FK177"/>
      <c r="FL177"/>
      <c r="FM177"/>
      <c r="FN177"/>
      <c r="FO177"/>
      <c r="FP177"/>
      <c r="FQ177"/>
      <c r="FR177"/>
      <c r="FS177"/>
      <c r="FT177"/>
      <c r="FU177"/>
      <c r="FV177"/>
      <c r="FW177"/>
      <c r="FX17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c r="JA177"/>
      <c r="JB177"/>
      <c r="JC177"/>
      <c r="JD177"/>
      <c r="JE177"/>
      <c r="JF177"/>
      <c r="JG177"/>
      <c r="JH177"/>
      <c r="JI177"/>
      <c r="JJ177"/>
      <c r="JK177"/>
      <c r="JL177"/>
      <c r="JM177"/>
      <c r="JN177"/>
      <c r="JO177"/>
      <c r="JP177"/>
      <c r="JQ177"/>
      <c r="JR177"/>
      <c r="JS177"/>
      <c r="JT177"/>
      <c r="JU177"/>
      <c r="JV177"/>
      <c r="JW177"/>
      <c r="JX177"/>
      <c r="JY177"/>
      <c r="JZ177"/>
      <c r="KA177"/>
      <c r="KB177"/>
      <c r="KC177"/>
      <c r="KD177"/>
      <c r="KE177"/>
      <c r="KF177"/>
      <c r="KG177"/>
      <c r="KH177"/>
      <c r="KI177"/>
      <c r="KJ177"/>
      <c r="KK177"/>
      <c r="KL177"/>
      <c r="KM177"/>
      <c r="KN177"/>
      <c r="KO177"/>
      <c r="KP177"/>
      <c r="KQ177"/>
      <c r="KR177"/>
      <c r="KS177"/>
    </row>
    <row r="178" spans="2:305" hidden="1" x14ac:dyDescent="0.35">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c r="CU178"/>
      <c r="CV178"/>
      <c r="CW178"/>
      <c r="CX178"/>
      <c r="CY178"/>
      <c r="CZ178"/>
      <c r="DA178"/>
      <c r="DB178"/>
      <c r="DC178"/>
      <c r="DD178"/>
      <c r="DE178"/>
      <c r="DF178"/>
      <c r="DG178"/>
      <c r="DH178"/>
      <c r="DI178"/>
      <c r="DJ178"/>
      <c r="DK178"/>
      <c r="DL178"/>
      <c r="DM178"/>
      <c r="DN178"/>
      <c r="DO178"/>
      <c r="DP178"/>
      <c r="DQ178"/>
      <c r="DR178"/>
      <c r="DS178"/>
      <c r="DT178"/>
      <c r="DU178"/>
      <c r="DV178"/>
      <c r="DW178"/>
      <c r="DX178"/>
      <c r="DY178"/>
      <c r="DZ178"/>
      <c r="EA178"/>
      <c r="EB178"/>
      <c r="EC178"/>
      <c r="ED178"/>
      <c r="EE178"/>
      <c r="EF178"/>
      <c r="EG178"/>
      <c r="EH178"/>
      <c r="EI178"/>
      <c r="EJ178"/>
      <c r="EK178"/>
      <c r="EL178"/>
      <c r="EM178"/>
      <c r="EN178"/>
      <c r="EO178"/>
      <c r="EP178"/>
      <c r="EQ178"/>
      <c r="ER178"/>
      <c r="ES178"/>
      <c r="ET178"/>
      <c r="EU178"/>
      <c r="EV178"/>
      <c r="EW178"/>
      <c r="EX178"/>
      <c r="EY178"/>
      <c r="EZ178"/>
      <c r="FA178"/>
      <c r="FB178"/>
      <c r="FC178"/>
      <c r="FD178"/>
      <c r="FE178"/>
      <c r="FF178"/>
      <c r="FG178"/>
      <c r="FH178"/>
      <c r="FI178"/>
      <c r="FJ178"/>
      <c r="FK178"/>
      <c r="FL178"/>
      <c r="FM178"/>
      <c r="FN178"/>
      <c r="FO178"/>
      <c r="FP178"/>
      <c r="FQ178"/>
      <c r="FR178"/>
      <c r="FS178"/>
      <c r="FT178"/>
      <c r="FU178"/>
      <c r="FV178"/>
      <c r="FW178"/>
      <c r="FX178"/>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c r="JA178"/>
      <c r="JB178"/>
      <c r="JC178"/>
      <c r="JD178"/>
      <c r="JE178"/>
      <c r="JF178"/>
      <c r="JG178"/>
      <c r="JH178"/>
      <c r="JI178"/>
      <c r="JJ178"/>
      <c r="JK178"/>
      <c r="JL178"/>
      <c r="JM178"/>
      <c r="JN178"/>
      <c r="JO178"/>
      <c r="JP178"/>
      <c r="JQ178"/>
      <c r="JR178"/>
      <c r="JS178"/>
      <c r="JT178"/>
      <c r="JU178"/>
      <c r="JV178"/>
      <c r="JW178"/>
      <c r="JX178"/>
      <c r="JY178"/>
      <c r="JZ178"/>
      <c r="KA178"/>
      <c r="KB178"/>
      <c r="KC178"/>
      <c r="KD178"/>
      <c r="KE178"/>
      <c r="KF178"/>
      <c r="KG178"/>
      <c r="KH178"/>
      <c r="KI178"/>
      <c r="KJ178"/>
      <c r="KK178"/>
      <c r="KL178"/>
      <c r="KM178"/>
      <c r="KN178"/>
      <c r="KO178"/>
      <c r="KP178"/>
      <c r="KQ178"/>
      <c r="KR178"/>
      <c r="KS178"/>
    </row>
    <row r="179" spans="2:305" hidden="1" x14ac:dyDescent="0.35">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c r="CU179"/>
      <c r="CV179"/>
      <c r="CW179"/>
      <c r="CX179"/>
      <c r="CY179"/>
      <c r="CZ179"/>
      <c r="DA179"/>
      <c r="DB179"/>
      <c r="DC179"/>
      <c r="DD179"/>
      <c r="DE179"/>
      <c r="DF179"/>
      <c r="DG179"/>
      <c r="DH179"/>
      <c r="DI179"/>
      <c r="DJ179"/>
      <c r="DK179"/>
      <c r="DL179"/>
      <c r="DM179"/>
      <c r="DN179"/>
      <c r="DO179"/>
      <c r="DP179"/>
      <c r="DQ179"/>
      <c r="DR179"/>
      <c r="DS179"/>
      <c r="DT179"/>
      <c r="DU179"/>
      <c r="DV179"/>
      <c r="DW179"/>
      <c r="DX179"/>
      <c r="DY179"/>
      <c r="DZ179"/>
      <c r="EA179"/>
      <c r="EB179"/>
      <c r="EC179"/>
      <c r="ED179"/>
      <c r="EE179"/>
      <c r="EF179"/>
      <c r="EG179"/>
      <c r="EH179"/>
      <c r="EI179"/>
      <c r="EJ179"/>
      <c r="EK179"/>
      <c r="EL179"/>
      <c r="EM179"/>
      <c r="EN179"/>
      <c r="EO179"/>
      <c r="EP179"/>
      <c r="EQ179"/>
      <c r="ER179"/>
      <c r="ES179"/>
      <c r="ET179"/>
      <c r="EU179"/>
      <c r="EV179"/>
      <c r="EW179"/>
      <c r="EX179"/>
      <c r="EY179"/>
      <c r="EZ179"/>
      <c r="FA179"/>
      <c r="FB179"/>
      <c r="FC179"/>
      <c r="FD179"/>
      <c r="FE179"/>
      <c r="FF179"/>
      <c r="FG179"/>
      <c r="FH179"/>
      <c r="FI179"/>
      <c r="FJ179"/>
      <c r="FK179"/>
      <c r="FL179"/>
      <c r="FM179"/>
      <c r="FN179"/>
      <c r="FO179"/>
      <c r="FP179"/>
      <c r="FQ179"/>
      <c r="FR179"/>
      <c r="FS179"/>
      <c r="FT179"/>
      <c r="FU179"/>
      <c r="FV179"/>
      <c r="FW179"/>
      <c r="FX179"/>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c r="JA179"/>
      <c r="JB179"/>
      <c r="JC179"/>
      <c r="JD179"/>
      <c r="JE179"/>
      <c r="JF179"/>
      <c r="JG179"/>
      <c r="JH179"/>
      <c r="JI179"/>
      <c r="JJ179"/>
      <c r="JK179"/>
      <c r="JL179"/>
      <c r="JM179"/>
      <c r="JN179"/>
      <c r="JO179"/>
      <c r="JP179"/>
      <c r="JQ179"/>
      <c r="JR179"/>
      <c r="JS179"/>
      <c r="JT179"/>
      <c r="JU179"/>
      <c r="JV179"/>
      <c r="JW179"/>
      <c r="JX179"/>
      <c r="JY179"/>
      <c r="JZ179"/>
      <c r="KA179"/>
      <c r="KB179"/>
      <c r="KC179"/>
      <c r="KD179"/>
      <c r="KE179"/>
      <c r="KF179"/>
      <c r="KG179"/>
      <c r="KH179"/>
      <c r="KI179"/>
      <c r="KJ179"/>
      <c r="KK179"/>
      <c r="KL179"/>
      <c r="KM179"/>
      <c r="KN179"/>
      <c r="KO179"/>
      <c r="KP179"/>
      <c r="KQ179"/>
      <c r="KR179"/>
      <c r="KS179"/>
    </row>
    <row r="180" spans="2:305" hidden="1" x14ac:dyDescent="0.35">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c r="CU180"/>
      <c r="CV180"/>
      <c r="CW180"/>
      <c r="CX180"/>
      <c r="CY180"/>
      <c r="CZ180"/>
      <c r="DA180"/>
      <c r="DB180"/>
      <c r="DC180"/>
      <c r="DD180"/>
      <c r="DE180"/>
      <c r="DF180"/>
      <c r="DG180"/>
      <c r="DH180"/>
      <c r="DI180"/>
      <c r="DJ180"/>
      <c r="DK180"/>
      <c r="DL180"/>
      <c r="DM180"/>
      <c r="DN180"/>
      <c r="DO180"/>
      <c r="DP180"/>
      <c r="DQ180"/>
      <c r="DR180"/>
      <c r="DS180"/>
      <c r="DT180"/>
      <c r="DU180"/>
      <c r="DV180"/>
      <c r="DW180"/>
      <c r="DX180"/>
      <c r="DY180"/>
      <c r="DZ180"/>
      <c r="EA180"/>
      <c r="EB180"/>
      <c r="EC180"/>
      <c r="ED180"/>
      <c r="EE180"/>
      <c r="EF180"/>
      <c r="EG180"/>
      <c r="EH180"/>
      <c r="EI180"/>
      <c r="EJ180"/>
      <c r="EK180"/>
      <c r="EL180"/>
      <c r="EM180"/>
      <c r="EN180"/>
      <c r="EO180"/>
      <c r="EP180"/>
      <c r="EQ180"/>
      <c r="ER180"/>
      <c r="ES180"/>
      <c r="ET180"/>
      <c r="EU180"/>
      <c r="EV180"/>
      <c r="EW180"/>
      <c r="EX180"/>
      <c r="EY180"/>
      <c r="EZ180"/>
      <c r="FA180"/>
      <c r="FB180"/>
      <c r="FC180"/>
      <c r="FD180"/>
      <c r="FE180"/>
      <c r="FF180"/>
      <c r="FG180"/>
      <c r="FH180"/>
      <c r="FI180"/>
      <c r="FJ180"/>
      <c r="FK180"/>
      <c r="FL180"/>
      <c r="FM180"/>
      <c r="FN180"/>
      <c r="FO180"/>
      <c r="FP180"/>
      <c r="FQ180"/>
      <c r="FR180"/>
      <c r="FS180"/>
      <c r="FT180"/>
      <c r="FU180"/>
      <c r="FV180"/>
      <c r="FW180"/>
      <c r="FX18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c r="JA180"/>
      <c r="JB180"/>
      <c r="JC180"/>
      <c r="JD180"/>
      <c r="JE180"/>
      <c r="JF180"/>
      <c r="JG180"/>
      <c r="JH180"/>
      <c r="JI180"/>
      <c r="JJ180"/>
      <c r="JK180"/>
      <c r="JL180"/>
      <c r="JM180"/>
      <c r="JN180"/>
      <c r="JO180"/>
      <c r="JP180"/>
      <c r="JQ180"/>
      <c r="JR180"/>
      <c r="JS180"/>
      <c r="JT180"/>
      <c r="JU180"/>
      <c r="JV180"/>
      <c r="JW180"/>
      <c r="JX180"/>
      <c r="JY180"/>
      <c r="JZ180"/>
      <c r="KA180"/>
      <c r="KB180"/>
      <c r="KC180"/>
      <c r="KD180"/>
      <c r="KE180"/>
      <c r="KF180"/>
      <c r="KG180"/>
      <c r="KH180"/>
      <c r="KI180"/>
      <c r="KJ180"/>
      <c r="KK180"/>
      <c r="KL180"/>
      <c r="KM180"/>
      <c r="KN180"/>
      <c r="KO180"/>
      <c r="KP180"/>
      <c r="KQ180"/>
      <c r="KR180"/>
      <c r="KS180"/>
    </row>
    <row r="181" spans="2:305" hidden="1" x14ac:dyDescent="0.35">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c r="CU181"/>
      <c r="CV181"/>
      <c r="CW181"/>
      <c r="CX181"/>
      <c r="CY181"/>
      <c r="CZ181"/>
      <c r="DA181"/>
      <c r="DB181"/>
      <c r="DC181"/>
      <c r="DD181"/>
      <c r="DE181"/>
      <c r="DF181"/>
      <c r="DG181"/>
      <c r="DH181"/>
      <c r="DI181"/>
      <c r="DJ181"/>
      <c r="DK181"/>
      <c r="DL181"/>
      <c r="DM181"/>
      <c r="DN181"/>
      <c r="DO181"/>
      <c r="DP181"/>
      <c r="DQ181"/>
      <c r="DR181"/>
      <c r="DS181"/>
      <c r="DT181"/>
      <c r="DU181"/>
      <c r="DV181"/>
      <c r="DW181"/>
      <c r="DX181"/>
      <c r="DY181"/>
      <c r="DZ181"/>
      <c r="EA181"/>
      <c r="EB181"/>
      <c r="EC181"/>
      <c r="ED181"/>
      <c r="EE181"/>
      <c r="EF181"/>
      <c r="EG181"/>
      <c r="EH181"/>
      <c r="EI181"/>
      <c r="EJ181"/>
      <c r="EK181"/>
      <c r="EL181"/>
      <c r="EM181"/>
      <c r="EN181"/>
      <c r="EO181"/>
      <c r="EP181"/>
      <c r="EQ181"/>
      <c r="ER181"/>
      <c r="ES181"/>
      <c r="ET181"/>
      <c r="EU181"/>
      <c r="EV181"/>
      <c r="EW181"/>
      <c r="EX181"/>
      <c r="EY181"/>
      <c r="EZ181"/>
      <c r="FA181"/>
      <c r="FB181"/>
      <c r="FC181"/>
      <c r="FD181"/>
      <c r="FE181"/>
      <c r="FF181"/>
      <c r="FG181"/>
      <c r="FH181"/>
      <c r="FI181"/>
      <c r="FJ181"/>
      <c r="FK181"/>
      <c r="FL181"/>
      <c r="FM181"/>
      <c r="FN181"/>
      <c r="FO181"/>
      <c r="FP181"/>
      <c r="FQ181"/>
      <c r="FR181"/>
      <c r="FS181"/>
      <c r="FT181"/>
      <c r="FU181"/>
      <c r="FV181"/>
      <c r="FW181"/>
      <c r="FX181"/>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c r="JA181"/>
      <c r="JB181"/>
      <c r="JC181"/>
      <c r="JD181"/>
      <c r="JE181"/>
      <c r="JF181"/>
      <c r="JG181"/>
      <c r="JH181"/>
      <c r="JI181"/>
      <c r="JJ181"/>
      <c r="JK181"/>
      <c r="JL181"/>
      <c r="JM181"/>
      <c r="JN181"/>
      <c r="JO181"/>
      <c r="JP181"/>
      <c r="JQ181"/>
      <c r="JR181"/>
      <c r="JS181"/>
      <c r="JT181"/>
      <c r="JU181"/>
      <c r="JV181"/>
      <c r="JW181"/>
      <c r="JX181"/>
      <c r="JY181"/>
      <c r="JZ181"/>
      <c r="KA181"/>
      <c r="KB181"/>
      <c r="KC181"/>
      <c r="KD181"/>
      <c r="KE181"/>
      <c r="KF181"/>
      <c r="KG181"/>
      <c r="KH181"/>
      <c r="KI181"/>
      <c r="KJ181"/>
      <c r="KK181"/>
      <c r="KL181"/>
      <c r="KM181"/>
      <c r="KN181"/>
      <c r="KO181"/>
      <c r="KP181"/>
      <c r="KQ181"/>
      <c r="KR181"/>
      <c r="KS181"/>
    </row>
    <row r="182" spans="2:305" hidden="1" x14ac:dyDescent="0.35">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c r="CU182"/>
      <c r="CV182"/>
      <c r="CW182"/>
      <c r="CX182"/>
      <c r="CY182"/>
      <c r="CZ182"/>
      <c r="DA182"/>
      <c r="DB182"/>
      <c r="DC182"/>
      <c r="DD182"/>
      <c r="DE182"/>
      <c r="DF182"/>
      <c r="DG182"/>
      <c r="DH182"/>
      <c r="DI182"/>
      <c r="DJ182"/>
      <c r="DK182"/>
      <c r="DL182"/>
      <c r="DM182"/>
      <c r="DN182"/>
      <c r="DO182"/>
      <c r="DP182"/>
      <c r="DQ182"/>
      <c r="DR182"/>
      <c r="DS182"/>
      <c r="DT182"/>
      <c r="DU182"/>
      <c r="DV182"/>
      <c r="DW182"/>
      <c r="DX182"/>
      <c r="DY182"/>
      <c r="DZ182"/>
      <c r="EA182"/>
      <c r="EB182"/>
      <c r="EC182"/>
      <c r="ED182"/>
      <c r="EE182"/>
      <c r="EF182"/>
      <c r="EG182"/>
      <c r="EH182"/>
      <c r="EI182"/>
      <c r="EJ182"/>
      <c r="EK182"/>
      <c r="EL182"/>
      <c r="EM182"/>
      <c r="EN182"/>
      <c r="EO182"/>
      <c r="EP182"/>
      <c r="EQ182"/>
      <c r="ER182"/>
      <c r="ES182"/>
      <c r="ET182"/>
      <c r="EU182"/>
      <c r="EV182"/>
      <c r="EW182"/>
      <c r="EX182"/>
      <c r="EY182"/>
      <c r="EZ182"/>
      <c r="FA182"/>
      <c r="FB182"/>
      <c r="FC182"/>
      <c r="FD182"/>
      <c r="FE182"/>
      <c r="FF182"/>
      <c r="FG182"/>
      <c r="FH182"/>
      <c r="FI182"/>
      <c r="FJ182"/>
      <c r="FK182"/>
      <c r="FL182"/>
      <c r="FM182"/>
      <c r="FN182"/>
      <c r="FO182"/>
      <c r="FP182"/>
      <c r="FQ182"/>
      <c r="FR182"/>
      <c r="FS182"/>
      <c r="FT182"/>
      <c r="FU182"/>
      <c r="FV182"/>
      <c r="FW182"/>
      <c r="FX182"/>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c r="JA182"/>
      <c r="JB182"/>
      <c r="JC182"/>
      <c r="JD182"/>
      <c r="JE182"/>
      <c r="JF182"/>
      <c r="JG182"/>
      <c r="JH182"/>
      <c r="JI182"/>
      <c r="JJ182"/>
      <c r="JK182"/>
      <c r="JL182"/>
      <c r="JM182"/>
      <c r="JN182"/>
      <c r="JO182"/>
      <c r="JP182"/>
      <c r="JQ182"/>
      <c r="JR182"/>
      <c r="JS182"/>
      <c r="JT182"/>
      <c r="JU182"/>
      <c r="JV182"/>
      <c r="JW182"/>
      <c r="JX182"/>
      <c r="JY182"/>
      <c r="JZ182"/>
      <c r="KA182"/>
      <c r="KB182"/>
      <c r="KC182"/>
      <c r="KD182"/>
      <c r="KE182"/>
      <c r="KF182"/>
      <c r="KG182"/>
      <c r="KH182"/>
      <c r="KI182"/>
      <c r="KJ182"/>
      <c r="KK182"/>
      <c r="KL182"/>
      <c r="KM182"/>
      <c r="KN182"/>
      <c r="KO182"/>
      <c r="KP182"/>
      <c r="KQ182"/>
      <c r="KR182"/>
      <c r="KS182"/>
    </row>
    <row r="183" spans="2:305" hidden="1" x14ac:dyDescent="0.35">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c r="CU183"/>
      <c r="CV183"/>
      <c r="CW183"/>
      <c r="CX183"/>
      <c r="CY183"/>
      <c r="CZ183"/>
      <c r="DA183"/>
      <c r="DB183"/>
      <c r="DC183"/>
      <c r="DD183"/>
      <c r="DE183"/>
      <c r="DF183"/>
      <c r="DG183"/>
      <c r="DH183"/>
      <c r="DI183"/>
      <c r="DJ183"/>
      <c r="DK183"/>
      <c r="DL183"/>
      <c r="DM183"/>
      <c r="DN183"/>
      <c r="DO183"/>
      <c r="DP183"/>
      <c r="DQ183"/>
      <c r="DR183"/>
      <c r="DS183"/>
      <c r="DT183"/>
      <c r="DU183"/>
      <c r="DV183"/>
      <c r="DW183"/>
      <c r="DX183"/>
      <c r="DY183"/>
      <c r="DZ183"/>
      <c r="EA183"/>
      <c r="EB183"/>
      <c r="EC183"/>
      <c r="ED183"/>
      <c r="EE183"/>
      <c r="EF183"/>
      <c r="EG183"/>
      <c r="EH183"/>
      <c r="EI183"/>
      <c r="EJ183"/>
      <c r="EK183"/>
      <c r="EL183"/>
      <c r="EM183"/>
      <c r="EN183"/>
      <c r="EO183"/>
      <c r="EP183"/>
      <c r="EQ183"/>
      <c r="ER183"/>
      <c r="ES183"/>
      <c r="ET183"/>
      <c r="EU183"/>
      <c r="EV183"/>
      <c r="EW183"/>
      <c r="EX183"/>
      <c r="EY183"/>
      <c r="EZ183"/>
      <c r="FA183"/>
      <c r="FB183"/>
      <c r="FC183"/>
      <c r="FD183"/>
      <c r="FE183"/>
      <c r="FF183"/>
      <c r="FG183"/>
      <c r="FH183"/>
      <c r="FI183"/>
      <c r="FJ183"/>
      <c r="FK183"/>
      <c r="FL183"/>
      <c r="FM183"/>
      <c r="FN183"/>
      <c r="FO183"/>
      <c r="FP183"/>
      <c r="FQ183"/>
      <c r="FR183"/>
      <c r="FS183"/>
      <c r="FT183"/>
      <c r="FU183"/>
      <c r="FV183"/>
      <c r="FW183"/>
      <c r="FX183"/>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c r="JA183"/>
      <c r="JB183"/>
      <c r="JC183"/>
      <c r="JD183"/>
      <c r="JE183"/>
      <c r="JF183"/>
      <c r="JG183"/>
      <c r="JH183"/>
      <c r="JI183"/>
      <c r="JJ183"/>
      <c r="JK183"/>
      <c r="JL183"/>
      <c r="JM183"/>
      <c r="JN183"/>
      <c r="JO183"/>
      <c r="JP183"/>
      <c r="JQ183"/>
      <c r="JR183"/>
      <c r="JS183"/>
      <c r="JT183"/>
      <c r="JU183"/>
      <c r="JV183"/>
      <c r="JW183"/>
      <c r="JX183"/>
      <c r="JY183"/>
      <c r="JZ183"/>
      <c r="KA183"/>
      <c r="KB183"/>
      <c r="KC183"/>
      <c r="KD183"/>
      <c r="KE183"/>
      <c r="KF183"/>
      <c r="KG183"/>
      <c r="KH183"/>
      <c r="KI183"/>
      <c r="KJ183"/>
      <c r="KK183"/>
      <c r="KL183"/>
      <c r="KM183"/>
      <c r="KN183"/>
      <c r="KO183"/>
      <c r="KP183"/>
      <c r="KQ183"/>
      <c r="KR183"/>
      <c r="KS183"/>
    </row>
    <row r="184" spans="2:305" hidden="1" x14ac:dyDescent="0.35">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c r="CU184"/>
      <c r="CV184"/>
      <c r="CW184"/>
      <c r="CX184"/>
      <c r="CY184"/>
      <c r="CZ184"/>
      <c r="DA184"/>
      <c r="DB184"/>
      <c r="DC184"/>
      <c r="DD184"/>
      <c r="DE184"/>
      <c r="DF184"/>
      <c r="DG184"/>
      <c r="DH184"/>
      <c r="DI184"/>
      <c r="DJ184"/>
      <c r="DK184"/>
      <c r="DL184"/>
      <c r="DM184"/>
      <c r="DN184"/>
      <c r="DO184"/>
      <c r="DP184"/>
      <c r="DQ184"/>
      <c r="DR184"/>
      <c r="DS184"/>
      <c r="DT184"/>
      <c r="DU184"/>
      <c r="DV184"/>
      <c r="DW184"/>
      <c r="DX184"/>
      <c r="DY184"/>
      <c r="DZ184"/>
      <c r="EA184"/>
      <c r="EB184"/>
      <c r="EC184"/>
      <c r="ED184"/>
      <c r="EE184"/>
      <c r="EF184"/>
      <c r="EG184"/>
      <c r="EH184"/>
      <c r="EI184"/>
      <c r="EJ184"/>
      <c r="EK184"/>
      <c r="EL184"/>
      <c r="EM184"/>
      <c r="EN184"/>
      <c r="EO184"/>
      <c r="EP184"/>
      <c r="EQ184"/>
      <c r="ER184"/>
      <c r="ES184"/>
      <c r="ET184"/>
      <c r="EU184"/>
      <c r="EV184"/>
      <c r="EW184"/>
      <c r="EX184"/>
      <c r="EY184"/>
      <c r="EZ184"/>
      <c r="FA184"/>
      <c r="FB184"/>
      <c r="FC184"/>
      <c r="FD184"/>
      <c r="FE184"/>
      <c r="FF184"/>
      <c r="FG184"/>
      <c r="FH184"/>
      <c r="FI184"/>
      <c r="FJ184"/>
      <c r="FK184"/>
      <c r="FL184"/>
      <c r="FM184"/>
      <c r="FN184"/>
      <c r="FO184"/>
      <c r="FP184"/>
      <c r="FQ184"/>
      <c r="FR184"/>
      <c r="FS184"/>
      <c r="FT184"/>
      <c r="FU184"/>
      <c r="FV184"/>
      <c r="FW184"/>
      <c r="FX184"/>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c r="JA184"/>
      <c r="JB184"/>
      <c r="JC184"/>
      <c r="JD184"/>
      <c r="JE184"/>
      <c r="JF184"/>
      <c r="JG184"/>
      <c r="JH184"/>
      <c r="JI184"/>
      <c r="JJ184"/>
      <c r="JK184"/>
      <c r="JL184"/>
      <c r="JM184"/>
      <c r="JN184"/>
      <c r="JO184"/>
      <c r="JP184"/>
      <c r="JQ184"/>
      <c r="JR184"/>
      <c r="JS184"/>
      <c r="JT184"/>
      <c r="JU184"/>
      <c r="JV184"/>
      <c r="JW184"/>
      <c r="JX184"/>
      <c r="JY184"/>
      <c r="JZ184"/>
      <c r="KA184"/>
      <c r="KB184"/>
      <c r="KC184"/>
      <c r="KD184"/>
      <c r="KE184"/>
      <c r="KF184"/>
      <c r="KG184"/>
      <c r="KH184"/>
      <c r="KI184"/>
      <c r="KJ184"/>
      <c r="KK184"/>
      <c r="KL184"/>
      <c r="KM184"/>
      <c r="KN184"/>
      <c r="KO184"/>
      <c r="KP184"/>
      <c r="KQ184"/>
      <c r="KR184"/>
      <c r="KS184"/>
    </row>
    <row r="185" spans="2:305" hidden="1" x14ac:dyDescent="0.3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c r="CU185"/>
      <c r="CV185"/>
      <c r="CW185"/>
      <c r="CX185"/>
      <c r="CY185"/>
      <c r="CZ185"/>
      <c r="DA185"/>
      <c r="DB185"/>
      <c r="DC185"/>
      <c r="DD185"/>
      <c r="DE185"/>
      <c r="DF185"/>
      <c r="DG185"/>
      <c r="DH185"/>
      <c r="DI185"/>
      <c r="DJ185"/>
      <c r="DK185"/>
      <c r="DL185"/>
      <c r="DM185"/>
      <c r="DN185"/>
      <c r="DO185"/>
      <c r="DP185"/>
      <c r="DQ185"/>
      <c r="DR185"/>
      <c r="DS185"/>
      <c r="DT185"/>
      <c r="DU185"/>
      <c r="DV185"/>
      <c r="DW185"/>
      <c r="DX185"/>
      <c r="DY185"/>
      <c r="DZ185"/>
      <c r="EA185"/>
      <c r="EB185"/>
      <c r="EC185"/>
      <c r="ED185"/>
      <c r="EE185"/>
      <c r="EF185"/>
      <c r="EG185"/>
      <c r="EH185"/>
      <c r="EI185"/>
      <c r="EJ185"/>
      <c r="EK185"/>
      <c r="EL185"/>
      <c r="EM185"/>
      <c r="EN185"/>
      <c r="EO185"/>
      <c r="EP185"/>
      <c r="EQ185"/>
      <c r="ER185"/>
      <c r="ES185"/>
      <c r="ET185"/>
      <c r="EU185"/>
      <c r="EV185"/>
      <c r="EW185"/>
      <c r="EX185"/>
      <c r="EY185"/>
      <c r="EZ185"/>
      <c r="FA185"/>
      <c r="FB185"/>
      <c r="FC185"/>
      <c r="FD185"/>
      <c r="FE185"/>
      <c r="FF185"/>
      <c r="FG185"/>
      <c r="FH185"/>
      <c r="FI185"/>
      <c r="FJ185"/>
      <c r="FK185"/>
      <c r="FL185"/>
      <c r="FM185"/>
      <c r="FN185"/>
      <c r="FO185"/>
      <c r="FP185"/>
      <c r="FQ185"/>
      <c r="FR185"/>
      <c r="FS185"/>
      <c r="FT185"/>
      <c r="FU185"/>
      <c r="FV185"/>
      <c r="FW185"/>
      <c r="FX185"/>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c r="JA185"/>
      <c r="JB185"/>
      <c r="JC185"/>
      <c r="JD185"/>
      <c r="JE185"/>
      <c r="JF185"/>
      <c r="JG185"/>
      <c r="JH185"/>
      <c r="JI185"/>
      <c r="JJ185"/>
      <c r="JK185"/>
      <c r="JL185"/>
      <c r="JM185"/>
      <c r="JN185"/>
      <c r="JO185"/>
      <c r="JP185"/>
      <c r="JQ185"/>
      <c r="JR185"/>
      <c r="JS185"/>
      <c r="JT185"/>
      <c r="JU185"/>
      <c r="JV185"/>
      <c r="JW185"/>
      <c r="JX185"/>
      <c r="JY185"/>
      <c r="JZ185"/>
      <c r="KA185"/>
      <c r="KB185"/>
      <c r="KC185"/>
      <c r="KD185"/>
      <c r="KE185"/>
      <c r="KF185"/>
      <c r="KG185"/>
      <c r="KH185"/>
      <c r="KI185"/>
      <c r="KJ185"/>
      <c r="KK185"/>
      <c r="KL185"/>
      <c r="KM185"/>
      <c r="KN185"/>
      <c r="KO185"/>
      <c r="KP185"/>
      <c r="KQ185"/>
      <c r="KR185"/>
      <c r="KS185"/>
    </row>
    <row r="186" spans="2:305" hidden="1" x14ac:dyDescent="0.35">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c r="CU186"/>
      <c r="CV186"/>
      <c r="CW186"/>
      <c r="CX186"/>
      <c r="CY186"/>
      <c r="CZ186"/>
      <c r="DA186"/>
      <c r="DB186"/>
      <c r="DC186"/>
      <c r="DD186"/>
      <c r="DE186"/>
      <c r="DF186"/>
      <c r="DG186"/>
      <c r="DH186"/>
      <c r="DI186"/>
      <c r="DJ186"/>
      <c r="DK186"/>
      <c r="DL186"/>
      <c r="DM186"/>
      <c r="DN186"/>
      <c r="DO186"/>
      <c r="DP186"/>
      <c r="DQ186"/>
      <c r="DR186"/>
      <c r="DS186"/>
      <c r="DT186"/>
      <c r="DU186"/>
      <c r="DV186"/>
      <c r="DW186"/>
      <c r="DX186"/>
      <c r="DY186"/>
      <c r="DZ186"/>
      <c r="EA186"/>
      <c r="EB186"/>
      <c r="EC186"/>
      <c r="ED186"/>
      <c r="EE186"/>
      <c r="EF186"/>
      <c r="EG186"/>
      <c r="EH186"/>
      <c r="EI186"/>
      <c r="EJ186"/>
      <c r="EK186"/>
      <c r="EL186"/>
      <c r="EM186"/>
      <c r="EN186"/>
      <c r="EO186"/>
      <c r="EP186"/>
      <c r="EQ186"/>
      <c r="ER186"/>
      <c r="ES186"/>
      <c r="ET186"/>
      <c r="EU186"/>
      <c r="EV186"/>
      <c r="EW186"/>
      <c r="EX186"/>
      <c r="EY186"/>
      <c r="EZ186"/>
      <c r="FA186"/>
      <c r="FB186"/>
      <c r="FC186"/>
      <c r="FD186"/>
      <c r="FE186"/>
      <c r="FF186"/>
      <c r="FG186"/>
      <c r="FH186"/>
      <c r="FI186"/>
      <c r="FJ186"/>
      <c r="FK186"/>
      <c r="FL186"/>
      <c r="FM186"/>
      <c r="FN186"/>
      <c r="FO186"/>
      <c r="FP186"/>
      <c r="FQ186"/>
      <c r="FR186"/>
      <c r="FS186"/>
      <c r="FT186"/>
      <c r="FU186"/>
      <c r="FV186"/>
      <c r="FW186"/>
      <c r="FX186"/>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c r="JA186"/>
      <c r="JB186"/>
      <c r="JC186"/>
      <c r="JD186"/>
      <c r="JE186"/>
      <c r="JF186"/>
      <c r="JG186"/>
      <c r="JH186"/>
      <c r="JI186"/>
      <c r="JJ186"/>
      <c r="JK186"/>
      <c r="JL186"/>
      <c r="JM186"/>
      <c r="JN186"/>
      <c r="JO186"/>
      <c r="JP186"/>
      <c r="JQ186"/>
      <c r="JR186"/>
      <c r="JS186"/>
      <c r="JT186"/>
      <c r="JU186"/>
      <c r="JV186"/>
      <c r="JW186"/>
      <c r="JX186"/>
      <c r="JY186"/>
      <c r="JZ186"/>
      <c r="KA186"/>
      <c r="KB186"/>
      <c r="KC186"/>
      <c r="KD186"/>
      <c r="KE186"/>
      <c r="KF186"/>
      <c r="KG186"/>
      <c r="KH186"/>
      <c r="KI186"/>
      <c r="KJ186"/>
      <c r="KK186"/>
      <c r="KL186"/>
      <c r="KM186"/>
      <c r="KN186"/>
      <c r="KO186"/>
      <c r="KP186"/>
      <c r="KQ186"/>
      <c r="KR186"/>
      <c r="KS186"/>
    </row>
    <row r="187" spans="2:305" hidden="1" x14ac:dyDescent="0.35">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c r="CU187"/>
      <c r="CV187"/>
      <c r="CW187"/>
      <c r="CX187"/>
      <c r="CY187"/>
      <c r="CZ187"/>
      <c r="DA187"/>
      <c r="DB187"/>
      <c r="DC187"/>
      <c r="DD187"/>
      <c r="DE187"/>
      <c r="DF187"/>
      <c r="DG187"/>
      <c r="DH187"/>
      <c r="DI187"/>
      <c r="DJ187"/>
      <c r="DK187"/>
      <c r="DL187"/>
      <c r="DM187"/>
      <c r="DN187"/>
      <c r="DO187"/>
      <c r="DP187"/>
      <c r="DQ187"/>
      <c r="DR187"/>
      <c r="DS187"/>
      <c r="DT187"/>
      <c r="DU187"/>
      <c r="DV187"/>
      <c r="DW187"/>
      <c r="DX187"/>
      <c r="DY187"/>
      <c r="DZ187"/>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c r="JA187"/>
      <c r="JB187"/>
      <c r="JC187"/>
      <c r="JD187"/>
      <c r="JE187"/>
      <c r="JF187"/>
      <c r="JG187"/>
      <c r="JH187"/>
      <c r="JI187"/>
      <c r="JJ187"/>
      <c r="JK187"/>
      <c r="JL187"/>
      <c r="JM187"/>
      <c r="JN187"/>
      <c r="JO187"/>
      <c r="JP187"/>
      <c r="JQ187"/>
      <c r="JR187"/>
      <c r="JS187"/>
      <c r="JT187"/>
      <c r="JU187"/>
      <c r="JV187"/>
      <c r="JW187"/>
      <c r="JX187"/>
      <c r="JY187"/>
      <c r="JZ187"/>
      <c r="KA187"/>
      <c r="KB187"/>
      <c r="KC187"/>
      <c r="KD187"/>
      <c r="KE187"/>
      <c r="KF187"/>
      <c r="KG187"/>
      <c r="KH187"/>
      <c r="KI187"/>
      <c r="KJ187"/>
      <c r="KK187"/>
      <c r="KL187"/>
      <c r="KM187"/>
      <c r="KN187"/>
      <c r="KO187"/>
      <c r="KP187"/>
      <c r="KQ187"/>
      <c r="KR187"/>
      <c r="KS187"/>
    </row>
    <row r="188" spans="2:305" hidden="1" x14ac:dyDescent="0.35">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c r="CU188"/>
      <c r="CV188"/>
      <c r="CW188"/>
      <c r="CX188"/>
      <c r="CY188"/>
      <c r="CZ188"/>
      <c r="DA188"/>
      <c r="DB188"/>
      <c r="DC188"/>
      <c r="DD188"/>
      <c r="DE188"/>
      <c r="DF188"/>
      <c r="DG188"/>
      <c r="DH188"/>
      <c r="DI188"/>
      <c r="DJ188"/>
      <c r="DK188"/>
      <c r="DL188"/>
      <c r="DM188"/>
      <c r="DN188"/>
      <c r="DO188"/>
      <c r="DP188"/>
      <c r="DQ188"/>
      <c r="DR188"/>
      <c r="DS188"/>
      <c r="DT188"/>
      <c r="DU188"/>
      <c r="DV188"/>
      <c r="DW188"/>
      <c r="DX188"/>
      <c r="DY188"/>
      <c r="DZ188"/>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c r="JA188"/>
      <c r="JB188"/>
      <c r="JC188"/>
      <c r="JD188"/>
      <c r="JE188"/>
      <c r="JF188"/>
      <c r="JG188"/>
      <c r="JH188"/>
      <c r="JI188"/>
      <c r="JJ188"/>
      <c r="JK188"/>
      <c r="JL188"/>
      <c r="JM188"/>
      <c r="JN188"/>
      <c r="JO188"/>
      <c r="JP188"/>
      <c r="JQ188"/>
      <c r="JR188"/>
      <c r="JS188"/>
      <c r="JT188"/>
      <c r="JU188"/>
      <c r="JV188"/>
      <c r="JW188"/>
      <c r="JX188"/>
      <c r="JY188"/>
      <c r="JZ188"/>
      <c r="KA188"/>
      <c r="KB188"/>
      <c r="KC188"/>
      <c r="KD188"/>
      <c r="KE188"/>
      <c r="KF188"/>
      <c r="KG188"/>
      <c r="KH188"/>
      <c r="KI188"/>
      <c r="KJ188"/>
      <c r="KK188"/>
      <c r="KL188"/>
      <c r="KM188"/>
      <c r="KN188"/>
      <c r="KO188"/>
      <c r="KP188"/>
      <c r="KQ188"/>
      <c r="KR188"/>
      <c r="KS188"/>
    </row>
    <row r="189" spans="2:305" hidden="1" x14ac:dyDescent="0.35">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c r="CU189"/>
      <c r="CV189"/>
      <c r="CW189"/>
      <c r="CX189"/>
      <c r="CY189"/>
      <c r="CZ189"/>
      <c r="DA189"/>
      <c r="DB189"/>
      <c r="DC189"/>
      <c r="DD189"/>
      <c r="DE189"/>
      <c r="DF189"/>
      <c r="DG189"/>
      <c r="DH189"/>
      <c r="DI189"/>
      <c r="DJ189"/>
      <c r="DK189"/>
      <c r="DL189"/>
      <c r="DM189"/>
      <c r="DN189"/>
      <c r="DO189"/>
      <c r="DP189"/>
      <c r="DQ189"/>
      <c r="DR189"/>
      <c r="DS189"/>
      <c r="DT189"/>
      <c r="DU189"/>
      <c r="DV189"/>
      <c r="DW189"/>
      <c r="DX189"/>
      <c r="DY189"/>
      <c r="DZ189"/>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c r="JA189"/>
      <c r="JB189"/>
      <c r="JC189"/>
      <c r="JD189"/>
      <c r="JE189"/>
      <c r="JF189"/>
      <c r="JG189"/>
      <c r="JH189"/>
      <c r="JI189"/>
      <c r="JJ189"/>
      <c r="JK189"/>
      <c r="JL189"/>
      <c r="JM189"/>
      <c r="JN189"/>
      <c r="JO189"/>
      <c r="JP189"/>
      <c r="JQ189"/>
      <c r="JR189"/>
      <c r="JS189"/>
      <c r="JT189"/>
      <c r="JU189"/>
      <c r="JV189"/>
      <c r="JW189"/>
      <c r="JX189"/>
      <c r="JY189"/>
      <c r="JZ189"/>
      <c r="KA189"/>
      <c r="KB189"/>
      <c r="KC189"/>
      <c r="KD189"/>
      <c r="KE189"/>
      <c r="KF189"/>
      <c r="KG189"/>
      <c r="KH189"/>
      <c r="KI189"/>
      <c r="KJ189"/>
      <c r="KK189"/>
      <c r="KL189"/>
      <c r="KM189"/>
      <c r="KN189"/>
      <c r="KO189"/>
      <c r="KP189"/>
      <c r="KQ189"/>
      <c r="KR189"/>
      <c r="KS189"/>
    </row>
    <row r="190" spans="2:305" hidden="1" x14ac:dyDescent="0.35">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c r="CU190"/>
      <c r="CV190"/>
      <c r="CW190"/>
      <c r="CX190"/>
      <c r="CY190"/>
      <c r="CZ190"/>
      <c r="DA190"/>
      <c r="DB190"/>
      <c r="DC190"/>
      <c r="DD190"/>
      <c r="DE190"/>
      <c r="DF190"/>
      <c r="DG190"/>
      <c r="DH190"/>
      <c r="DI190"/>
      <c r="DJ190"/>
      <c r="DK190"/>
      <c r="DL190"/>
      <c r="DM190"/>
      <c r="DN190"/>
      <c r="DO190"/>
      <c r="DP190"/>
      <c r="DQ190"/>
      <c r="DR190"/>
      <c r="DS190"/>
      <c r="DT190"/>
      <c r="DU190"/>
      <c r="DV190"/>
      <c r="DW190"/>
      <c r="DX190"/>
      <c r="DY190"/>
      <c r="DZ190"/>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c r="JA190"/>
      <c r="JB190"/>
      <c r="JC190"/>
      <c r="JD190"/>
      <c r="JE190"/>
      <c r="JF190"/>
      <c r="JG190"/>
      <c r="JH190"/>
      <c r="JI190"/>
      <c r="JJ190"/>
      <c r="JK190"/>
      <c r="JL190"/>
      <c r="JM190"/>
      <c r="JN190"/>
      <c r="JO190"/>
      <c r="JP190"/>
      <c r="JQ190"/>
      <c r="JR190"/>
      <c r="JS190"/>
      <c r="JT190"/>
      <c r="JU190"/>
      <c r="JV190"/>
      <c r="JW190"/>
      <c r="JX190"/>
      <c r="JY190"/>
      <c r="JZ190"/>
      <c r="KA190"/>
      <c r="KB190"/>
      <c r="KC190"/>
      <c r="KD190"/>
      <c r="KE190"/>
      <c r="KF190"/>
      <c r="KG190"/>
      <c r="KH190"/>
      <c r="KI190"/>
      <c r="KJ190"/>
      <c r="KK190"/>
      <c r="KL190"/>
      <c r="KM190"/>
      <c r="KN190"/>
      <c r="KO190"/>
      <c r="KP190"/>
      <c r="KQ190"/>
      <c r="KR190"/>
      <c r="KS190"/>
    </row>
    <row r="191" spans="2:305" hidden="1" x14ac:dyDescent="0.35">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c r="CU191"/>
      <c r="CV191"/>
      <c r="CW191"/>
      <c r="CX191"/>
      <c r="CY191"/>
      <c r="CZ191"/>
      <c r="DA191"/>
      <c r="DB191"/>
      <c r="DC191"/>
      <c r="DD191"/>
      <c r="DE191"/>
      <c r="DF191"/>
      <c r="DG191"/>
      <c r="DH191"/>
      <c r="DI191"/>
      <c r="DJ191"/>
      <c r="DK191"/>
      <c r="DL191"/>
      <c r="DM191"/>
      <c r="DN191"/>
      <c r="DO191"/>
      <c r="DP191"/>
      <c r="DQ191"/>
      <c r="DR191"/>
      <c r="DS191"/>
      <c r="DT191"/>
      <c r="DU191"/>
      <c r="DV191"/>
      <c r="DW191"/>
      <c r="DX191"/>
      <c r="DY191"/>
      <c r="DZ191"/>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c r="JA191"/>
      <c r="JB191"/>
      <c r="JC191"/>
      <c r="JD191"/>
      <c r="JE191"/>
      <c r="JF191"/>
      <c r="JG191"/>
      <c r="JH191"/>
      <c r="JI191"/>
      <c r="JJ191"/>
      <c r="JK191"/>
      <c r="JL191"/>
      <c r="JM191"/>
      <c r="JN191"/>
      <c r="JO191"/>
      <c r="JP191"/>
      <c r="JQ191"/>
      <c r="JR191"/>
      <c r="JS191"/>
      <c r="JT191"/>
      <c r="JU191"/>
      <c r="JV191"/>
      <c r="JW191"/>
      <c r="JX191"/>
      <c r="JY191"/>
      <c r="JZ191"/>
      <c r="KA191"/>
      <c r="KB191"/>
      <c r="KC191"/>
      <c r="KD191"/>
      <c r="KE191"/>
      <c r="KF191"/>
      <c r="KG191"/>
      <c r="KH191"/>
      <c r="KI191"/>
      <c r="KJ191"/>
      <c r="KK191"/>
      <c r="KL191"/>
      <c r="KM191"/>
      <c r="KN191"/>
      <c r="KO191"/>
      <c r="KP191"/>
      <c r="KQ191"/>
      <c r="KR191"/>
      <c r="KS191"/>
    </row>
    <row r="192" spans="2:305" hidden="1" x14ac:dyDescent="0.35">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c r="CU192"/>
      <c r="CV192"/>
      <c r="CW192"/>
      <c r="CX192"/>
      <c r="CY192"/>
      <c r="CZ192"/>
      <c r="DA192"/>
      <c r="DB192"/>
      <c r="DC192"/>
      <c r="DD192"/>
      <c r="DE192"/>
      <c r="DF192"/>
      <c r="DG192"/>
      <c r="DH192"/>
      <c r="DI192"/>
      <c r="DJ192"/>
      <c r="DK192"/>
      <c r="DL192"/>
      <c r="DM192"/>
      <c r="DN192"/>
      <c r="DO192"/>
      <c r="DP192"/>
      <c r="DQ192"/>
      <c r="DR192"/>
      <c r="DS192"/>
      <c r="DT192"/>
      <c r="DU192"/>
      <c r="DV192"/>
      <c r="DW192"/>
      <c r="DX192"/>
      <c r="DY192"/>
      <c r="DZ192"/>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c r="JA192"/>
      <c r="JB192"/>
      <c r="JC192"/>
      <c r="JD192"/>
      <c r="JE192"/>
      <c r="JF192"/>
      <c r="JG192"/>
      <c r="JH192"/>
      <c r="JI192"/>
      <c r="JJ192"/>
      <c r="JK192"/>
      <c r="JL192"/>
      <c r="JM192"/>
      <c r="JN192"/>
      <c r="JO192"/>
      <c r="JP192"/>
      <c r="JQ192"/>
      <c r="JR192"/>
      <c r="JS192"/>
      <c r="JT192"/>
      <c r="JU192"/>
      <c r="JV192"/>
      <c r="JW192"/>
      <c r="JX192"/>
      <c r="JY192"/>
      <c r="JZ192"/>
      <c r="KA192"/>
      <c r="KB192"/>
      <c r="KC192"/>
      <c r="KD192"/>
      <c r="KE192"/>
      <c r="KF192"/>
      <c r="KG192"/>
      <c r="KH192"/>
      <c r="KI192"/>
      <c r="KJ192"/>
      <c r="KK192"/>
      <c r="KL192"/>
      <c r="KM192"/>
      <c r="KN192"/>
      <c r="KO192"/>
      <c r="KP192"/>
      <c r="KQ192"/>
      <c r="KR192"/>
      <c r="KS192"/>
    </row>
    <row r="193" spans="2:305" hidden="1" x14ac:dyDescent="0.35">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c r="CU193"/>
      <c r="CV193"/>
      <c r="CW193"/>
      <c r="CX193"/>
      <c r="CY193"/>
      <c r="CZ193"/>
      <c r="DA193"/>
      <c r="DB193"/>
      <c r="DC193"/>
      <c r="DD193"/>
      <c r="DE193"/>
      <c r="DF193"/>
      <c r="DG193"/>
      <c r="DH193"/>
      <c r="DI193"/>
      <c r="DJ193"/>
      <c r="DK193"/>
      <c r="DL193"/>
      <c r="DM193"/>
      <c r="DN193"/>
      <c r="DO193"/>
      <c r="DP193"/>
      <c r="DQ193"/>
      <c r="DR193"/>
      <c r="DS193"/>
      <c r="DT193"/>
      <c r="DU193"/>
      <c r="DV193"/>
      <c r="DW193"/>
      <c r="DX193"/>
      <c r="DY193"/>
      <c r="DZ193"/>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c r="JA193"/>
      <c r="JB193"/>
      <c r="JC193"/>
      <c r="JD193"/>
      <c r="JE193"/>
      <c r="JF193"/>
      <c r="JG193"/>
      <c r="JH193"/>
      <c r="JI193"/>
      <c r="JJ193"/>
      <c r="JK193"/>
      <c r="JL193"/>
      <c r="JM193"/>
      <c r="JN193"/>
      <c r="JO193"/>
      <c r="JP193"/>
      <c r="JQ193"/>
      <c r="JR193"/>
      <c r="JS193"/>
      <c r="JT193"/>
      <c r="JU193"/>
      <c r="JV193"/>
      <c r="JW193"/>
      <c r="JX193"/>
      <c r="JY193"/>
      <c r="JZ193"/>
      <c r="KA193"/>
      <c r="KB193"/>
      <c r="KC193"/>
      <c r="KD193"/>
      <c r="KE193"/>
      <c r="KF193"/>
      <c r="KG193"/>
      <c r="KH193"/>
      <c r="KI193"/>
      <c r="KJ193"/>
      <c r="KK193"/>
      <c r="KL193"/>
      <c r="KM193"/>
      <c r="KN193"/>
      <c r="KO193"/>
      <c r="KP193"/>
      <c r="KQ193"/>
      <c r="KR193"/>
      <c r="KS193"/>
    </row>
    <row r="194" spans="2:305" hidden="1" x14ac:dyDescent="0.35">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c r="CU194"/>
      <c r="CV194"/>
      <c r="CW194"/>
      <c r="CX194"/>
      <c r="CY194"/>
      <c r="CZ194"/>
      <c r="DA194"/>
      <c r="DB194"/>
      <c r="DC194"/>
      <c r="DD194"/>
      <c r="DE194"/>
      <c r="DF194"/>
      <c r="DG194"/>
      <c r="DH194"/>
      <c r="DI194"/>
      <c r="DJ194"/>
      <c r="DK194"/>
      <c r="DL194"/>
      <c r="DM194"/>
      <c r="DN194"/>
      <c r="DO194"/>
      <c r="DP194"/>
      <c r="DQ194"/>
      <c r="DR194"/>
      <c r="DS194"/>
      <c r="DT194"/>
      <c r="DU194"/>
      <c r="DV194"/>
      <c r="DW194"/>
      <c r="DX194"/>
      <c r="DY194"/>
      <c r="DZ194"/>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c r="JA194"/>
      <c r="JB194"/>
      <c r="JC194"/>
      <c r="JD194"/>
      <c r="JE194"/>
      <c r="JF194"/>
      <c r="JG194"/>
      <c r="JH194"/>
      <c r="JI194"/>
      <c r="JJ194"/>
      <c r="JK194"/>
      <c r="JL194"/>
      <c r="JM194"/>
      <c r="JN194"/>
      <c r="JO194"/>
      <c r="JP194"/>
      <c r="JQ194"/>
      <c r="JR194"/>
      <c r="JS194"/>
      <c r="JT194"/>
      <c r="JU194"/>
      <c r="JV194"/>
      <c r="JW194"/>
      <c r="JX194"/>
      <c r="JY194"/>
      <c r="JZ194"/>
      <c r="KA194"/>
      <c r="KB194"/>
      <c r="KC194"/>
      <c r="KD194"/>
      <c r="KE194"/>
      <c r="KF194"/>
      <c r="KG194"/>
      <c r="KH194"/>
      <c r="KI194"/>
      <c r="KJ194"/>
      <c r="KK194"/>
      <c r="KL194"/>
      <c r="KM194"/>
      <c r="KN194"/>
      <c r="KO194"/>
      <c r="KP194"/>
      <c r="KQ194"/>
      <c r="KR194"/>
      <c r="KS194"/>
    </row>
    <row r="195" spans="2:305" hidden="1" x14ac:dyDescent="0.3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c r="CU195"/>
      <c r="CV195"/>
      <c r="CW195"/>
      <c r="CX195"/>
      <c r="CY195"/>
      <c r="CZ195"/>
      <c r="DA195"/>
      <c r="DB195"/>
      <c r="DC195"/>
      <c r="DD195"/>
      <c r="DE195"/>
      <c r="DF195"/>
      <c r="DG195"/>
      <c r="DH195"/>
      <c r="DI195"/>
      <c r="DJ195"/>
      <c r="DK195"/>
      <c r="DL195"/>
      <c r="DM195"/>
      <c r="DN195"/>
      <c r="DO195"/>
      <c r="DP195"/>
      <c r="DQ195"/>
      <c r="DR195"/>
      <c r="DS195"/>
      <c r="DT195"/>
      <c r="DU195"/>
      <c r="DV195"/>
      <c r="DW195"/>
      <c r="DX195"/>
      <c r="DY195"/>
      <c r="DZ19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c r="JA195"/>
      <c r="JB195"/>
      <c r="JC195"/>
      <c r="JD195"/>
      <c r="JE195"/>
      <c r="JF195"/>
      <c r="JG195"/>
      <c r="JH195"/>
      <c r="JI195"/>
      <c r="JJ195"/>
      <c r="JK195"/>
      <c r="JL195"/>
      <c r="JM195"/>
      <c r="JN195"/>
      <c r="JO195"/>
      <c r="JP195"/>
      <c r="JQ195"/>
      <c r="JR195"/>
      <c r="JS195"/>
      <c r="JT195"/>
      <c r="JU195"/>
      <c r="JV195"/>
      <c r="JW195"/>
      <c r="JX195"/>
      <c r="JY195"/>
      <c r="JZ195"/>
      <c r="KA195"/>
      <c r="KB195"/>
      <c r="KC195"/>
      <c r="KD195"/>
      <c r="KE195"/>
      <c r="KF195"/>
      <c r="KG195"/>
      <c r="KH195"/>
      <c r="KI195"/>
      <c r="KJ195"/>
      <c r="KK195"/>
      <c r="KL195"/>
      <c r="KM195"/>
      <c r="KN195"/>
      <c r="KO195"/>
      <c r="KP195"/>
      <c r="KQ195"/>
      <c r="KR195"/>
      <c r="KS195"/>
    </row>
    <row r="196" spans="2:305" hidden="1" x14ac:dyDescent="0.35">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c r="CU196"/>
      <c r="CV196"/>
      <c r="CW196"/>
      <c r="CX196"/>
      <c r="CY196"/>
      <c r="CZ196"/>
      <c r="DA196"/>
      <c r="DB196"/>
      <c r="DC196"/>
      <c r="DD196"/>
      <c r="DE196"/>
      <c r="DF196"/>
      <c r="DG196"/>
      <c r="DH196"/>
      <c r="DI196"/>
      <c r="DJ196"/>
      <c r="DK196"/>
      <c r="DL196"/>
      <c r="DM196"/>
      <c r="DN196"/>
      <c r="DO196"/>
      <c r="DP196"/>
      <c r="DQ196"/>
      <c r="DR196"/>
      <c r="DS196"/>
      <c r="DT196"/>
      <c r="DU196"/>
      <c r="DV196"/>
      <c r="DW196"/>
      <c r="DX196"/>
      <c r="DY196"/>
      <c r="DZ196"/>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c r="JA196"/>
      <c r="JB196"/>
      <c r="JC196"/>
      <c r="JD196"/>
      <c r="JE196"/>
      <c r="JF196"/>
      <c r="JG196"/>
      <c r="JH196"/>
      <c r="JI196"/>
      <c r="JJ196"/>
      <c r="JK196"/>
      <c r="JL196"/>
      <c r="JM196"/>
      <c r="JN196"/>
      <c r="JO196"/>
      <c r="JP196"/>
      <c r="JQ196"/>
      <c r="JR196"/>
      <c r="JS196"/>
      <c r="JT196"/>
      <c r="JU196"/>
      <c r="JV196"/>
      <c r="JW196"/>
      <c r="JX196"/>
      <c r="JY196"/>
      <c r="JZ196"/>
      <c r="KA196"/>
      <c r="KB196"/>
      <c r="KC196"/>
      <c r="KD196"/>
      <c r="KE196"/>
      <c r="KF196"/>
      <c r="KG196"/>
      <c r="KH196"/>
      <c r="KI196"/>
      <c r="KJ196"/>
      <c r="KK196"/>
      <c r="KL196"/>
      <c r="KM196"/>
      <c r="KN196"/>
      <c r="KO196"/>
      <c r="KP196"/>
      <c r="KQ196"/>
      <c r="KR196"/>
      <c r="KS196"/>
    </row>
    <row r="197" spans="2:305" hidden="1" x14ac:dyDescent="0.35">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c r="CU197"/>
      <c r="CV197"/>
      <c r="CW197"/>
      <c r="CX197"/>
      <c r="CY197"/>
      <c r="CZ197"/>
      <c r="DA197"/>
      <c r="DB197"/>
      <c r="DC197"/>
      <c r="DD197"/>
      <c r="DE197"/>
      <c r="DF197"/>
      <c r="DG197"/>
      <c r="DH197"/>
      <c r="DI197"/>
      <c r="DJ197"/>
      <c r="DK197"/>
      <c r="DL197"/>
      <c r="DM197"/>
      <c r="DN197"/>
      <c r="DO197"/>
      <c r="DP197"/>
      <c r="DQ197"/>
      <c r="DR197"/>
      <c r="DS197"/>
      <c r="DT197"/>
      <c r="DU197"/>
      <c r="DV197"/>
      <c r="DW197"/>
      <c r="DX197"/>
      <c r="DY197"/>
      <c r="DZ197"/>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c r="JA197"/>
      <c r="JB197"/>
      <c r="JC197"/>
      <c r="JD197"/>
      <c r="JE197"/>
      <c r="JF197"/>
      <c r="JG197"/>
      <c r="JH197"/>
      <c r="JI197"/>
      <c r="JJ197"/>
      <c r="JK197"/>
      <c r="JL197"/>
      <c r="JM197"/>
      <c r="JN197"/>
      <c r="JO197"/>
      <c r="JP197"/>
      <c r="JQ197"/>
      <c r="JR197"/>
      <c r="JS197"/>
      <c r="JT197"/>
      <c r="JU197"/>
      <c r="JV197"/>
      <c r="JW197"/>
      <c r="JX197"/>
      <c r="JY197"/>
      <c r="JZ197"/>
      <c r="KA197"/>
      <c r="KB197"/>
      <c r="KC197"/>
      <c r="KD197"/>
      <c r="KE197"/>
      <c r="KF197"/>
      <c r="KG197"/>
      <c r="KH197"/>
      <c r="KI197"/>
      <c r="KJ197"/>
      <c r="KK197"/>
      <c r="KL197"/>
      <c r="KM197"/>
      <c r="KN197"/>
      <c r="KO197"/>
      <c r="KP197"/>
      <c r="KQ197"/>
      <c r="KR197"/>
      <c r="KS197"/>
    </row>
    <row r="198" spans="2:305" hidden="1" x14ac:dyDescent="0.35">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c r="CU198"/>
      <c r="CV198"/>
      <c r="CW198"/>
      <c r="CX198"/>
      <c r="CY198"/>
      <c r="CZ198"/>
      <c r="DA198"/>
      <c r="DB198"/>
      <c r="DC198"/>
      <c r="DD198"/>
      <c r="DE198"/>
      <c r="DF198"/>
      <c r="DG198"/>
      <c r="DH198"/>
      <c r="DI198"/>
      <c r="DJ198"/>
      <c r="DK198"/>
      <c r="DL198"/>
      <c r="DM198"/>
      <c r="DN198"/>
      <c r="DO198"/>
      <c r="DP198"/>
      <c r="DQ198"/>
      <c r="DR198"/>
      <c r="DS198"/>
      <c r="DT198"/>
      <c r="DU198"/>
      <c r="DV198"/>
      <c r="DW198"/>
      <c r="DX198"/>
      <c r="DY198"/>
      <c r="DZ198"/>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c r="JA198"/>
      <c r="JB198"/>
      <c r="JC198"/>
      <c r="JD198"/>
      <c r="JE198"/>
      <c r="JF198"/>
      <c r="JG198"/>
      <c r="JH198"/>
      <c r="JI198"/>
      <c r="JJ198"/>
      <c r="JK198"/>
      <c r="JL198"/>
      <c r="JM198"/>
      <c r="JN198"/>
      <c r="JO198"/>
      <c r="JP198"/>
      <c r="JQ198"/>
      <c r="JR198"/>
      <c r="JS198"/>
      <c r="JT198"/>
      <c r="JU198"/>
      <c r="JV198"/>
      <c r="JW198"/>
      <c r="JX198"/>
      <c r="JY198"/>
      <c r="JZ198"/>
      <c r="KA198"/>
      <c r="KB198"/>
      <c r="KC198"/>
      <c r="KD198"/>
      <c r="KE198"/>
      <c r="KF198"/>
      <c r="KG198"/>
      <c r="KH198"/>
      <c r="KI198"/>
      <c r="KJ198"/>
      <c r="KK198"/>
      <c r="KL198"/>
      <c r="KM198"/>
      <c r="KN198"/>
      <c r="KO198"/>
      <c r="KP198"/>
      <c r="KQ198"/>
      <c r="KR198"/>
      <c r="KS198"/>
    </row>
    <row r="199" spans="2:305" hidden="1" x14ac:dyDescent="0.35">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c r="CU199"/>
      <c r="CV199"/>
      <c r="CW199"/>
      <c r="CX199"/>
      <c r="CY199"/>
      <c r="CZ199"/>
      <c r="DA199"/>
      <c r="DB199"/>
      <c r="DC199"/>
      <c r="DD199"/>
      <c r="DE199"/>
      <c r="DF199"/>
      <c r="DG199"/>
      <c r="DH199"/>
      <c r="DI199"/>
      <c r="DJ199"/>
      <c r="DK199"/>
      <c r="DL199"/>
      <c r="DM199"/>
      <c r="DN199"/>
      <c r="DO199"/>
      <c r="DP199"/>
      <c r="DQ199"/>
      <c r="DR199"/>
      <c r="DS199"/>
      <c r="DT199"/>
      <c r="DU199"/>
      <c r="DV199"/>
      <c r="DW199"/>
      <c r="DX199"/>
      <c r="DY199"/>
      <c r="DZ199"/>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c r="JA199"/>
      <c r="JB199"/>
      <c r="JC199"/>
      <c r="JD199"/>
      <c r="JE199"/>
      <c r="JF199"/>
      <c r="JG199"/>
      <c r="JH199"/>
      <c r="JI199"/>
      <c r="JJ199"/>
      <c r="JK199"/>
      <c r="JL199"/>
      <c r="JM199"/>
      <c r="JN199"/>
      <c r="JO199"/>
      <c r="JP199"/>
      <c r="JQ199"/>
      <c r="JR199"/>
      <c r="JS199"/>
      <c r="JT199"/>
      <c r="JU199"/>
      <c r="JV199"/>
      <c r="JW199"/>
      <c r="JX199"/>
      <c r="JY199"/>
      <c r="JZ199"/>
      <c r="KA199"/>
      <c r="KB199"/>
      <c r="KC199"/>
      <c r="KD199"/>
      <c r="KE199"/>
      <c r="KF199"/>
      <c r="KG199"/>
      <c r="KH199"/>
      <c r="KI199"/>
      <c r="KJ199"/>
      <c r="KK199"/>
      <c r="KL199"/>
      <c r="KM199"/>
      <c r="KN199"/>
      <c r="KO199"/>
      <c r="KP199"/>
      <c r="KQ199"/>
      <c r="KR199"/>
      <c r="KS199"/>
    </row>
    <row r="200" spans="2:305" hidden="1" x14ac:dyDescent="0.35">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c r="CU200"/>
      <c r="CV200"/>
      <c r="CW200"/>
      <c r="CX200"/>
      <c r="CY200"/>
      <c r="CZ200"/>
      <c r="DA200"/>
      <c r="DB200"/>
      <c r="DC200"/>
      <c r="DD200"/>
      <c r="DE200"/>
      <c r="DF200"/>
      <c r="DG200"/>
      <c r="DH200"/>
      <c r="DI200"/>
      <c r="DJ200"/>
      <c r="DK200"/>
      <c r="DL200"/>
      <c r="DM200"/>
      <c r="DN200"/>
      <c r="DO200"/>
      <c r="DP200"/>
      <c r="DQ200"/>
      <c r="DR200"/>
      <c r="DS200"/>
      <c r="DT200"/>
      <c r="DU200"/>
      <c r="DV200"/>
      <c r="DW200"/>
      <c r="DX200"/>
      <c r="DY200"/>
      <c r="DZ200"/>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c r="JA200"/>
      <c r="JB200"/>
      <c r="JC200"/>
      <c r="JD200"/>
      <c r="JE200"/>
      <c r="JF200"/>
      <c r="JG200"/>
      <c r="JH200"/>
      <c r="JI200"/>
      <c r="JJ200"/>
      <c r="JK200"/>
      <c r="JL200"/>
      <c r="JM200"/>
      <c r="JN200"/>
      <c r="JO200"/>
      <c r="JP200"/>
      <c r="JQ200"/>
      <c r="JR200"/>
      <c r="JS200"/>
      <c r="JT200"/>
      <c r="JU200"/>
      <c r="JV200"/>
      <c r="JW200"/>
      <c r="JX200"/>
      <c r="JY200"/>
      <c r="JZ200"/>
      <c r="KA200"/>
      <c r="KB200"/>
      <c r="KC200"/>
      <c r="KD200"/>
      <c r="KE200"/>
      <c r="KF200"/>
      <c r="KG200"/>
      <c r="KH200"/>
      <c r="KI200"/>
      <c r="KJ200"/>
      <c r="KK200"/>
      <c r="KL200"/>
      <c r="KM200"/>
      <c r="KN200"/>
      <c r="KO200"/>
      <c r="KP200"/>
      <c r="KQ200"/>
      <c r="KR200"/>
      <c r="KS200"/>
    </row>
    <row r="201" spans="2:305" hidden="1" x14ac:dyDescent="0.35">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c r="CU201"/>
      <c r="CV201"/>
      <c r="CW201"/>
      <c r="CX201"/>
      <c r="CY201"/>
      <c r="CZ201"/>
      <c r="DA201"/>
      <c r="DB201"/>
      <c r="DC201"/>
      <c r="DD201"/>
      <c r="DE201"/>
      <c r="DF201"/>
      <c r="DG201"/>
      <c r="DH201"/>
      <c r="DI201"/>
      <c r="DJ201"/>
      <c r="DK201"/>
      <c r="DL201"/>
      <c r="DM201"/>
      <c r="DN201"/>
      <c r="DO201"/>
      <c r="DP201"/>
      <c r="DQ201"/>
      <c r="DR201"/>
      <c r="DS201"/>
      <c r="DT201"/>
      <c r="DU201"/>
      <c r="DV201"/>
      <c r="DW201"/>
      <c r="DX201"/>
      <c r="DY201"/>
      <c r="DZ201"/>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c r="JA201"/>
      <c r="JB201"/>
      <c r="JC201"/>
      <c r="JD201"/>
      <c r="JE201"/>
      <c r="JF201"/>
      <c r="JG201"/>
      <c r="JH201"/>
      <c r="JI201"/>
      <c r="JJ201"/>
      <c r="JK201"/>
      <c r="JL201"/>
      <c r="JM201"/>
      <c r="JN201"/>
      <c r="JO201"/>
      <c r="JP201"/>
      <c r="JQ201"/>
      <c r="JR201"/>
      <c r="JS201"/>
      <c r="JT201"/>
      <c r="JU201"/>
      <c r="JV201"/>
      <c r="JW201"/>
      <c r="JX201"/>
      <c r="JY201"/>
      <c r="JZ201"/>
      <c r="KA201"/>
      <c r="KB201"/>
      <c r="KC201"/>
      <c r="KD201"/>
      <c r="KE201"/>
      <c r="KF201"/>
      <c r="KG201"/>
      <c r="KH201"/>
      <c r="KI201"/>
      <c r="KJ201"/>
      <c r="KK201"/>
      <c r="KL201"/>
      <c r="KM201"/>
      <c r="KN201"/>
      <c r="KO201"/>
      <c r="KP201"/>
      <c r="KQ201"/>
      <c r="KR201"/>
      <c r="KS201"/>
    </row>
    <row r="202" spans="2:305" hidden="1" x14ac:dyDescent="0.35">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c r="CU202"/>
      <c r="CV202"/>
      <c r="CW202"/>
      <c r="CX202"/>
      <c r="CY202"/>
      <c r="CZ202"/>
      <c r="DA202"/>
      <c r="DB202"/>
      <c r="DC202"/>
      <c r="DD202"/>
      <c r="DE202"/>
      <c r="DF202"/>
      <c r="DG202"/>
      <c r="DH202"/>
      <c r="DI202"/>
      <c r="DJ202"/>
      <c r="DK202"/>
      <c r="DL202"/>
      <c r="DM202"/>
      <c r="DN202"/>
      <c r="DO202"/>
      <c r="DP202"/>
      <c r="DQ202"/>
      <c r="DR202"/>
      <c r="DS202"/>
      <c r="DT202"/>
      <c r="DU202"/>
      <c r="DV202"/>
      <c r="DW202"/>
      <c r="DX202"/>
      <c r="DY202"/>
      <c r="DZ202"/>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c r="JA202"/>
      <c r="JB202"/>
      <c r="JC202"/>
      <c r="JD202"/>
      <c r="JE202"/>
      <c r="JF202"/>
      <c r="JG202"/>
      <c r="JH202"/>
      <c r="JI202"/>
      <c r="JJ202"/>
      <c r="JK202"/>
      <c r="JL202"/>
      <c r="JM202"/>
      <c r="JN202"/>
      <c r="JO202"/>
      <c r="JP202"/>
      <c r="JQ202"/>
      <c r="JR202"/>
      <c r="JS202"/>
      <c r="JT202"/>
      <c r="JU202"/>
      <c r="JV202"/>
      <c r="JW202"/>
      <c r="JX202"/>
      <c r="JY202"/>
      <c r="JZ202"/>
      <c r="KA202"/>
      <c r="KB202"/>
      <c r="KC202"/>
      <c r="KD202"/>
      <c r="KE202"/>
      <c r="KF202"/>
      <c r="KG202"/>
      <c r="KH202"/>
      <c r="KI202"/>
      <c r="KJ202"/>
      <c r="KK202"/>
      <c r="KL202"/>
      <c r="KM202"/>
      <c r="KN202"/>
      <c r="KO202"/>
      <c r="KP202"/>
      <c r="KQ202"/>
      <c r="KR202"/>
      <c r="KS202"/>
    </row>
    <row r="203" spans="2:305" hidden="1" x14ac:dyDescent="0.35">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c r="CU203"/>
      <c r="CV203"/>
      <c r="CW203"/>
      <c r="CX203"/>
      <c r="CY203"/>
      <c r="CZ203"/>
      <c r="DA203"/>
      <c r="DB203"/>
      <c r="DC203"/>
      <c r="DD203"/>
      <c r="DE203"/>
      <c r="DF203"/>
      <c r="DG203"/>
      <c r="DH203"/>
      <c r="DI203"/>
      <c r="DJ203"/>
      <c r="DK203"/>
      <c r="DL203"/>
      <c r="DM203"/>
      <c r="DN203"/>
      <c r="DO203"/>
      <c r="DP203"/>
      <c r="DQ203"/>
      <c r="DR203"/>
      <c r="DS203"/>
      <c r="DT203"/>
      <c r="DU203"/>
      <c r="DV203"/>
      <c r="DW203"/>
      <c r="DX203"/>
      <c r="DY203"/>
      <c r="DZ203"/>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c r="JA203"/>
      <c r="JB203"/>
      <c r="JC203"/>
      <c r="JD203"/>
      <c r="JE203"/>
      <c r="JF203"/>
      <c r="JG203"/>
      <c r="JH203"/>
      <c r="JI203"/>
      <c r="JJ203"/>
      <c r="JK203"/>
      <c r="JL203"/>
      <c r="JM203"/>
      <c r="JN203"/>
      <c r="JO203"/>
      <c r="JP203"/>
      <c r="JQ203"/>
      <c r="JR203"/>
      <c r="JS203"/>
      <c r="JT203"/>
      <c r="JU203"/>
      <c r="JV203"/>
      <c r="JW203"/>
      <c r="JX203"/>
      <c r="JY203"/>
      <c r="JZ203"/>
      <c r="KA203"/>
      <c r="KB203"/>
      <c r="KC203"/>
      <c r="KD203"/>
      <c r="KE203"/>
      <c r="KF203"/>
      <c r="KG203"/>
      <c r="KH203"/>
      <c r="KI203"/>
      <c r="KJ203"/>
      <c r="KK203"/>
      <c r="KL203"/>
      <c r="KM203"/>
      <c r="KN203"/>
      <c r="KO203"/>
      <c r="KP203"/>
      <c r="KQ203"/>
      <c r="KR203"/>
      <c r="KS203"/>
    </row>
    <row r="204" spans="2:305" hidden="1" x14ac:dyDescent="0.35">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c r="CU204"/>
      <c r="CV204"/>
      <c r="CW204"/>
      <c r="CX204"/>
      <c r="CY204"/>
      <c r="CZ204"/>
      <c r="DA204"/>
      <c r="DB204"/>
      <c r="DC204"/>
      <c r="DD204"/>
      <c r="DE204"/>
      <c r="DF204"/>
      <c r="DG204"/>
      <c r="DH204"/>
      <c r="DI204"/>
      <c r="DJ204"/>
      <c r="DK204"/>
      <c r="DL204"/>
      <c r="DM204"/>
      <c r="DN204"/>
      <c r="DO204"/>
      <c r="DP204"/>
      <c r="DQ204"/>
      <c r="DR204"/>
      <c r="DS204"/>
      <c r="DT204"/>
      <c r="DU204"/>
      <c r="DV204"/>
      <c r="DW204"/>
      <c r="DX204"/>
      <c r="DY204"/>
      <c r="DZ204"/>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c r="JA204"/>
      <c r="JB204"/>
      <c r="JC204"/>
      <c r="JD204"/>
      <c r="JE204"/>
      <c r="JF204"/>
      <c r="JG204"/>
      <c r="JH204"/>
      <c r="JI204"/>
      <c r="JJ204"/>
      <c r="JK204"/>
      <c r="JL204"/>
      <c r="JM204"/>
      <c r="JN204"/>
      <c r="JO204"/>
      <c r="JP204"/>
      <c r="JQ204"/>
      <c r="JR204"/>
      <c r="JS204"/>
      <c r="JT204"/>
      <c r="JU204"/>
      <c r="JV204"/>
      <c r="JW204"/>
      <c r="JX204"/>
      <c r="JY204"/>
      <c r="JZ204"/>
      <c r="KA204"/>
      <c r="KB204"/>
      <c r="KC204"/>
      <c r="KD204"/>
      <c r="KE204"/>
      <c r="KF204"/>
      <c r="KG204"/>
      <c r="KH204"/>
      <c r="KI204"/>
      <c r="KJ204"/>
      <c r="KK204"/>
      <c r="KL204"/>
      <c r="KM204"/>
      <c r="KN204"/>
      <c r="KO204"/>
      <c r="KP204"/>
      <c r="KQ204"/>
      <c r="KR204"/>
      <c r="KS204"/>
    </row>
    <row r="205" spans="2:305" hidden="1" x14ac:dyDescent="0.3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c r="CU205"/>
      <c r="CV205"/>
      <c r="CW205"/>
      <c r="CX205"/>
      <c r="CY205"/>
      <c r="CZ205"/>
      <c r="DA205"/>
      <c r="DB205"/>
      <c r="DC205"/>
      <c r="DD205"/>
      <c r="DE205"/>
      <c r="DF205"/>
      <c r="DG205"/>
      <c r="DH205"/>
      <c r="DI205"/>
      <c r="DJ205"/>
      <c r="DK205"/>
      <c r="DL205"/>
      <c r="DM205"/>
      <c r="DN205"/>
      <c r="DO205"/>
      <c r="DP205"/>
      <c r="DQ205"/>
      <c r="DR205"/>
      <c r="DS205"/>
      <c r="DT205"/>
      <c r="DU205"/>
      <c r="DV205"/>
      <c r="DW205"/>
      <c r="DX205"/>
      <c r="DY205"/>
      <c r="DZ20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c r="JA205"/>
      <c r="JB205"/>
      <c r="JC205"/>
      <c r="JD205"/>
      <c r="JE205"/>
      <c r="JF205"/>
      <c r="JG205"/>
      <c r="JH205"/>
      <c r="JI205"/>
      <c r="JJ205"/>
      <c r="JK205"/>
      <c r="JL205"/>
      <c r="JM205"/>
      <c r="JN205"/>
      <c r="JO205"/>
      <c r="JP205"/>
      <c r="JQ205"/>
      <c r="JR205"/>
      <c r="JS205"/>
      <c r="JT205"/>
      <c r="JU205"/>
      <c r="JV205"/>
      <c r="JW205"/>
      <c r="JX205"/>
      <c r="JY205"/>
      <c r="JZ205"/>
      <c r="KA205"/>
      <c r="KB205"/>
      <c r="KC205"/>
      <c r="KD205"/>
      <c r="KE205"/>
      <c r="KF205"/>
      <c r="KG205"/>
      <c r="KH205"/>
      <c r="KI205"/>
      <c r="KJ205"/>
      <c r="KK205"/>
      <c r="KL205"/>
      <c r="KM205"/>
      <c r="KN205"/>
      <c r="KO205"/>
      <c r="KP205"/>
      <c r="KQ205"/>
      <c r="KR205"/>
      <c r="KS205"/>
    </row>
    <row r="206" spans="2:305" hidden="1" x14ac:dyDescent="0.35">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c r="CU206"/>
      <c r="CV206"/>
      <c r="CW206"/>
      <c r="CX206"/>
      <c r="CY206"/>
      <c r="CZ206"/>
      <c r="DA206"/>
      <c r="DB206"/>
      <c r="DC206"/>
      <c r="DD206"/>
      <c r="DE206"/>
      <c r="DF206"/>
      <c r="DG206"/>
      <c r="DH206"/>
      <c r="DI206"/>
      <c r="DJ206"/>
      <c r="DK206"/>
      <c r="DL206"/>
      <c r="DM206"/>
      <c r="DN206"/>
      <c r="DO206"/>
      <c r="DP206"/>
      <c r="DQ206"/>
      <c r="DR206"/>
      <c r="DS206"/>
      <c r="DT206"/>
      <c r="DU206"/>
      <c r="DV206"/>
      <c r="DW206"/>
      <c r="DX206"/>
      <c r="DY206"/>
      <c r="DZ206"/>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c r="JA206"/>
      <c r="JB206"/>
      <c r="JC206"/>
      <c r="JD206"/>
      <c r="JE206"/>
      <c r="JF206"/>
      <c r="JG206"/>
      <c r="JH206"/>
      <c r="JI206"/>
      <c r="JJ206"/>
      <c r="JK206"/>
      <c r="JL206"/>
      <c r="JM206"/>
      <c r="JN206"/>
      <c r="JO206"/>
      <c r="JP206"/>
      <c r="JQ206"/>
      <c r="JR206"/>
      <c r="JS206"/>
      <c r="JT206"/>
      <c r="JU206"/>
      <c r="JV206"/>
      <c r="JW206"/>
      <c r="JX206"/>
      <c r="JY206"/>
      <c r="JZ206"/>
      <c r="KA206"/>
      <c r="KB206"/>
      <c r="KC206"/>
      <c r="KD206"/>
      <c r="KE206"/>
      <c r="KF206"/>
      <c r="KG206"/>
      <c r="KH206"/>
      <c r="KI206"/>
      <c r="KJ206"/>
      <c r="KK206"/>
      <c r="KL206"/>
      <c r="KM206"/>
      <c r="KN206"/>
      <c r="KO206"/>
      <c r="KP206"/>
      <c r="KQ206"/>
      <c r="KR206"/>
      <c r="KS206"/>
    </row>
    <row r="207" spans="2:305" hidden="1" x14ac:dyDescent="0.35">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c r="CU207"/>
      <c r="CV207"/>
      <c r="CW207"/>
      <c r="CX207"/>
      <c r="CY207"/>
      <c r="CZ207"/>
      <c r="DA207"/>
      <c r="DB207"/>
      <c r="DC207"/>
      <c r="DD207"/>
      <c r="DE207"/>
      <c r="DF207"/>
      <c r="DG207"/>
      <c r="DH207"/>
      <c r="DI207"/>
      <c r="DJ207"/>
      <c r="DK207"/>
      <c r="DL207"/>
      <c r="DM207"/>
      <c r="DN207"/>
      <c r="DO207"/>
      <c r="DP207"/>
      <c r="DQ207"/>
      <c r="DR207"/>
      <c r="DS207"/>
      <c r="DT207"/>
      <c r="DU207"/>
      <c r="DV207"/>
      <c r="DW207"/>
      <c r="DX207"/>
      <c r="DY207"/>
      <c r="DZ207"/>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c r="JA207"/>
      <c r="JB207"/>
      <c r="JC207"/>
      <c r="JD207"/>
      <c r="JE207"/>
      <c r="JF207"/>
      <c r="JG207"/>
      <c r="JH207"/>
      <c r="JI207"/>
      <c r="JJ207"/>
      <c r="JK207"/>
      <c r="JL207"/>
      <c r="JM207"/>
      <c r="JN207"/>
      <c r="JO207"/>
      <c r="JP207"/>
      <c r="JQ207"/>
      <c r="JR207"/>
      <c r="JS207"/>
      <c r="JT207"/>
      <c r="JU207"/>
      <c r="JV207"/>
      <c r="JW207"/>
      <c r="JX207"/>
      <c r="JY207"/>
      <c r="JZ207"/>
      <c r="KA207"/>
      <c r="KB207"/>
      <c r="KC207"/>
      <c r="KD207"/>
      <c r="KE207"/>
      <c r="KF207"/>
      <c r="KG207"/>
      <c r="KH207"/>
      <c r="KI207"/>
      <c r="KJ207"/>
      <c r="KK207"/>
      <c r="KL207"/>
      <c r="KM207"/>
      <c r="KN207"/>
      <c r="KO207"/>
      <c r="KP207"/>
      <c r="KQ207"/>
      <c r="KR207"/>
      <c r="KS207"/>
    </row>
    <row r="208" spans="2:305" hidden="1" x14ac:dyDescent="0.35">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c r="CU208"/>
      <c r="CV208"/>
      <c r="CW208"/>
      <c r="CX208"/>
      <c r="CY208"/>
      <c r="CZ208"/>
      <c r="DA208"/>
      <c r="DB208"/>
      <c r="DC208"/>
      <c r="DD208"/>
      <c r="DE208"/>
      <c r="DF208"/>
      <c r="DG208"/>
      <c r="DH208"/>
      <c r="DI208"/>
      <c r="DJ208"/>
      <c r="DK208"/>
      <c r="DL208"/>
      <c r="DM208"/>
      <c r="DN208"/>
      <c r="DO208"/>
      <c r="DP208"/>
      <c r="DQ208"/>
      <c r="DR208"/>
      <c r="DS208"/>
      <c r="DT208"/>
      <c r="DU208"/>
      <c r="DV208"/>
      <c r="DW208"/>
      <c r="DX208"/>
      <c r="DY208"/>
      <c r="DZ208"/>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c r="JA208"/>
      <c r="JB208"/>
      <c r="JC208"/>
      <c r="JD208"/>
      <c r="JE208"/>
      <c r="JF208"/>
      <c r="JG208"/>
      <c r="JH208"/>
      <c r="JI208"/>
      <c r="JJ208"/>
      <c r="JK208"/>
      <c r="JL208"/>
      <c r="JM208"/>
      <c r="JN208"/>
      <c r="JO208"/>
      <c r="JP208"/>
      <c r="JQ208"/>
      <c r="JR208"/>
      <c r="JS208"/>
      <c r="JT208"/>
      <c r="JU208"/>
      <c r="JV208"/>
      <c r="JW208"/>
      <c r="JX208"/>
      <c r="JY208"/>
      <c r="JZ208"/>
      <c r="KA208"/>
      <c r="KB208"/>
      <c r="KC208"/>
      <c r="KD208"/>
      <c r="KE208"/>
      <c r="KF208"/>
      <c r="KG208"/>
      <c r="KH208"/>
      <c r="KI208"/>
      <c r="KJ208"/>
      <c r="KK208"/>
      <c r="KL208"/>
      <c r="KM208"/>
      <c r="KN208"/>
      <c r="KO208"/>
      <c r="KP208"/>
      <c r="KQ208"/>
      <c r="KR208"/>
      <c r="KS208"/>
    </row>
    <row r="209" spans="2:305" hidden="1" x14ac:dyDescent="0.35">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c r="CU209"/>
      <c r="CV209"/>
      <c r="CW209"/>
      <c r="CX209"/>
      <c r="CY209"/>
      <c r="CZ209"/>
      <c r="DA209"/>
      <c r="DB209"/>
      <c r="DC209"/>
      <c r="DD209"/>
      <c r="DE209"/>
      <c r="DF209"/>
      <c r="DG209"/>
      <c r="DH209"/>
      <c r="DI209"/>
      <c r="DJ209"/>
      <c r="DK209"/>
      <c r="DL209"/>
      <c r="DM209"/>
      <c r="DN209"/>
      <c r="DO209"/>
      <c r="DP209"/>
      <c r="DQ209"/>
      <c r="DR209"/>
      <c r="DS209"/>
      <c r="DT209"/>
      <c r="DU209"/>
      <c r="DV209"/>
      <c r="DW209"/>
      <c r="DX209"/>
      <c r="DY209"/>
      <c r="DZ209"/>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c r="JA209"/>
      <c r="JB209"/>
      <c r="JC209"/>
      <c r="JD209"/>
      <c r="JE209"/>
      <c r="JF209"/>
      <c r="JG209"/>
      <c r="JH209"/>
      <c r="JI209"/>
      <c r="JJ209"/>
      <c r="JK209"/>
      <c r="JL209"/>
      <c r="JM209"/>
      <c r="JN209"/>
      <c r="JO209"/>
      <c r="JP209"/>
      <c r="JQ209"/>
      <c r="JR209"/>
      <c r="JS209"/>
      <c r="JT209"/>
      <c r="JU209"/>
      <c r="JV209"/>
      <c r="JW209"/>
      <c r="JX209"/>
      <c r="JY209"/>
      <c r="JZ209"/>
      <c r="KA209"/>
      <c r="KB209"/>
      <c r="KC209"/>
      <c r="KD209"/>
      <c r="KE209"/>
      <c r="KF209"/>
      <c r="KG209"/>
      <c r="KH209"/>
      <c r="KI209"/>
      <c r="KJ209"/>
      <c r="KK209"/>
      <c r="KL209"/>
      <c r="KM209"/>
      <c r="KN209"/>
      <c r="KO209"/>
      <c r="KP209"/>
      <c r="KQ209"/>
      <c r="KR209"/>
      <c r="KS209"/>
    </row>
    <row r="210" spans="2:305" hidden="1" x14ac:dyDescent="0.35">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c r="CU210"/>
      <c r="CV210"/>
      <c r="CW210"/>
      <c r="CX210"/>
      <c r="CY210"/>
      <c r="CZ210"/>
      <c r="DA210"/>
      <c r="DB210"/>
      <c r="DC210"/>
      <c r="DD210"/>
      <c r="DE210"/>
      <c r="DF210"/>
      <c r="DG210"/>
      <c r="DH210"/>
      <c r="DI210"/>
      <c r="DJ210"/>
      <c r="DK210"/>
      <c r="DL210"/>
      <c r="DM210"/>
      <c r="DN210"/>
      <c r="DO210"/>
      <c r="DP210"/>
      <c r="DQ210"/>
      <c r="DR210"/>
      <c r="DS210"/>
      <c r="DT210"/>
      <c r="DU210"/>
      <c r="DV210"/>
      <c r="DW210"/>
      <c r="DX210"/>
      <c r="DY210"/>
      <c r="DZ210"/>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c r="JA210"/>
      <c r="JB210"/>
      <c r="JC210"/>
      <c r="JD210"/>
      <c r="JE210"/>
      <c r="JF210"/>
      <c r="JG210"/>
      <c r="JH210"/>
      <c r="JI210"/>
      <c r="JJ210"/>
      <c r="JK210"/>
      <c r="JL210"/>
      <c r="JM210"/>
      <c r="JN210"/>
      <c r="JO210"/>
      <c r="JP210"/>
      <c r="JQ210"/>
      <c r="JR210"/>
      <c r="JS210"/>
      <c r="JT210"/>
      <c r="JU210"/>
      <c r="JV210"/>
      <c r="JW210"/>
      <c r="JX210"/>
      <c r="JY210"/>
      <c r="JZ210"/>
      <c r="KA210"/>
      <c r="KB210"/>
      <c r="KC210"/>
      <c r="KD210"/>
      <c r="KE210"/>
      <c r="KF210"/>
      <c r="KG210"/>
      <c r="KH210"/>
      <c r="KI210"/>
      <c r="KJ210"/>
      <c r="KK210"/>
      <c r="KL210"/>
      <c r="KM210"/>
      <c r="KN210"/>
      <c r="KO210"/>
      <c r="KP210"/>
      <c r="KQ210"/>
      <c r="KR210"/>
      <c r="KS210"/>
    </row>
    <row r="211" spans="2:305" hidden="1" x14ac:dyDescent="0.35">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c r="CU211"/>
      <c r="CV211"/>
      <c r="CW211"/>
      <c r="CX211"/>
      <c r="CY211"/>
      <c r="CZ211"/>
      <c r="DA211"/>
      <c r="DB211"/>
      <c r="DC211"/>
      <c r="DD211"/>
      <c r="DE211"/>
      <c r="DF211"/>
      <c r="DG211"/>
      <c r="DH211"/>
      <c r="DI211"/>
      <c r="DJ211"/>
      <c r="DK211"/>
      <c r="DL211"/>
      <c r="DM211"/>
      <c r="DN211"/>
      <c r="DO211"/>
      <c r="DP211"/>
      <c r="DQ211"/>
      <c r="DR211"/>
      <c r="DS211"/>
      <c r="DT211"/>
      <c r="DU211"/>
      <c r="DV211"/>
      <c r="DW211"/>
      <c r="DX211"/>
      <c r="DY211"/>
      <c r="DZ211"/>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c r="JA211"/>
      <c r="JB211"/>
      <c r="JC211"/>
      <c r="JD211"/>
      <c r="JE211"/>
      <c r="JF211"/>
      <c r="JG211"/>
      <c r="JH211"/>
      <c r="JI211"/>
      <c r="JJ211"/>
      <c r="JK211"/>
      <c r="JL211"/>
      <c r="JM211"/>
      <c r="JN211"/>
      <c r="JO211"/>
      <c r="JP211"/>
      <c r="JQ211"/>
      <c r="JR211"/>
      <c r="JS211"/>
      <c r="JT211"/>
      <c r="JU211"/>
      <c r="JV211"/>
      <c r="JW211"/>
      <c r="JX211"/>
      <c r="JY211"/>
      <c r="JZ211"/>
      <c r="KA211"/>
      <c r="KB211"/>
      <c r="KC211"/>
      <c r="KD211"/>
      <c r="KE211"/>
      <c r="KF211"/>
      <c r="KG211"/>
      <c r="KH211"/>
      <c r="KI211"/>
      <c r="KJ211"/>
      <c r="KK211"/>
      <c r="KL211"/>
      <c r="KM211"/>
      <c r="KN211"/>
      <c r="KO211"/>
      <c r="KP211"/>
      <c r="KQ211"/>
      <c r="KR211"/>
      <c r="KS211"/>
    </row>
    <row r="212" spans="2:305" hidden="1" x14ac:dyDescent="0.35">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c r="CU212"/>
      <c r="CV212"/>
      <c r="CW212"/>
      <c r="CX212"/>
      <c r="CY212"/>
      <c r="CZ212"/>
      <c r="DA212"/>
      <c r="DB212"/>
      <c r="DC212"/>
      <c r="DD212"/>
      <c r="DE212"/>
      <c r="DF212"/>
      <c r="DG212"/>
      <c r="DH212"/>
      <c r="DI212"/>
      <c r="DJ212"/>
      <c r="DK212"/>
      <c r="DL212"/>
      <c r="DM212"/>
      <c r="DN212"/>
      <c r="DO212"/>
      <c r="DP212"/>
      <c r="DQ212"/>
      <c r="DR212"/>
      <c r="DS212"/>
      <c r="DT212"/>
      <c r="DU212"/>
      <c r="DV212"/>
      <c r="DW212"/>
      <c r="DX212"/>
      <c r="DY212"/>
      <c r="DZ212"/>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c r="JA212"/>
      <c r="JB212"/>
      <c r="JC212"/>
      <c r="JD212"/>
      <c r="JE212"/>
      <c r="JF212"/>
      <c r="JG212"/>
      <c r="JH212"/>
      <c r="JI212"/>
      <c r="JJ212"/>
      <c r="JK212"/>
      <c r="JL212"/>
      <c r="JM212"/>
      <c r="JN212"/>
      <c r="JO212"/>
      <c r="JP212"/>
      <c r="JQ212"/>
      <c r="JR212"/>
      <c r="JS212"/>
      <c r="JT212"/>
      <c r="JU212"/>
      <c r="JV212"/>
      <c r="JW212"/>
      <c r="JX212"/>
      <c r="JY212"/>
      <c r="JZ212"/>
      <c r="KA212"/>
      <c r="KB212"/>
      <c r="KC212"/>
      <c r="KD212"/>
      <c r="KE212"/>
      <c r="KF212"/>
      <c r="KG212"/>
      <c r="KH212"/>
      <c r="KI212"/>
      <c r="KJ212"/>
      <c r="KK212"/>
      <c r="KL212"/>
      <c r="KM212"/>
      <c r="KN212"/>
      <c r="KO212"/>
      <c r="KP212"/>
      <c r="KQ212"/>
      <c r="KR212"/>
      <c r="KS212"/>
    </row>
    <row r="213" spans="2:305" hidden="1" x14ac:dyDescent="0.35">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c r="CU213"/>
      <c r="CV213"/>
      <c r="CW213"/>
      <c r="CX213"/>
      <c r="CY213"/>
      <c r="CZ213"/>
      <c r="DA213"/>
      <c r="DB213"/>
      <c r="DC213"/>
      <c r="DD213"/>
      <c r="DE213"/>
      <c r="DF213"/>
      <c r="DG213"/>
      <c r="DH213"/>
      <c r="DI213"/>
      <c r="DJ213"/>
      <c r="DK213"/>
      <c r="DL213"/>
      <c r="DM213"/>
      <c r="DN213"/>
      <c r="DO213"/>
      <c r="DP213"/>
      <c r="DQ213"/>
      <c r="DR213"/>
      <c r="DS213"/>
      <c r="DT213"/>
      <c r="DU213"/>
      <c r="DV213"/>
      <c r="DW213"/>
      <c r="DX213"/>
      <c r="DY213"/>
      <c r="DZ213"/>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c r="JA213"/>
      <c r="JB213"/>
      <c r="JC213"/>
      <c r="JD213"/>
      <c r="JE213"/>
      <c r="JF213"/>
      <c r="JG213"/>
      <c r="JH213"/>
      <c r="JI213"/>
      <c r="JJ213"/>
      <c r="JK213"/>
      <c r="JL213"/>
      <c r="JM213"/>
      <c r="JN213"/>
      <c r="JO213"/>
      <c r="JP213"/>
      <c r="JQ213"/>
      <c r="JR213"/>
      <c r="JS213"/>
      <c r="JT213"/>
      <c r="JU213"/>
      <c r="JV213"/>
      <c r="JW213"/>
      <c r="JX213"/>
      <c r="JY213"/>
      <c r="JZ213"/>
      <c r="KA213"/>
      <c r="KB213"/>
      <c r="KC213"/>
      <c r="KD213"/>
      <c r="KE213"/>
      <c r="KF213"/>
      <c r="KG213"/>
      <c r="KH213"/>
      <c r="KI213"/>
      <c r="KJ213"/>
      <c r="KK213"/>
      <c r="KL213"/>
      <c r="KM213"/>
      <c r="KN213"/>
      <c r="KO213"/>
      <c r="KP213"/>
      <c r="KQ213"/>
      <c r="KR213"/>
      <c r="KS213"/>
    </row>
    <row r="214" spans="2:305" hidden="1" x14ac:dyDescent="0.35">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c r="CU214"/>
      <c r="CV214"/>
      <c r="CW214"/>
      <c r="CX214"/>
      <c r="CY214"/>
      <c r="CZ214"/>
      <c r="DA214"/>
      <c r="DB214"/>
      <c r="DC214"/>
      <c r="DD214"/>
      <c r="DE214"/>
      <c r="DF214"/>
      <c r="DG214"/>
      <c r="DH214"/>
      <c r="DI214"/>
      <c r="DJ214"/>
      <c r="DK214"/>
      <c r="DL214"/>
      <c r="DM214"/>
      <c r="DN214"/>
      <c r="DO214"/>
      <c r="DP214"/>
      <c r="DQ214"/>
      <c r="DR214"/>
      <c r="DS214"/>
      <c r="DT214"/>
      <c r="DU214"/>
      <c r="DV214"/>
      <c r="DW214"/>
      <c r="DX214"/>
      <c r="DY214"/>
      <c r="DZ214"/>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c r="JA214"/>
      <c r="JB214"/>
      <c r="JC214"/>
      <c r="JD214"/>
      <c r="JE214"/>
      <c r="JF214"/>
      <c r="JG214"/>
      <c r="JH214"/>
      <c r="JI214"/>
      <c r="JJ214"/>
      <c r="JK214"/>
      <c r="JL214"/>
      <c r="JM214"/>
      <c r="JN214"/>
      <c r="JO214"/>
      <c r="JP214"/>
      <c r="JQ214"/>
      <c r="JR214"/>
      <c r="JS214"/>
      <c r="JT214"/>
      <c r="JU214"/>
      <c r="JV214"/>
      <c r="JW214"/>
      <c r="JX214"/>
      <c r="JY214"/>
      <c r="JZ214"/>
      <c r="KA214"/>
      <c r="KB214"/>
      <c r="KC214"/>
      <c r="KD214"/>
      <c r="KE214"/>
      <c r="KF214"/>
      <c r="KG214"/>
      <c r="KH214"/>
      <c r="KI214"/>
      <c r="KJ214"/>
      <c r="KK214"/>
      <c r="KL214"/>
      <c r="KM214"/>
      <c r="KN214"/>
      <c r="KO214"/>
      <c r="KP214"/>
      <c r="KQ214"/>
      <c r="KR214"/>
      <c r="KS214"/>
    </row>
    <row r="215" spans="2:305" hidden="1" x14ac:dyDescent="0.3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c r="CU215"/>
      <c r="CV215"/>
      <c r="CW215"/>
      <c r="CX215"/>
      <c r="CY215"/>
      <c r="CZ215"/>
      <c r="DA215"/>
      <c r="DB215"/>
      <c r="DC215"/>
      <c r="DD215"/>
      <c r="DE215"/>
      <c r="DF215"/>
      <c r="DG215"/>
      <c r="DH215"/>
      <c r="DI215"/>
      <c r="DJ215"/>
      <c r="DK215"/>
      <c r="DL215"/>
      <c r="DM215"/>
      <c r="DN215"/>
      <c r="DO215"/>
      <c r="DP215"/>
      <c r="DQ215"/>
      <c r="DR215"/>
      <c r="DS215"/>
      <c r="DT215"/>
      <c r="DU215"/>
      <c r="DV215"/>
      <c r="DW215"/>
      <c r="DX215"/>
      <c r="DY215"/>
      <c r="DZ215"/>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c r="JA215"/>
      <c r="JB215"/>
      <c r="JC215"/>
      <c r="JD215"/>
      <c r="JE215"/>
      <c r="JF215"/>
      <c r="JG215"/>
      <c r="JH215"/>
      <c r="JI215"/>
      <c r="JJ215"/>
      <c r="JK215"/>
      <c r="JL215"/>
      <c r="JM215"/>
      <c r="JN215"/>
      <c r="JO215"/>
      <c r="JP215"/>
      <c r="JQ215"/>
      <c r="JR215"/>
      <c r="JS215"/>
      <c r="JT215"/>
      <c r="JU215"/>
      <c r="JV215"/>
      <c r="JW215"/>
      <c r="JX215"/>
      <c r="JY215"/>
      <c r="JZ215"/>
      <c r="KA215"/>
      <c r="KB215"/>
      <c r="KC215"/>
      <c r="KD215"/>
      <c r="KE215"/>
      <c r="KF215"/>
      <c r="KG215"/>
      <c r="KH215"/>
      <c r="KI215"/>
      <c r="KJ215"/>
      <c r="KK215"/>
      <c r="KL215"/>
      <c r="KM215"/>
      <c r="KN215"/>
      <c r="KO215"/>
      <c r="KP215"/>
      <c r="KQ215"/>
      <c r="KR215"/>
      <c r="KS215"/>
    </row>
    <row r="216" spans="2:305" hidden="1" x14ac:dyDescent="0.35">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c r="CU216"/>
      <c r="CV216"/>
      <c r="CW216"/>
      <c r="CX216"/>
      <c r="CY216"/>
      <c r="CZ216"/>
      <c r="DA216"/>
      <c r="DB216"/>
      <c r="DC216"/>
      <c r="DD216"/>
      <c r="DE216"/>
      <c r="DF216"/>
      <c r="DG216"/>
      <c r="DH216"/>
      <c r="DI216"/>
      <c r="DJ216"/>
      <c r="DK216"/>
      <c r="DL216"/>
      <c r="DM216"/>
      <c r="DN216"/>
      <c r="DO216"/>
      <c r="DP216"/>
      <c r="DQ216"/>
      <c r="DR216"/>
      <c r="DS216"/>
      <c r="DT216"/>
      <c r="DU216"/>
      <c r="DV216"/>
      <c r="DW216"/>
      <c r="DX216"/>
      <c r="DY216"/>
      <c r="DZ216"/>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c r="JA216"/>
      <c r="JB216"/>
      <c r="JC216"/>
      <c r="JD216"/>
      <c r="JE216"/>
      <c r="JF216"/>
      <c r="JG216"/>
      <c r="JH216"/>
      <c r="JI216"/>
      <c r="JJ216"/>
      <c r="JK216"/>
      <c r="JL216"/>
      <c r="JM216"/>
      <c r="JN216"/>
      <c r="JO216"/>
      <c r="JP216"/>
      <c r="JQ216"/>
      <c r="JR216"/>
      <c r="JS216"/>
      <c r="JT216"/>
      <c r="JU216"/>
      <c r="JV216"/>
      <c r="JW216"/>
      <c r="JX216"/>
      <c r="JY216"/>
      <c r="JZ216"/>
      <c r="KA216"/>
      <c r="KB216"/>
      <c r="KC216"/>
      <c r="KD216"/>
      <c r="KE216"/>
      <c r="KF216"/>
      <c r="KG216"/>
      <c r="KH216"/>
      <c r="KI216"/>
      <c r="KJ216"/>
      <c r="KK216"/>
      <c r="KL216"/>
      <c r="KM216"/>
      <c r="KN216"/>
      <c r="KO216"/>
      <c r="KP216"/>
      <c r="KQ216"/>
      <c r="KR216"/>
      <c r="KS216"/>
    </row>
    <row r="217" spans="2:305" hidden="1" x14ac:dyDescent="0.35">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c r="CU217"/>
      <c r="CV217"/>
      <c r="CW217"/>
      <c r="CX217"/>
      <c r="CY217"/>
      <c r="CZ217"/>
      <c r="DA217"/>
      <c r="DB217"/>
      <c r="DC217"/>
      <c r="DD217"/>
      <c r="DE217"/>
      <c r="DF217"/>
      <c r="DG217"/>
      <c r="DH217"/>
      <c r="DI217"/>
      <c r="DJ217"/>
      <c r="DK217"/>
      <c r="DL217"/>
      <c r="DM217"/>
      <c r="DN217"/>
      <c r="DO217"/>
      <c r="DP217"/>
      <c r="DQ217"/>
      <c r="DR217"/>
      <c r="DS217"/>
      <c r="DT217"/>
      <c r="DU217"/>
      <c r="DV217"/>
      <c r="DW217"/>
      <c r="DX217"/>
      <c r="DY217"/>
      <c r="DZ217"/>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c r="JA217"/>
      <c r="JB217"/>
      <c r="JC217"/>
      <c r="JD217"/>
      <c r="JE217"/>
      <c r="JF217"/>
      <c r="JG217"/>
      <c r="JH217"/>
      <c r="JI217"/>
      <c r="JJ217"/>
      <c r="JK217"/>
      <c r="JL217"/>
      <c r="JM217"/>
      <c r="JN217"/>
      <c r="JO217"/>
      <c r="JP217"/>
      <c r="JQ217"/>
      <c r="JR217"/>
      <c r="JS217"/>
      <c r="JT217"/>
      <c r="JU217"/>
      <c r="JV217"/>
      <c r="JW217"/>
      <c r="JX217"/>
      <c r="JY217"/>
      <c r="JZ217"/>
      <c r="KA217"/>
      <c r="KB217"/>
      <c r="KC217"/>
      <c r="KD217"/>
      <c r="KE217"/>
      <c r="KF217"/>
      <c r="KG217"/>
      <c r="KH217"/>
      <c r="KI217"/>
      <c r="KJ217"/>
      <c r="KK217"/>
      <c r="KL217"/>
      <c r="KM217"/>
      <c r="KN217"/>
      <c r="KO217"/>
      <c r="KP217"/>
      <c r="KQ217"/>
      <c r="KR217"/>
      <c r="KS217"/>
    </row>
    <row r="218" spans="2:305" hidden="1" x14ac:dyDescent="0.35">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c r="CU218"/>
      <c r="CV218"/>
      <c r="CW218"/>
      <c r="CX218"/>
      <c r="CY218"/>
      <c r="CZ218"/>
      <c r="DA218"/>
      <c r="DB218"/>
      <c r="DC218"/>
      <c r="DD218"/>
      <c r="DE218"/>
      <c r="DF218"/>
      <c r="DG218"/>
      <c r="DH218"/>
      <c r="DI218"/>
      <c r="DJ218"/>
      <c r="DK218"/>
      <c r="DL218"/>
      <c r="DM218"/>
      <c r="DN218"/>
      <c r="DO218"/>
      <c r="DP218"/>
      <c r="DQ218"/>
      <c r="DR218"/>
      <c r="DS218"/>
      <c r="DT218"/>
      <c r="DU218"/>
      <c r="DV218"/>
      <c r="DW218"/>
      <c r="DX218"/>
      <c r="DY218"/>
      <c r="DZ218"/>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c r="JA218"/>
      <c r="JB218"/>
      <c r="JC218"/>
      <c r="JD218"/>
      <c r="JE218"/>
      <c r="JF218"/>
      <c r="JG218"/>
      <c r="JH218"/>
      <c r="JI218"/>
      <c r="JJ218"/>
      <c r="JK218"/>
      <c r="JL218"/>
      <c r="JM218"/>
      <c r="JN218"/>
      <c r="JO218"/>
      <c r="JP218"/>
      <c r="JQ218"/>
      <c r="JR218"/>
      <c r="JS218"/>
      <c r="JT218"/>
      <c r="JU218"/>
      <c r="JV218"/>
      <c r="JW218"/>
      <c r="JX218"/>
      <c r="JY218"/>
      <c r="JZ218"/>
      <c r="KA218"/>
      <c r="KB218"/>
      <c r="KC218"/>
      <c r="KD218"/>
      <c r="KE218"/>
      <c r="KF218"/>
      <c r="KG218"/>
      <c r="KH218"/>
      <c r="KI218"/>
      <c r="KJ218"/>
      <c r="KK218"/>
      <c r="KL218"/>
      <c r="KM218"/>
      <c r="KN218"/>
      <c r="KO218"/>
      <c r="KP218"/>
      <c r="KQ218"/>
      <c r="KR218"/>
      <c r="KS218"/>
    </row>
    <row r="219" spans="2:305" hidden="1" x14ac:dyDescent="0.35">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c r="CU219"/>
      <c r="CV219"/>
      <c r="CW219"/>
      <c r="CX219"/>
      <c r="CY219"/>
      <c r="CZ219"/>
      <c r="DA219"/>
      <c r="DB219"/>
      <c r="DC219"/>
      <c r="DD219"/>
      <c r="DE219"/>
      <c r="DF219"/>
      <c r="DG219"/>
      <c r="DH219"/>
      <c r="DI219"/>
      <c r="DJ219"/>
      <c r="DK219"/>
      <c r="DL219"/>
      <c r="DM219"/>
      <c r="DN219"/>
      <c r="DO219"/>
      <c r="DP219"/>
      <c r="DQ219"/>
      <c r="DR219"/>
      <c r="DS219"/>
      <c r="DT219"/>
      <c r="DU219"/>
      <c r="DV219"/>
      <c r="DW219"/>
      <c r="DX219"/>
      <c r="DY219"/>
      <c r="DZ219"/>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c r="JA219"/>
      <c r="JB219"/>
      <c r="JC219"/>
      <c r="JD219"/>
      <c r="JE219"/>
      <c r="JF219"/>
      <c r="JG219"/>
      <c r="JH219"/>
      <c r="JI219"/>
      <c r="JJ219"/>
      <c r="JK219"/>
      <c r="JL219"/>
      <c r="JM219"/>
      <c r="JN219"/>
      <c r="JO219"/>
      <c r="JP219"/>
      <c r="JQ219"/>
      <c r="JR219"/>
      <c r="JS219"/>
      <c r="JT219"/>
      <c r="JU219"/>
      <c r="JV219"/>
      <c r="JW219"/>
      <c r="JX219"/>
      <c r="JY219"/>
      <c r="JZ219"/>
      <c r="KA219"/>
      <c r="KB219"/>
      <c r="KC219"/>
      <c r="KD219"/>
      <c r="KE219"/>
      <c r="KF219"/>
      <c r="KG219"/>
      <c r="KH219"/>
      <c r="KI219"/>
      <c r="KJ219"/>
      <c r="KK219"/>
      <c r="KL219"/>
      <c r="KM219"/>
      <c r="KN219"/>
      <c r="KO219"/>
      <c r="KP219"/>
      <c r="KQ219"/>
      <c r="KR219"/>
      <c r="KS219"/>
    </row>
    <row r="220" spans="2:305" hidden="1" x14ac:dyDescent="0.35">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c r="CU220"/>
      <c r="CV220"/>
      <c r="CW220"/>
      <c r="CX220"/>
      <c r="CY220"/>
      <c r="CZ220"/>
      <c r="DA220"/>
      <c r="DB220"/>
      <c r="DC220"/>
      <c r="DD220"/>
      <c r="DE220"/>
      <c r="DF220"/>
      <c r="DG220"/>
      <c r="DH220"/>
      <c r="DI220"/>
      <c r="DJ220"/>
      <c r="DK220"/>
      <c r="DL220"/>
      <c r="DM220"/>
      <c r="DN220"/>
      <c r="DO220"/>
      <c r="DP220"/>
      <c r="DQ220"/>
      <c r="DR220"/>
      <c r="DS220"/>
      <c r="DT220"/>
      <c r="DU220"/>
      <c r="DV220"/>
      <c r="DW220"/>
      <c r="DX220"/>
      <c r="DY220"/>
      <c r="DZ220"/>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c r="JA220"/>
      <c r="JB220"/>
      <c r="JC220"/>
      <c r="JD220"/>
      <c r="JE220"/>
      <c r="JF220"/>
      <c r="JG220"/>
      <c r="JH220"/>
      <c r="JI220"/>
      <c r="JJ220"/>
      <c r="JK220"/>
      <c r="JL220"/>
      <c r="JM220"/>
      <c r="JN220"/>
      <c r="JO220"/>
      <c r="JP220"/>
      <c r="JQ220"/>
      <c r="JR220"/>
      <c r="JS220"/>
      <c r="JT220"/>
      <c r="JU220"/>
      <c r="JV220"/>
      <c r="JW220"/>
      <c r="JX220"/>
      <c r="JY220"/>
      <c r="JZ220"/>
      <c r="KA220"/>
      <c r="KB220"/>
      <c r="KC220"/>
      <c r="KD220"/>
      <c r="KE220"/>
      <c r="KF220"/>
      <c r="KG220"/>
      <c r="KH220"/>
      <c r="KI220"/>
      <c r="KJ220"/>
      <c r="KK220"/>
      <c r="KL220"/>
      <c r="KM220"/>
      <c r="KN220"/>
      <c r="KO220"/>
      <c r="KP220"/>
      <c r="KQ220"/>
      <c r="KR220"/>
      <c r="KS220"/>
    </row>
    <row r="221" spans="2:305" hidden="1" x14ac:dyDescent="0.35">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c r="CU221"/>
      <c r="CV221"/>
      <c r="CW221"/>
      <c r="CX221"/>
      <c r="CY221"/>
      <c r="CZ221"/>
      <c r="DA221"/>
      <c r="DB221"/>
      <c r="DC221"/>
      <c r="DD221"/>
      <c r="DE221"/>
      <c r="DF221"/>
      <c r="DG221"/>
      <c r="DH221"/>
      <c r="DI221"/>
      <c r="DJ221"/>
      <c r="DK221"/>
      <c r="DL221"/>
      <c r="DM221"/>
      <c r="DN221"/>
      <c r="DO221"/>
      <c r="DP221"/>
      <c r="DQ221"/>
      <c r="DR221"/>
      <c r="DS221"/>
      <c r="DT221"/>
      <c r="DU221"/>
      <c r="DV221"/>
      <c r="DW221"/>
      <c r="DX221"/>
      <c r="DY221"/>
      <c r="DZ221"/>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c r="JA221"/>
      <c r="JB221"/>
      <c r="JC221"/>
      <c r="JD221"/>
      <c r="JE221"/>
      <c r="JF221"/>
      <c r="JG221"/>
      <c r="JH221"/>
      <c r="JI221"/>
      <c r="JJ221"/>
      <c r="JK221"/>
      <c r="JL221"/>
      <c r="JM221"/>
      <c r="JN221"/>
      <c r="JO221"/>
      <c r="JP221"/>
      <c r="JQ221"/>
      <c r="JR221"/>
      <c r="JS221"/>
      <c r="JT221"/>
      <c r="JU221"/>
      <c r="JV221"/>
      <c r="JW221"/>
      <c r="JX221"/>
      <c r="JY221"/>
      <c r="JZ221"/>
      <c r="KA221"/>
      <c r="KB221"/>
      <c r="KC221"/>
      <c r="KD221"/>
      <c r="KE221"/>
      <c r="KF221"/>
      <c r="KG221"/>
      <c r="KH221"/>
      <c r="KI221"/>
      <c r="KJ221"/>
      <c r="KK221"/>
      <c r="KL221"/>
      <c r="KM221"/>
      <c r="KN221"/>
      <c r="KO221"/>
      <c r="KP221"/>
      <c r="KQ221"/>
      <c r="KR221"/>
      <c r="KS221"/>
    </row>
    <row r="222" spans="2:305" hidden="1" x14ac:dyDescent="0.35">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c r="CU222"/>
      <c r="CV222"/>
      <c r="CW222"/>
      <c r="CX222"/>
      <c r="CY222"/>
      <c r="CZ222"/>
      <c r="DA222"/>
      <c r="DB222"/>
      <c r="DC222"/>
      <c r="DD222"/>
      <c r="DE222"/>
      <c r="DF222"/>
      <c r="DG222"/>
      <c r="DH222"/>
      <c r="DI222"/>
      <c r="DJ222"/>
      <c r="DK222"/>
      <c r="DL222"/>
      <c r="DM222"/>
      <c r="DN222"/>
      <c r="DO222"/>
      <c r="DP222"/>
      <c r="DQ222"/>
      <c r="DR222"/>
      <c r="DS222"/>
      <c r="DT222"/>
      <c r="DU222"/>
      <c r="DV222"/>
      <c r="DW222"/>
      <c r="DX222"/>
      <c r="DY222"/>
      <c r="DZ222"/>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c r="JA222"/>
      <c r="JB222"/>
      <c r="JC222"/>
      <c r="JD222"/>
      <c r="JE222"/>
      <c r="JF222"/>
      <c r="JG222"/>
      <c r="JH222"/>
      <c r="JI222"/>
      <c r="JJ222"/>
      <c r="JK222"/>
      <c r="JL222"/>
      <c r="JM222"/>
      <c r="JN222"/>
      <c r="JO222"/>
      <c r="JP222"/>
      <c r="JQ222"/>
      <c r="JR222"/>
      <c r="JS222"/>
      <c r="JT222"/>
      <c r="JU222"/>
      <c r="JV222"/>
      <c r="JW222"/>
      <c r="JX222"/>
      <c r="JY222"/>
      <c r="JZ222"/>
      <c r="KA222"/>
      <c r="KB222"/>
      <c r="KC222"/>
      <c r="KD222"/>
      <c r="KE222"/>
      <c r="KF222"/>
      <c r="KG222"/>
      <c r="KH222"/>
      <c r="KI222"/>
      <c r="KJ222"/>
      <c r="KK222"/>
      <c r="KL222"/>
      <c r="KM222"/>
      <c r="KN222"/>
      <c r="KO222"/>
      <c r="KP222"/>
      <c r="KQ222"/>
      <c r="KR222"/>
      <c r="KS222"/>
    </row>
    <row r="223" spans="2:305" hidden="1" x14ac:dyDescent="0.35">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c r="CU223"/>
      <c r="CV223"/>
      <c r="CW223"/>
      <c r="CX223"/>
      <c r="CY223"/>
      <c r="CZ223"/>
      <c r="DA223"/>
      <c r="DB223"/>
      <c r="DC223"/>
      <c r="DD223"/>
      <c r="DE223"/>
      <c r="DF223"/>
      <c r="DG223"/>
      <c r="DH223"/>
      <c r="DI223"/>
      <c r="DJ223"/>
      <c r="DK223"/>
      <c r="DL223"/>
      <c r="DM223"/>
      <c r="DN223"/>
      <c r="DO223"/>
      <c r="DP223"/>
      <c r="DQ223"/>
      <c r="DR223"/>
      <c r="DS223"/>
      <c r="DT223"/>
      <c r="DU223"/>
      <c r="DV223"/>
      <c r="DW223"/>
      <c r="DX223"/>
      <c r="DY223"/>
      <c r="DZ223"/>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c r="JA223"/>
      <c r="JB223"/>
      <c r="JC223"/>
      <c r="JD223"/>
      <c r="JE223"/>
      <c r="JF223"/>
      <c r="JG223"/>
      <c r="JH223"/>
      <c r="JI223"/>
      <c r="JJ223"/>
      <c r="JK223"/>
      <c r="JL223"/>
      <c r="JM223"/>
      <c r="JN223"/>
      <c r="JO223"/>
      <c r="JP223"/>
      <c r="JQ223"/>
      <c r="JR223"/>
      <c r="JS223"/>
      <c r="JT223"/>
      <c r="JU223"/>
      <c r="JV223"/>
      <c r="JW223"/>
      <c r="JX223"/>
      <c r="JY223"/>
      <c r="JZ223"/>
      <c r="KA223"/>
      <c r="KB223"/>
      <c r="KC223"/>
      <c r="KD223"/>
      <c r="KE223"/>
      <c r="KF223"/>
      <c r="KG223"/>
      <c r="KH223"/>
      <c r="KI223"/>
      <c r="KJ223"/>
      <c r="KK223"/>
      <c r="KL223"/>
      <c r="KM223"/>
      <c r="KN223"/>
      <c r="KO223"/>
      <c r="KP223"/>
      <c r="KQ223"/>
      <c r="KR223"/>
      <c r="KS223"/>
    </row>
    <row r="224" spans="2:305" hidden="1" x14ac:dyDescent="0.35">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c r="CU224"/>
      <c r="CV224"/>
      <c r="CW224"/>
      <c r="CX224"/>
      <c r="CY224"/>
      <c r="CZ224"/>
      <c r="DA224"/>
      <c r="DB224"/>
      <c r="DC224"/>
      <c r="DD224"/>
      <c r="DE224"/>
      <c r="DF224"/>
      <c r="DG224"/>
      <c r="DH224"/>
      <c r="DI224"/>
      <c r="DJ224"/>
      <c r="DK224"/>
      <c r="DL224"/>
      <c r="DM224"/>
      <c r="DN224"/>
      <c r="DO224"/>
      <c r="DP224"/>
      <c r="DQ224"/>
      <c r="DR224"/>
      <c r="DS224"/>
      <c r="DT224"/>
      <c r="DU224"/>
      <c r="DV224"/>
      <c r="DW224"/>
      <c r="DX224"/>
      <c r="DY224"/>
      <c r="DZ224"/>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c r="JA224"/>
      <c r="JB224"/>
      <c r="JC224"/>
      <c r="JD224"/>
      <c r="JE224"/>
      <c r="JF224"/>
      <c r="JG224"/>
      <c r="JH224"/>
      <c r="JI224"/>
      <c r="JJ224"/>
      <c r="JK224"/>
      <c r="JL224"/>
      <c r="JM224"/>
      <c r="JN224"/>
      <c r="JO224"/>
      <c r="JP224"/>
      <c r="JQ224"/>
      <c r="JR224"/>
      <c r="JS224"/>
      <c r="JT224"/>
      <c r="JU224"/>
      <c r="JV224"/>
      <c r="JW224"/>
      <c r="JX224"/>
      <c r="JY224"/>
      <c r="JZ224"/>
      <c r="KA224"/>
      <c r="KB224"/>
      <c r="KC224"/>
      <c r="KD224"/>
      <c r="KE224"/>
      <c r="KF224"/>
      <c r="KG224"/>
      <c r="KH224"/>
      <c r="KI224"/>
      <c r="KJ224"/>
      <c r="KK224"/>
      <c r="KL224"/>
      <c r="KM224"/>
      <c r="KN224"/>
      <c r="KO224"/>
      <c r="KP224"/>
      <c r="KQ224"/>
      <c r="KR224"/>
      <c r="KS224"/>
    </row>
    <row r="225" spans="2:305" hidden="1" x14ac:dyDescent="0.3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c r="CU225"/>
      <c r="CV225"/>
      <c r="CW225"/>
      <c r="CX225"/>
      <c r="CY225"/>
      <c r="CZ225"/>
      <c r="DA225"/>
      <c r="DB225"/>
      <c r="DC225"/>
      <c r="DD225"/>
      <c r="DE225"/>
      <c r="DF225"/>
      <c r="DG225"/>
      <c r="DH225"/>
      <c r="DI225"/>
      <c r="DJ225"/>
      <c r="DK225"/>
      <c r="DL225"/>
      <c r="DM225"/>
      <c r="DN225"/>
      <c r="DO225"/>
      <c r="DP225"/>
      <c r="DQ225"/>
      <c r="DR225"/>
      <c r="DS225"/>
      <c r="DT225"/>
      <c r="DU225"/>
      <c r="DV225"/>
      <c r="DW225"/>
      <c r="DX225"/>
      <c r="DY225"/>
      <c r="DZ22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c r="JA225"/>
      <c r="JB225"/>
      <c r="JC225"/>
      <c r="JD225"/>
      <c r="JE225"/>
      <c r="JF225"/>
      <c r="JG225"/>
      <c r="JH225"/>
      <c r="JI225"/>
      <c r="JJ225"/>
      <c r="JK225"/>
      <c r="JL225"/>
      <c r="JM225"/>
      <c r="JN225"/>
      <c r="JO225"/>
      <c r="JP225"/>
      <c r="JQ225"/>
      <c r="JR225"/>
      <c r="JS225"/>
      <c r="JT225"/>
      <c r="JU225"/>
      <c r="JV225"/>
      <c r="JW225"/>
      <c r="JX225"/>
      <c r="JY225"/>
      <c r="JZ225"/>
      <c r="KA225"/>
      <c r="KB225"/>
      <c r="KC225"/>
      <c r="KD225"/>
      <c r="KE225"/>
      <c r="KF225"/>
      <c r="KG225"/>
      <c r="KH225"/>
      <c r="KI225"/>
      <c r="KJ225"/>
      <c r="KK225"/>
      <c r="KL225"/>
      <c r="KM225"/>
      <c r="KN225"/>
      <c r="KO225"/>
      <c r="KP225"/>
      <c r="KQ225"/>
      <c r="KR225"/>
      <c r="KS225"/>
    </row>
    <row r="226" spans="2:305" hidden="1" x14ac:dyDescent="0.35">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c r="CU226"/>
      <c r="CV226"/>
      <c r="CW226"/>
      <c r="CX226"/>
      <c r="CY226"/>
      <c r="CZ226"/>
      <c r="DA226"/>
      <c r="DB226"/>
      <c r="DC226"/>
      <c r="DD226"/>
      <c r="DE226"/>
      <c r="DF226"/>
      <c r="DG226"/>
      <c r="DH226"/>
      <c r="DI226"/>
      <c r="DJ226"/>
      <c r="DK226"/>
      <c r="DL226"/>
      <c r="DM226"/>
      <c r="DN226"/>
      <c r="DO226"/>
      <c r="DP226"/>
      <c r="DQ226"/>
      <c r="DR226"/>
      <c r="DS226"/>
      <c r="DT226"/>
      <c r="DU226"/>
      <c r="DV226"/>
      <c r="DW226"/>
      <c r="DX226"/>
      <c r="DY226"/>
      <c r="DZ226"/>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c r="JA226"/>
      <c r="JB226"/>
      <c r="JC226"/>
      <c r="JD226"/>
      <c r="JE226"/>
      <c r="JF226"/>
      <c r="JG226"/>
      <c r="JH226"/>
      <c r="JI226"/>
      <c r="JJ226"/>
      <c r="JK226"/>
      <c r="JL226"/>
      <c r="JM226"/>
      <c r="JN226"/>
      <c r="JO226"/>
      <c r="JP226"/>
      <c r="JQ226"/>
      <c r="JR226"/>
      <c r="JS226"/>
      <c r="JT226"/>
      <c r="JU226"/>
      <c r="JV226"/>
      <c r="JW226"/>
      <c r="JX226"/>
      <c r="JY226"/>
      <c r="JZ226"/>
      <c r="KA226"/>
      <c r="KB226"/>
      <c r="KC226"/>
      <c r="KD226"/>
      <c r="KE226"/>
      <c r="KF226"/>
      <c r="KG226"/>
      <c r="KH226"/>
      <c r="KI226"/>
      <c r="KJ226"/>
      <c r="KK226"/>
      <c r="KL226"/>
      <c r="KM226"/>
      <c r="KN226"/>
      <c r="KO226"/>
      <c r="KP226"/>
      <c r="KQ226"/>
      <c r="KR226"/>
      <c r="KS226"/>
    </row>
    <row r="227" spans="2:305" hidden="1" x14ac:dyDescent="0.35">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c r="CU227"/>
      <c r="CV227"/>
      <c r="CW227"/>
      <c r="CX227"/>
      <c r="CY227"/>
      <c r="CZ227"/>
      <c r="DA227"/>
      <c r="DB227"/>
      <c r="DC227"/>
      <c r="DD227"/>
      <c r="DE227"/>
      <c r="DF227"/>
      <c r="DG227"/>
      <c r="DH227"/>
      <c r="DI227"/>
      <c r="DJ227"/>
      <c r="DK227"/>
      <c r="DL227"/>
      <c r="DM227"/>
      <c r="DN227"/>
      <c r="DO227"/>
      <c r="DP227"/>
      <c r="DQ227"/>
      <c r="DR227"/>
      <c r="DS227"/>
      <c r="DT227"/>
      <c r="DU227"/>
      <c r="DV227"/>
      <c r="DW227"/>
      <c r="DX227"/>
      <c r="DY227"/>
      <c r="DZ227"/>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c r="GN227"/>
      <c r="GO227"/>
      <c r="GP227"/>
      <c r="GQ227"/>
      <c r="GR227"/>
      <c r="GS227"/>
      <c r="GT227"/>
      <c r="GU227"/>
      <c r="GV227"/>
      <c r="GW227"/>
      <c r="GX227"/>
      <c r="GY227"/>
      <c r="GZ227"/>
      <c r="HA227"/>
      <c r="HB227"/>
      <c r="HC227"/>
      <c r="HD227"/>
      <c r="HE227"/>
      <c r="HF227"/>
      <c r="HG227"/>
      <c r="HH227"/>
      <c r="HI227"/>
      <c r="HJ227"/>
      <c r="HK227"/>
      <c r="HL227"/>
      <c r="HM227"/>
      <c r="HN227"/>
      <c r="HO227"/>
      <c r="HP227"/>
      <c r="HQ227"/>
      <c r="HR227"/>
      <c r="HS227"/>
      <c r="HT227"/>
      <c r="HU227"/>
      <c r="HV227"/>
      <c r="HW227"/>
      <c r="HX227"/>
      <c r="HY227"/>
      <c r="HZ227"/>
      <c r="IA227"/>
      <c r="IB227"/>
      <c r="IC227"/>
      <c r="ID227"/>
      <c r="IE227"/>
      <c r="IF227"/>
      <c r="IG227"/>
      <c r="IH227"/>
      <c r="II227"/>
      <c r="IJ227"/>
      <c r="IK227"/>
      <c r="IL227"/>
      <c r="IM227"/>
      <c r="IN227"/>
      <c r="IO227"/>
      <c r="IP227"/>
      <c r="IQ227"/>
      <c r="IR227"/>
      <c r="IS227"/>
      <c r="IT227"/>
      <c r="IU227"/>
      <c r="IV227"/>
      <c r="IW227"/>
      <c r="IX227"/>
      <c r="IY227"/>
      <c r="IZ227"/>
      <c r="JA227"/>
      <c r="JB227"/>
      <c r="JC227"/>
      <c r="JD227"/>
      <c r="JE227"/>
      <c r="JF227"/>
      <c r="JG227"/>
      <c r="JH227"/>
      <c r="JI227"/>
      <c r="JJ227"/>
      <c r="JK227"/>
      <c r="JL227"/>
      <c r="JM227"/>
      <c r="JN227"/>
      <c r="JO227"/>
      <c r="JP227"/>
      <c r="JQ227"/>
      <c r="JR227"/>
      <c r="JS227"/>
      <c r="JT227"/>
      <c r="JU227"/>
      <c r="JV227"/>
      <c r="JW227"/>
      <c r="JX227"/>
      <c r="JY227"/>
      <c r="JZ227"/>
      <c r="KA227"/>
      <c r="KB227"/>
      <c r="KC227"/>
      <c r="KD227"/>
      <c r="KE227"/>
      <c r="KF227"/>
      <c r="KG227"/>
      <c r="KH227"/>
      <c r="KI227"/>
      <c r="KJ227"/>
      <c r="KK227"/>
      <c r="KL227"/>
      <c r="KM227"/>
      <c r="KN227"/>
      <c r="KO227"/>
      <c r="KP227"/>
      <c r="KQ227"/>
      <c r="KR227"/>
      <c r="KS227"/>
    </row>
    <row r="228" spans="2:305" hidden="1" x14ac:dyDescent="0.35">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c r="CU228"/>
      <c r="CV228"/>
      <c r="CW228"/>
      <c r="CX228"/>
      <c r="CY228"/>
      <c r="CZ228"/>
      <c r="DA228"/>
      <c r="DB228"/>
      <c r="DC228"/>
      <c r="DD228"/>
      <c r="DE228"/>
      <c r="DF228"/>
      <c r="DG228"/>
      <c r="DH228"/>
      <c r="DI228"/>
      <c r="DJ228"/>
      <c r="DK228"/>
      <c r="DL228"/>
      <c r="DM228"/>
      <c r="DN228"/>
      <c r="DO228"/>
      <c r="DP228"/>
      <c r="DQ228"/>
      <c r="DR228"/>
      <c r="DS228"/>
      <c r="DT228"/>
      <c r="DU228"/>
      <c r="DV228"/>
      <c r="DW228"/>
      <c r="DX228"/>
      <c r="DY228"/>
      <c r="DZ228"/>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c r="JA228"/>
      <c r="JB228"/>
      <c r="JC228"/>
      <c r="JD228"/>
      <c r="JE228"/>
      <c r="JF228"/>
      <c r="JG228"/>
      <c r="JH228"/>
      <c r="JI228"/>
      <c r="JJ228"/>
      <c r="JK228"/>
      <c r="JL228"/>
      <c r="JM228"/>
      <c r="JN228"/>
      <c r="JO228"/>
      <c r="JP228"/>
      <c r="JQ228"/>
      <c r="JR228"/>
      <c r="JS228"/>
      <c r="JT228"/>
      <c r="JU228"/>
      <c r="JV228"/>
      <c r="JW228"/>
      <c r="JX228"/>
      <c r="JY228"/>
      <c r="JZ228"/>
      <c r="KA228"/>
      <c r="KB228"/>
      <c r="KC228"/>
      <c r="KD228"/>
      <c r="KE228"/>
      <c r="KF228"/>
      <c r="KG228"/>
      <c r="KH228"/>
      <c r="KI228"/>
      <c r="KJ228"/>
      <c r="KK228"/>
      <c r="KL228"/>
      <c r="KM228"/>
      <c r="KN228"/>
      <c r="KO228"/>
      <c r="KP228"/>
      <c r="KQ228"/>
      <c r="KR228"/>
      <c r="KS228"/>
    </row>
    <row r="229" spans="2:305" hidden="1" x14ac:dyDescent="0.35">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c r="CU229"/>
      <c r="CV229"/>
      <c r="CW229"/>
      <c r="CX229"/>
      <c r="CY229"/>
      <c r="CZ229"/>
      <c r="DA229"/>
      <c r="DB229"/>
      <c r="DC229"/>
      <c r="DD229"/>
      <c r="DE229"/>
      <c r="DF229"/>
      <c r="DG229"/>
      <c r="DH229"/>
      <c r="DI229"/>
      <c r="DJ229"/>
      <c r="DK229"/>
      <c r="DL229"/>
      <c r="DM229"/>
      <c r="DN229"/>
      <c r="DO229"/>
      <c r="DP229"/>
      <c r="DQ229"/>
      <c r="DR229"/>
      <c r="DS229"/>
      <c r="DT229"/>
      <c r="DU229"/>
      <c r="DV229"/>
      <c r="DW229"/>
      <c r="DX229"/>
      <c r="DY229"/>
      <c r="DZ229"/>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c r="JA229"/>
      <c r="JB229"/>
      <c r="JC229"/>
      <c r="JD229"/>
      <c r="JE229"/>
      <c r="JF229"/>
      <c r="JG229"/>
      <c r="JH229"/>
      <c r="JI229"/>
      <c r="JJ229"/>
      <c r="JK229"/>
      <c r="JL229"/>
      <c r="JM229"/>
      <c r="JN229"/>
      <c r="JO229"/>
      <c r="JP229"/>
      <c r="JQ229"/>
      <c r="JR229"/>
      <c r="JS229"/>
      <c r="JT229"/>
      <c r="JU229"/>
      <c r="JV229"/>
      <c r="JW229"/>
      <c r="JX229"/>
      <c r="JY229"/>
      <c r="JZ229"/>
      <c r="KA229"/>
      <c r="KB229"/>
      <c r="KC229"/>
      <c r="KD229"/>
      <c r="KE229"/>
      <c r="KF229"/>
      <c r="KG229"/>
      <c r="KH229"/>
      <c r="KI229"/>
      <c r="KJ229"/>
      <c r="KK229"/>
      <c r="KL229"/>
      <c r="KM229"/>
      <c r="KN229"/>
      <c r="KO229"/>
      <c r="KP229"/>
      <c r="KQ229"/>
      <c r="KR229"/>
      <c r="KS229"/>
    </row>
    <row r="230" spans="2:305" hidden="1" x14ac:dyDescent="0.35">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c r="CU230"/>
      <c r="CV230"/>
      <c r="CW230"/>
      <c r="CX230"/>
      <c r="CY230"/>
      <c r="CZ230"/>
      <c r="DA230"/>
      <c r="DB230"/>
      <c r="DC230"/>
      <c r="DD230"/>
      <c r="DE230"/>
      <c r="DF230"/>
      <c r="DG230"/>
      <c r="DH230"/>
      <c r="DI230"/>
      <c r="DJ230"/>
      <c r="DK230"/>
      <c r="DL230"/>
      <c r="DM230"/>
      <c r="DN230"/>
      <c r="DO230"/>
      <c r="DP230"/>
      <c r="DQ230"/>
      <c r="DR230"/>
      <c r="DS230"/>
      <c r="DT230"/>
      <c r="DU230"/>
      <c r="DV230"/>
      <c r="DW230"/>
      <c r="DX230"/>
      <c r="DY230"/>
      <c r="DZ230"/>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c r="JA230"/>
      <c r="JB230"/>
      <c r="JC230"/>
      <c r="JD230"/>
      <c r="JE230"/>
      <c r="JF230"/>
      <c r="JG230"/>
      <c r="JH230"/>
      <c r="JI230"/>
      <c r="JJ230"/>
      <c r="JK230"/>
      <c r="JL230"/>
      <c r="JM230"/>
      <c r="JN230"/>
      <c r="JO230"/>
      <c r="JP230"/>
      <c r="JQ230"/>
      <c r="JR230"/>
      <c r="JS230"/>
      <c r="JT230"/>
      <c r="JU230"/>
      <c r="JV230"/>
      <c r="JW230"/>
      <c r="JX230"/>
      <c r="JY230"/>
      <c r="JZ230"/>
      <c r="KA230"/>
      <c r="KB230"/>
      <c r="KC230"/>
      <c r="KD230"/>
      <c r="KE230"/>
      <c r="KF230"/>
      <c r="KG230"/>
      <c r="KH230"/>
      <c r="KI230"/>
      <c r="KJ230"/>
      <c r="KK230"/>
      <c r="KL230"/>
      <c r="KM230"/>
      <c r="KN230"/>
      <c r="KO230"/>
      <c r="KP230"/>
      <c r="KQ230"/>
      <c r="KR230"/>
      <c r="KS230"/>
    </row>
    <row r="231" spans="2:305" hidden="1" x14ac:dyDescent="0.35">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c r="CU231"/>
      <c r="CV231"/>
      <c r="CW231"/>
      <c r="CX231"/>
      <c r="CY231"/>
      <c r="CZ231"/>
      <c r="DA231"/>
      <c r="DB231"/>
      <c r="DC231"/>
      <c r="DD231"/>
      <c r="DE231"/>
      <c r="DF231"/>
      <c r="DG231"/>
      <c r="DH231"/>
      <c r="DI231"/>
      <c r="DJ231"/>
      <c r="DK231"/>
      <c r="DL231"/>
      <c r="DM231"/>
      <c r="DN231"/>
      <c r="DO231"/>
      <c r="DP231"/>
      <c r="DQ231"/>
      <c r="DR231"/>
      <c r="DS231"/>
      <c r="DT231"/>
      <c r="DU231"/>
      <c r="DV231"/>
      <c r="DW231"/>
      <c r="DX231"/>
      <c r="DY231"/>
      <c r="DZ231"/>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c r="GN231"/>
      <c r="GO231"/>
      <c r="GP231"/>
      <c r="GQ231"/>
      <c r="GR231"/>
      <c r="GS231"/>
      <c r="GT231"/>
      <c r="GU231"/>
      <c r="GV231"/>
      <c r="GW231"/>
      <c r="GX231"/>
      <c r="GY231"/>
      <c r="GZ231"/>
      <c r="HA231"/>
      <c r="HB231"/>
      <c r="HC231"/>
      <c r="HD231"/>
      <c r="HE231"/>
      <c r="HF231"/>
      <c r="HG231"/>
      <c r="HH231"/>
      <c r="HI231"/>
      <c r="HJ231"/>
      <c r="HK231"/>
      <c r="HL231"/>
      <c r="HM231"/>
      <c r="HN231"/>
      <c r="HO231"/>
      <c r="HP231"/>
      <c r="HQ231"/>
      <c r="HR231"/>
      <c r="HS231"/>
      <c r="HT231"/>
      <c r="HU231"/>
      <c r="HV231"/>
      <c r="HW231"/>
      <c r="HX231"/>
      <c r="HY231"/>
      <c r="HZ231"/>
      <c r="IA231"/>
      <c r="IB231"/>
      <c r="IC231"/>
      <c r="ID231"/>
      <c r="IE231"/>
      <c r="IF231"/>
      <c r="IG231"/>
      <c r="IH231"/>
      <c r="II231"/>
      <c r="IJ231"/>
      <c r="IK231"/>
      <c r="IL231"/>
      <c r="IM231"/>
      <c r="IN231"/>
      <c r="IO231"/>
      <c r="IP231"/>
      <c r="IQ231"/>
      <c r="IR231"/>
      <c r="IS231"/>
      <c r="IT231"/>
      <c r="IU231"/>
      <c r="IV231"/>
      <c r="IW231"/>
      <c r="IX231"/>
      <c r="IY231"/>
      <c r="IZ231"/>
      <c r="JA231"/>
      <c r="JB231"/>
      <c r="JC231"/>
      <c r="JD231"/>
      <c r="JE231"/>
      <c r="JF231"/>
      <c r="JG231"/>
      <c r="JH231"/>
      <c r="JI231"/>
      <c r="JJ231"/>
      <c r="JK231"/>
      <c r="JL231"/>
      <c r="JM231"/>
      <c r="JN231"/>
      <c r="JO231"/>
      <c r="JP231"/>
      <c r="JQ231"/>
      <c r="JR231"/>
      <c r="JS231"/>
      <c r="JT231"/>
      <c r="JU231"/>
      <c r="JV231"/>
      <c r="JW231"/>
      <c r="JX231"/>
      <c r="JY231"/>
      <c r="JZ231"/>
      <c r="KA231"/>
      <c r="KB231"/>
      <c r="KC231"/>
      <c r="KD231"/>
      <c r="KE231"/>
      <c r="KF231"/>
      <c r="KG231"/>
      <c r="KH231"/>
      <c r="KI231"/>
      <c r="KJ231"/>
      <c r="KK231"/>
      <c r="KL231"/>
      <c r="KM231"/>
      <c r="KN231"/>
      <c r="KO231"/>
      <c r="KP231"/>
      <c r="KQ231"/>
      <c r="KR231"/>
      <c r="KS231"/>
    </row>
    <row r="232" spans="2:305" hidden="1" x14ac:dyDescent="0.35">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c r="CU232"/>
      <c r="CV232"/>
      <c r="CW232"/>
      <c r="CX232"/>
      <c r="CY232"/>
      <c r="CZ232"/>
      <c r="DA232"/>
      <c r="DB232"/>
      <c r="DC232"/>
      <c r="DD232"/>
      <c r="DE232"/>
      <c r="DF232"/>
      <c r="DG232"/>
      <c r="DH232"/>
      <c r="DI232"/>
      <c r="DJ232"/>
      <c r="DK232"/>
      <c r="DL232"/>
      <c r="DM232"/>
      <c r="DN232"/>
      <c r="DO232"/>
      <c r="DP232"/>
      <c r="DQ232"/>
      <c r="DR232"/>
      <c r="DS232"/>
      <c r="DT232"/>
      <c r="DU232"/>
      <c r="DV232"/>
      <c r="DW232"/>
      <c r="DX232"/>
      <c r="DY232"/>
      <c r="DZ232"/>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c r="JA232"/>
      <c r="JB232"/>
      <c r="JC232"/>
      <c r="JD232"/>
      <c r="JE232"/>
      <c r="JF232"/>
      <c r="JG232"/>
      <c r="JH232"/>
      <c r="JI232"/>
      <c r="JJ232"/>
      <c r="JK232"/>
      <c r="JL232"/>
      <c r="JM232"/>
      <c r="JN232"/>
      <c r="JO232"/>
      <c r="JP232"/>
      <c r="JQ232"/>
      <c r="JR232"/>
      <c r="JS232"/>
      <c r="JT232"/>
      <c r="JU232"/>
      <c r="JV232"/>
      <c r="JW232"/>
      <c r="JX232"/>
      <c r="JY232"/>
      <c r="JZ232"/>
      <c r="KA232"/>
      <c r="KB232"/>
      <c r="KC232"/>
      <c r="KD232"/>
      <c r="KE232"/>
      <c r="KF232"/>
      <c r="KG232"/>
      <c r="KH232"/>
      <c r="KI232"/>
      <c r="KJ232"/>
      <c r="KK232"/>
      <c r="KL232"/>
      <c r="KM232"/>
      <c r="KN232"/>
      <c r="KO232"/>
      <c r="KP232"/>
      <c r="KQ232"/>
      <c r="KR232"/>
      <c r="KS232"/>
    </row>
    <row r="233" spans="2:305" hidden="1" x14ac:dyDescent="0.35">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c r="CU233"/>
      <c r="CV233"/>
      <c r="CW233"/>
      <c r="CX233"/>
      <c r="CY233"/>
      <c r="CZ233"/>
      <c r="DA233"/>
      <c r="DB233"/>
      <c r="DC233"/>
      <c r="DD233"/>
      <c r="DE233"/>
      <c r="DF233"/>
      <c r="DG233"/>
      <c r="DH233"/>
      <c r="DI233"/>
      <c r="DJ233"/>
      <c r="DK233"/>
      <c r="DL233"/>
      <c r="DM233"/>
      <c r="DN233"/>
      <c r="DO233"/>
      <c r="DP233"/>
      <c r="DQ233"/>
      <c r="DR233"/>
      <c r="DS233"/>
      <c r="DT233"/>
      <c r="DU233"/>
      <c r="DV233"/>
      <c r="DW233"/>
      <c r="DX233"/>
      <c r="DY233"/>
      <c r="DZ233"/>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c r="JA233"/>
      <c r="JB233"/>
      <c r="JC233"/>
      <c r="JD233"/>
      <c r="JE233"/>
      <c r="JF233"/>
      <c r="JG233"/>
      <c r="JH233"/>
      <c r="JI233"/>
      <c r="JJ233"/>
      <c r="JK233"/>
      <c r="JL233"/>
      <c r="JM233"/>
      <c r="JN233"/>
      <c r="JO233"/>
      <c r="JP233"/>
      <c r="JQ233"/>
      <c r="JR233"/>
      <c r="JS233"/>
      <c r="JT233"/>
      <c r="JU233"/>
      <c r="JV233"/>
      <c r="JW233"/>
      <c r="JX233"/>
      <c r="JY233"/>
      <c r="JZ233"/>
      <c r="KA233"/>
      <c r="KB233"/>
      <c r="KC233"/>
      <c r="KD233"/>
      <c r="KE233"/>
      <c r="KF233"/>
      <c r="KG233"/>
      <c r="KH233"/>
      <c r="KI233"/>
      <c r="KJ233"/>
      <c r="KK233"/>
      <c r="KL233"/>
      <c r="KM233"/>
      <c r="KN233"/>
      <c r="KO233"/>
      <c r="KP233"/>
      <c r="KQ233"/>
      <c r="KR233"/>
      <c r="KS233"/>
    </row>
    <row r="234" spans="2:305" hidden="1" x14ac:dyDescent="0.35">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c r="CU234"/>
      <c r="CV234"/>
      <c r="CW234"/>
      <c r="CX234"/>
      <c r="CY234"/>
      <c r="CZ234"/>
      <c r="DA234"/>
      <c r="DB234"/>
      <c r="DC234"/>
      <c r="DD234"/>
      <c r="DE234"/>
      <c r="DF234"/>
      <c r="DG234"/>
      <c r="DH234"/>
      <c r="DI234"/>
      <c r="DJ234"/>
      <c r="DK234"/>
      <c r="DL234"/>
      <c r="DM234"/>
      <c r="DN234"/>
      <c r="DO234"/>
      <c r="DP234"/>
      <c r="DQ234"/>
      <c r="DR234"/>
      <c r="DS234"/>
      <c r="DT234"/>
      <c r="DU234"/>
      <c r="DV234"/>
      <c r="DW234"/>
      <c r="DX234"/>
      <c r="DY234"/>
      <c r="DZ234"/>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c r="JA234"/>
      <c r="JB234"/>
      <c r="JC234"/>
      <c r="JD234"/>
      <c r="JE234"/>
      <c r="JF234"/>
      <c r="JG234"/>
      <c r="JH234"/>
      <c r="JI234"/>
      <c r="JJ234"/>
      <c r="JK234"/>
      <c r="JL234"/>
      <c r="JM234"/>
      <c r="JN234"/>
      <c r="JO234"/>
      <c r="JP234"/>
      <c r="JQ234"/>
      <c r="JR234"/>
      <c r="JS234"/>
      <c r="JT234"/>
      <c r="JU234"/>
      <c r="JV234"/>
      <c r="JW234"/>
      <c r="JX234"/>
      <c r="JY234"/>
      <c r="JZ234"/>
      <c r="KA234"/>
      <c r="KB234"/>
      <c r="KC234"/>
      <c r="KD234"/>
      <c r="KE234"/>
      <c r="KF234"/>
      <c r="KG234"/>
      <c r="KH234"/>
      <c r="KI234"/>
      <c r="KJ234"/>
      <c r="KK234"/>
      <c r="KL234"/>
      <c r="KM234"/>
      <c r="KN234"/>
      <c r="KO234"/>
      <c r="KP234"/>
      <c r="KQ234"/>
      <c r="KR234"/>
      <c r="KS234"/>
    </row>
    <row r="235" spans="2:305" hidden="1" x14ac:dyDescent="0.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c r="CU235"/>
      <c r="CV235"/>
      <c r="CW235"/>
      <c r="CX235"/>
      <c r="CY235"/>
      <c r="CZ235"/>
      <c r="DA235"/>
      <c r="DB235"/>
      <c r="DC235"/>
      <c r="DD235"/>
      <c r="DE235"/>
      <c r="DF235"/>
      <c r="DG235"/>
      <c r="DH235"/>
      <c r="DI235"/>
      <c r="DJ235"/>
      <c r="DK235"/>
      <c r="DL235"/>
      <c r="DM235"/>
      <c r="DN235"/>
      <c r="DO235"/>
      <c r="DP235"/>
      <c r="DQ235"/>
      <c r="DR235"/>
      <c r="DS235"/>
      <c r="DT235"/>
      <c r="DU235"/>
      <c r="DV235"/>
      <c r="DW235"/>
      <c r="DX235"/>
      <c r="DY235"/>
      <c r="DZ23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c r="JA235"/>
      <c r="JB235"/>
      <c r="JC235"/>
      <c r="JD235"/>
      <c r="JE235"/>
      <c r="JF235"/>
      <c r="JG235"/>
      <c r="JH235"/>
      <c r="JI235"/>
      <c r="JJ235"/>
      <c r="JK235"/>
      <c r="JL235"/>
      <c r="JM235"/>
      <c r="JN235"/>
      <c r="JO235"/>
      <c r="JP235"/>
      <c r="JQ235"/>
      <c r="JR235"/>
      <c r="JS235"/>
      <c r="JT235"/>
      <c r="JU235"/>
      <c r="JV235"/>
      <c r="JW235"/>
      <c r="JX235"/>
      <c r="JY235"/>
      <c r="JZ235"/>
      <c r="KA235"/>
      <c r="KB235"/>
      <c r="KC235"/>
      <c r="KD235"/>
      <c r="KE235"/>
      <c r="KF235"/>
      <c r="KG235"/>
      <c r="KH235"/>
      <c r="KI235"/>
      <c r="KJ235"/>
      <c r="KK235"/>
      <c r="KL235"/>
      <c r="KM235"/>
      <c r="KN235"/>
      <c r="KO235"/>
      <c r="KP235"/>
      <c r="KQ235"/>
      <c r="KR235"/>
      <c r="KS235"/>
    </row>
    <row r="236" spans="2:305" hidden="1" x14ac:dyDescent="0.35">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c r="CU236"/>
      <c r="CV236"/>
      <c r="CW236"/>
      <c r="CX236"/>
      <c r="CY236"/>
      <c r="CZ236"/>
      <c r="DA236"/>
      <c r="DB236"/>
      <c r="DC236"/>
      <c r="DD236"/>
      <c r="DE236"/>
      <c r="DF236"/>
      <c r="DG236"/>
      <c r="DH236"/>
      <c r="DI236"/>
      <c r="DJ236"/>
      <c r="DK236"/>
      <c r="DL236"/>
      <c r="DM236"/>
      <c r="DN236"/>
      <c r="DO236"/>
      <c r="DP236"/>
      <c r="DQ236"/>
      <c r="DR236"/>
      <c r="DS236"/>
      <c r="DT236"/>
      <c r="DU236"/>
      <c r="DV236"/>
      <c r="DW236"/>
      <c r="DX236"/>
      <c r="DY236"/>
      <c r="DZ236"/>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c r="JA236"/>
      <c r="JB236"/>
      <c r="JC236"/>
      <c r="JD236"/>
      <c r="JE236"/>
      <c r="JF236"/>
      <c r="JG236"/>
      <c r="JH236"/>
      <c r="JI236"/>
      <c r="JJ236"/>
      <c r="JK236"/>
      <c r="JL236"/>
      <c r="JM236"/>
      <c r="JN236"/>
      <c r="JO236"/>
      <c r="JP236"/>
      <c r="JQ236"/>
      <c r="JR236"/>
      <c r="JS236"/>
      <c r="JT236"/>
      <c r="JU236"/>
      <c r="JV236"/>
      <c r="JW236"/>
      <c r="JX236"/>
      <c r="JY236"/>
      <c r="JZ236"/>
      <c r="KA236"/>
      <c r="KB236"/>
      <c r="KC236"/>
      <c r="KD236"/>
      <c r="KE236"/>
      <c r="KF236"/>
      <c r="KG236"/>
      <c r="KH236"/>
      <c r="KI236"/>
      <c r="KJ236"/>
      <c r="KK236"/>
      <c r="KL236"/>
      <c r="KM236"/>
      <c r="KN236"/>
      <c r="KO236"/>
      <c r="KP236"/>
      <c r="KQ236"/>
      <c r="KR236"/>
      <c r="KS236"/>
    </row>
    <row r="237" spans="2:305" hidden="1" x14ac:dyDescent="0.35">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c r="CU237"/>
      <c r="CV237"/>
      <c r="CW237"/>
      <c r="CX237"/>
      <c r="CY237"/>
      <c r="CZ237"/>
      <c r="DA237"/>
      <c r="DB237"/>
      <c r="DC237"/>
      <c r="DD237"/>
      <c r="DE237"/>
      <c r="DF237"/>
      <c r="DG237"/>
      <c r="DH237"/>
      <c r="DI237"/>
      <c r="DJ237"/>
      <c r="DK237"/>
      <c r="DL237"/>
      <c r="DM237"/>
      <c r="DN237"/>
      <c r="DO237"/>
      <c r="DP237"/>
      <c r="DQ237"/>
      <c r="DR237"/>
      <c r="DS237"/>
      <c r="DT237"/>
      <c r="DU237"/>
      <c r="DV237"/>
      <c r="DW237"/>
      <c r="DX237"/>
      <c r="DY237"/>
      <c r="DZ237"/>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c r="JA237"/>
      <c r="JB237"/>
      <c r="JC237"/>
      <c r="JD237"/>
      <c r="JE237"/>
      <c r="JF237"/>
      <c r="JG237"/>
      <c r="JH237"/>
      <c r="JI237"/>
      <c r="JJ237"/>
      <c r="JK237"/>
      <c r="JL237"/>
      <c r="JM237"/>
      <c r="JN237"/>
      <c r="JO237"/>
      <c r="JP237"/>
      <c r="JQ237"/>
      <c r="JR237"/>
      <c r="JS237"/>
      <c r="JT237"/>
      <c r="JU237"/>
      <c r="JV237"/>
      <c r="JW237"/>
      <c r="JX237"/>
      <c r="JY237"/>
      <c r="JZ237"/>
      <c r="KA237"/>
      <c r="KB237"/>
      <c r="KC237"/>
      <c r="KD237"/>
      <c r="KE237"/>
      <c r="KF237"/>
      <c r="KG237"/>
      <c r="KH237"/>
      <c r="KI237"/>
      <c r="KJ237"/>
      <c r="KK237"/>
      <c r="KL237"/>
      <c r="KM237"/>
      <c r="KN237"/>
      <c r="KO237"/>
      <c r="KP237"/>
      <c r="KQ237"/>
      <c r="KR237"/>
      <c r="KS237"/>
    </row>
    <row r="238" spans="2:305" hidden="1" x14ac:dyDescent="0.35">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c r="CU238"/>
      <c r="CV238"/>
      <c r="CW238"/>
      <c r="CX238"/>
      <c r="CY238"/>
      <c r="CZ238"/>
      <c r="DA238"/>
      <c r="DB238"/>
      <c r="DC238"/>
      <c r="DD238"/>
      <c r="DE238"/>
      <c r="DF238"/>
      <c r="DG238"/>
      <c r="DH238"/>
      <c r="DI238"/>
      <c r="DJ238"/>
      <c r="DK238"/>
      <c r="DL238"/>
      <c r="DM238"/>
      <c r="DN238"/>
      <c r="DO238"/>
      <c r="DP238"/>
      <c r="DQ238"/>
      <c r="DR238"/>
      <c r="DS238"/>
      <c r="DT238"/>
      <c r="DU238"/>
      <c r="DV238"/>
      <c r="DW238"/>
      <c r="DX238"/>
      <c r="DY238"/>
      <c r="DZ238"/>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c r="JA238"/>
      <c r="JB238"/>
      <c r="JC238"/>
      <c r="JD238"/>
      <c r="JE238"/>
      <c r="JF238"/>
      <c r="JG238"/>
      <c r="JH238"/>
      <c r="JI238"/>
      <c r="JJ238"/>
      <c r="JK238"/>
      <c r="JL238"/>
      <c r="JM238"/>
      <c r="JN238"/>
      <c r="JO238"/>
      <c r="JP238"/>
      <c r="JQ238"/>
      <c r="JR238"/>
      <c r="JS238"/>
      <c r="JT238"/>
      <c r="JU238"/>
      <c r="JV238"/>
      <c r="JW238"/>
      <c r="JX238"/>
      <c r="JY238"/>
      <c r="JZ238"/>
      <c r="KA238"/>
      <c r="KB238"/>
      <c r="KC238"/>
      <c r="KD238"/>
      <c r="KE238"/>
      <c r="KF238"/>
      <c r="KG238"/>
      <c r="KH238"/>
      <c r="KI238"/>
      <c r="KJ238"/>
      <c r="KK238"/>
      <c r="KL238"/>
      <c r="KM238"/>
      <c r="KN238"/>
      <c r="KO238"/>
      <c r="KP238"/>
      <c r="KQ238"/>
      <c r="KR238"/>
      <c r="KS238"/>
    </row>
    <row r="239" spans="2:305" hidden="1" x14ac:dyDescent="0.35">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c r="CU239"/>
      <c r="CV239"/>
      <c r="CW239"/>
      <c r="CX239"/>
      <c r="CY239"/>
      <c r="CZ239"/>
      <c r="DA239"/>
      <c r="DB239"/>
      <c r="DC239"/>
      <c r="DD239"/>
      <c r="DE239"/>
      <c r="DF239"/>
      <c r="DG239"/>
      <c r="DH239"/>
      <c r="DI239"/>
      <c r="DJ239"/>
      <c r="DK239"/>
      <c r="DL239"/>
      <c r="DM239"/>
      <c r="DN239"/>
      <c r="DO239"/>
      <c r="DP239"/>
      <c r="DQ239"/>
      <c r="DR239"/>
      <c r="DS239"/>
      <c r="DT239"/>
      <c r="DU239"/>
      <c r="DV239"/>
      <c r="DW239"/>
      <c r="DX239"/>
      <c r="DY239"/>
      <c r="DZ239"/>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c r="JA239"/>
      <c r="JB239"/>
      <c r="JC239"/>
      <c r="JD239"/>
      <c r="JE239"/>
      <c r="JF239"/>
      <c r="JG239"/>
      <c r="JH239"/>
      <c r="JI239"/>
      <c r="JJ239"/>
      <c r="JK239"/>
      <c r="JL239"/>
      <c r="JM239"/>
      <c r="JN239"/>
      <c r="JO239"/>
      <c r="JP239"/>
      <c r="JQ239"/>
      <c r="JR239"/>
      <c r="JS239"/>
      <c r="JT239"/>
      <c r="JU239"/>
      <c r="JV239"/>
      <c r="JW239"/>
      <c r="JX239"/>
      <c r="JY239"/>
      <c r="JZ239"/>
      <c r="KA239"/>
      <c r="KB239"/>
      <c r="KC239"/>
      <c r="KD239"/>
      <c r="KE239"/>
      <c r="KF239"/>
      <c r="KG239"/>
      <c r="KH239"/>
      <c r="KI239"/>
      <c r="KJ239"/>
      <c r="KK239"/>
      <c r="KL239"/>
      <c r="KM239"/>
      <c r="KN239"/>
      <c r="KO239"/>
      <c r="KP239"/>
      <c r="KQ239"/>
      <c r="KR239"/>
      <c r="KS239"/>
    </row>
    <row r="240" spans="2:305" hidden="1" x14ac:dyDescent="0.35">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c r="DC240"/>
      <c r="DD240"/>
      <c r="DE240"/>
      <c r="DF240"/>
      <c r="DG240"/>
      <c r="DH240"/>
      <c r="DI240"/>
      <c r="DJ240"/>
      <c r="DK240"/>
      <c r="DL240"/>
      <c r="DM240"/>
      <c r="DN240"/>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c r="JA240"/>
      <c r="JB240"/>
      <c r="JC240"/>
      <c r="JD240"/>
      <c r="JE240"/>
      <c r="JF240"/>
      <c r="JG240"/>
      <c r="JH240"/>
      <c r="JI240"/>
      <c r="JJ240"/>
      <c r="JK240"/>
      <c r="JL240"/>
      <c r="JM240"/>
      <c r="JN240"/>
      <c r="JO240"/>
      <c r="JP240"/>
      <c r="JQ240"/>
      <c r="JR240"/>
      <c r="JS240"/>
      <c r="JT240"/>
      <c r="JU240"/>
      <c r="JV240"/>
      <c r="JW240"/>
      <c r="JX240"/>
      <c r="JY240"/>
      <c r="JZ240"/>
      <c r="KA240"/>
      <c r="KB240"/>
      <c r="KC240"/>
      <c r="KD240"/>
      <c r="KE240"/>
      <c r="KF240"/>
      <c r="KG240"/>
      <c r="KH240"/>
      <c r="KI240"/>
      <c r="KJ240"/>
      <c r="KK240"/>
      <c r="KL240"/>
      <c r="KM240"/>
      <c r="KN240"/>
      <c r="KO240"/>
      <c r="KP240"/>
      <c r="KQ240"/>
      <c r="KR240"/>
      <c r="KS240"/>
    </row>
    <row r="241" spans="2:305" hidden="1" x14ac:dyDescent="0.35">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c r="CU241"/>
      <c r="CV241"/>
      <c r="CW241"/>
      <c r="CX241"/>
      <c r="CY241"/>
      <c r="CZ241"/>
      <c r="DA241"/>
      <c r="DB241"/>
      <c r="DC241"/>
      <c r="DD241"/>
      <c r="DE241"/>
      <c r="DF241"/>
      <c r="DG241"/>
      <c r="DH241"/>
      <c r="DI241"/>
      <c r="DJ241"/>
      <c r="DK241"/>
      <c r="DL241"/>
      <c r="DM241"/>
      <c r="DN241"/>
      <c r="DO241"/>
      <c r="DP241"/>
      <c r="DQ241"/>
      <c r="DR241"/>
      <c r="DS241"/>
      <c r="DT241"/>
      <c r="DU241"/>
      <c r="DV241"/>
      <c r="DW241"/>
      <c r="DX241"/>
      <c r="DY241"/>
      <c r="DZ241"/>
      <c r="EA241"/>
      <c r="EB241"/>
      <c r="EC241"/>
      <c r="ED241"/>
      <c r="EE241"/>
      <c r="EF241"/>
      <c r="EG241"/>
      <c r="EH241"/>
      <c r="EI241"/>
      <c r="EJ241"/>
      <c r="EK241"/>
      <c r="EL241"/>
      <c r="EM241"/>
      <c r="EN241"/>
      <c r="EO241"/>
      <c r="EP241"/>
      <c r="EQ241"/>
      <c r="ER241"/>
      <c r="ES241"/>
      <c r="ET241"/>
      <c r="EU241"/>
      <c r="EV241"/>
      <c r="EW241"/>
      <c r="EX241"/>
      <c r="EY241"/>
      <c r="EZ241"/>
      <c r="FA241"/>
      <c r="FB241"/>
      <c r="FC241"/>
      <c r="FD241"/>
      <c r="FE241"/>
      <c r="FF241"/>
      <c r="FG241"/>
      <c r="FH241"/>
      <c r="FI241"/>
      <c r="FJ241"/>
      <c r="FK241"/>
      <c r="FL241"/>
      <c r="FM241"/>
      <c r="FN241"/>
      <c r="FO241"/>
      <c r="FP241"/>
      <c r="FQ241"/>
      <c r="FR241"/>
      <c r="FS241"/>
      <c r="FT241"/>
      <c r="FU241"/>
      <c r="FV241"/>
      <c r="FW241"/>
      <c r="FX241"/>
      <c r="FY241"/>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c r="JA241"/>
      <c r="JB241"/>
      <c r="JC241"/>
      <c r="JD241"/>
      <c r="JE241"/>
      <c r="JF241"/>
      <c r="JG241"/>
      <c r="JH241"/>
      <c r="JI241"/>
      <c r="JJ241"/>
      <c r="JK241"/>
      <c r="JL241"/>
      <c r="JM241"/>
      <c r="JN241"/>
      <c r="JO241"/>
      <c r="JP241"/>
      <c r="JQ241"/>
      <c r="JR241"/>
      <c r="JS241"/>
      <c r="JT241"/>
      <c r="JU241"/>
      <c r="JV241"/>
      <c r="JW241"/>
      <c r="JX241"/>
      <c r="JY241"/>
      <c r="JZ241"/>
      <c r="KA241"/>
      <c r="KB241"/>
      <c r="KC241"/>
      <c r="KD241"/>
      <c r="KE241"/>
      <c r="KF241"/>
      <c r="KG241"/>
      <c r="KH241"/>
      <c r="KI241"/>
      <c r="KJ241"/>
      <c r="KK241"/>
      <c r="KL241"/>
      <c r="KM241"/>
      <c r="KN241"/>
      <c r="KO241"/>
      <c r="KP241"/>
      <c r="KQ241"/>
      <c r="KR241"/>
      <c r="KS241"/>
    </row>
    <row r="242" spans="2:305" hidden="1" x14ac:dyDescent="0.35">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c r="CU242"/>
      <c r="CV242"/>
      <c r="CW242"/>
      <c r="CX242"/>
      <c r="CY242"/>
      <c r="CZ242"/>
      <c r="DA242"/>
      <c r="DB242"/>
      <c r="DC242"/>
      <c r="DD242"/>
      <c r="DE242"/>
      <c r="DF242"/>
      <c r="DG242"/>
      <c r="DH242"/>
      <c r="DI242"/>
      <c r="DJ242"/>
      <c r="DK242"/>
      <c r="DL242"/>
      <c r="DM242"/>
      <c r="DN242"/>
      <c r="DO242"/>
      <c r="DP242"/>
      <c r="DQ242"/>
      <c r="DR242"/>
      <c r="DS242"/>
      <c r="DT242"/>
      <c r="DU242"/>
      <c r="DV242"/>
      <c r="DW242"/>
      <c r="DX242"/>
      <c r="DY242"/>
      <c r="DZ242"/>
      <c r="EA242"/>
      <c r="EB242"/>
      <c r="EC242"/>
      <c r="ED242"/>
      <c r="EE242"/>
      <c r="EF242"/>
      <c r="EG242"/>
      <c r="EH242"/>
      <c r="EI242"/>
      <c r="EJ242"/>
      <c r="EK242"/>
      <c r="EL242"/>
      <c r="EM242"/>
      <c r="EN242"/>
      <c r="EO242"/>
      <c r="EP242"/>
      <c r="EQ242"/>
      <c r="ER242"/>
      <c r="ES242"/>
      <c r="ET242"/>
      <c r="EU242"/>
      <c r="EV242"/>
      <c r="EW242"/>
      <c r="EX242"/>
      <c r="EY242"/>
      <c r="EZ242"/>
      <c r="FA242"/>
      <c r="FB242"/>
      <c r="FC242"/>
      <c r="FD242"/>
      <c r="FE242"/>
      <c r="FF242"/>
      <c r="FG242"/>
      <c r="FH242"/>
      <c r="FI242"/>
      <c r="FJ242"/>
      <c r="FK242"/>
      <c r="FL242"/>
      <c r="FM242"/>
      <c r="FN242"/>
      <c r="FO242"/>
      <c r="FP242"/>
      <c r="FQ242"/>
      <c r="FR242"/>
      <c r="FS242"/>
      <c r="FT242"/>
      <c r="FU242"/>
      <c r="FV242"/>
      <c r="FW242"/>
      <c r="FX242"/>
      <c r="FY242"/>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c r="JA242"/>
      <c r="JB242"/>
      <c r="JC242"/>
      <c r="JD242"/>
      <c r="JE242"/>
      <c r="JF242"/>
      <c r="JG242"/>
      <c r="JH242"/>
      <c r="JI242"/>
      <c r="JJ242"/>
      <c r="JK242"/>
      <c r="JL242"/>
      <c r="JM242"/>
      <c r="JN242"/>
      <c r="JO242"/>
      <c r="JP242"/>
      <c r="JQ242"/>
      <c r="JR242"/>
      <c r="JS242"/>
      <c r="JT242"/>
      <c r="JU242"/>
      <c r="JV242"/>
      <c r="JW242"/>
      <c r="JX242"/>
      <c r="JY242"/>
      <c r="JZ242"/>
      <c r="KA242"/>
      <c r="KB242"/>
      <c r="KC242"/>
      <c r="KD242"/>
      <c r="KE242"/>
      <c r="KF242"/>
      <c r="KG242"/>
      <c r="KH242"/>
      <c r="KI242"/>
      <c r="KJ242"/>
      <c r="KK242"/>
      <c r="KL242"/>
      <c r="KM242"/>
      <c r="KN242"/>
      <c r="KO242"/>
      <c r="KP242"/>
      <c r="KQ242"/>
      <c r="KR242"/>
      <c r="KS242"/>
    </row>
    <row r="243" spans="2:305" hidden="1" x14ac:dyDescent="0.35">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c r="CU243"/>
      <c r="CV243"/>
      <c r="CW243"/>
      <c r="CX243"/>
      <c r="CY243"/>
      <c r="CZ243"/>
      <c r="DA243"/>
      <c r="DB243"/>
      <c r="DC243"/>
      <c r="DD243"/>
      <c r="DE243"/>
      <c r="DF243"/>
      <c r="DG243"/>
      <c r="DH243"/>
      <c r="DI243"/>
      <c r="DJ243"/>
      <c r="DK243"/>
      <c r="DL243"/>
      <c r="DM243"/>
      <c r="DN243"/>
      <c r="DO243"/>
      <c r="DP243"/>
      <c r="DQ243"/>
      <c r="DR243"/>
      <c r="DS243"/>
      <c r="DT243"/>
      <c r="DU243"/>
      <c r="DV243"/>
      <c r="DW243"/>
      <c r="DX243"/>
      <c r="DY243"/>
      <c r="DZ243"/>
      <c r="EA243"/>
      <c r="EB243"/>
      <c r="EC243"/>
      <c r="ED243"/>
      <c r="EE243"/>
      <c r="EF243"/>
      <c r="EG243"/>
      <c r="EH243"/>
      <c r="EI243"/>
      <c r="EJ243"/>
      <c r="EK243"/>
      <c r="EL243"/>
      <c r="EM243"/>
      <c r="EN243"/>
      <c r="EO243"/>
      <c r="EP243"/>
      <c r="EQ243"/>
      <c r="ER243"/>
      <c r="ES243"/>
      <c r="ET243"/>
      <c r="EU243"/>
      <c r="EV243"/>
      <c r="EW243"/>
      <c r="EX243"/>
      <c r="EY243"/>
      <c r="EZ243"/>
      <c r="FA243"/>
      <c r="FB243"/>
      <c r="FC243"/>
      <c r="FD243"/>
      <c r="FE243"/>
      <c r="FF243"/>
      <c r="FG243"/>
      <c r="FH243"/>
      <c r="FI243"/>
      <c r="FJ243"/>
      <c r="FK243"/>
      <c r="FL243"/>
      <c r="FM243"/>
      <c r="FN243"/>
      <c r="FO243"/>
      <c r="FP243"/>
      <c r="FQ243"/>
      <c r="FR243"/>
      <c r="FS243"/>
      <c r="FT243"/>
      <c r="FU243"/>
      <c r="FV243"/>
      <c r="FW243"/>
      <c r="FX243"/>
      <c r="FY243"/>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c r="JA243"/>
      <c r="JB243"/>
      <c r="JC243"/>
      <c r="JD243"/>
      <c r="JE243"/>
      <c r="JF243"/>
      <c r="JG243"/>
      <c r="JH243"/>
      <c r="JI243"/>
      <c r="JJ243"/>
      <c r="JK243"/>
      <c r="JL243"/>
      <c r="JM243"/>
      <c r="JN243"/>
      <c r="JO243"/>
      <c r="JP243"/>
      <c r="JQ243"/>
      <c r="JR243"/>
      <c r="JS243"/>
      <c r="JT243"/>
      <c r="JU243"/>
      <c r="JV243"/>
      <c r="JW243"/>
      <c r="JX243"/>
      <c r="JY243"/>
      <c r="JZ243"/>
      <c r="KA243"/>
      <c r="KB243"/>
      <c r="KC243"/>
      <c r="KD243"/>
      <c r="KE243"/>
      <c r="KF243"/>
      <c r="KG243"/>
      <c r="KH243"/>
      <c r="KI243"/>
      <c r="KJ243"/>
      <c r="KK243"/>
      <c r="KL243"/>
      <c r="KM243"/>
      <c r="KN243"/>
      <c r="KO243"/>
      <c r="KP243"/>
      <c r="KQ243"/>
      <c r="KR243"/>
      <c r="KS243"/>
    </row>
    <row r="244" spans="2:305" hidden="1" x14ac:dyDescent="0.35">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c r="CU244"/>
      <c r="CV244"/>
      <c r="CW244"/>
      <c r="CX244"/>
      <c r="CY244"/>
      <c r="CZ244"/>
      <c r="DA244"/>
      <c r="DB244"/>
      <c r="DC244"/>
      <c r="DD244"/>
      <c r="DE244"/>
      <c r="DF244"/>
      <c r="DG244"/>
      <c r="DH244"/>
      <c r="DI244"/>
      <c r="DJ244"/>
      <c r="DK244"/>
      <c r="DL244"/>
      <c r="DM244"/>
      <c r="DN244"/>
      <c r="DO244"/>
      <c r="DP244"/>
      <c r="DQ244"/>
      <c r="DR244"/>
      <c r="DS244"/>
      <c r="DT244"/>
      <c r="DU244"/>
      <c r="DV244"/>
      <c r="DW244"/>
      <c r="DX244"/>
      <c r="DY244"/>
      <c r="DZ244"/>
      <c r="EA244"/>
      <c r="EB244"/>
      <c r="EC244"/>
      <c r="ED244"/>
      <c r="EE244"/>
      <c r="EF244"/>
      <c r="EG244"/>
      <c r="EH244"/>
      <c r="EI244"/>
      <c r="EJ244"/>
      <c r="EK244"/>
      <c r="EL244"/>
      <c r="EM244"/>
      <c r="EN244"/>
      <c r="EO244"/>
      <c r="EP244"/>
      <c r="EQ244"/>
      <c r="ER244"/>
      <c r="ES244"/>
      <c r="ET244"/>
      <c r="EU244"/>
      <c r="EV244"/>
      <c r="EW244"/>
      <c r="EX244"/>
      <c r="EY244"/>
      <c r="EZ244"/>
      <c r="FA244"/>
      <c r="FB244"/>
      <c r="FC244"/>
      <c r="FD244"/>
      <c r="FE244"/>
      <c r="FF244"/>
      <c r="FG244"/>
      <c r="FH244"/>
      <c r="FI244"/>
      <c r="FJ244"/>
      <c r="FK244"/>
      <c r="FL244"/>
      <c r="FM244"/>
      <c r="FN244"/>
      <c r="FO244"/>
      <c r="FP244"/>
      <c r="FQ244"/>
      <c r="FR244"/>
      <c r="FS244"/>
      <c r="FT244"/>
      <c r="FU244"/>
      <c r="FV244"/>
      <c r="FW244"/>
      <c r="FX244"/>
      <c r="FY244"/>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c r="JA244"/>
      <c r="JB244"/>
      <c r="JC244"/>
      <c r="JD244"/>
      <c r="JE244"/>
      <c r="JF244"/>
      <c r="JG244"/>
      <c r="JH244"/>
      <c r="JI244"/>
      <c r="JJ244"/>
      <c r="JK244"/>
      <c r="JL244"/>
      <c r="JM244"/>
      <c r="JN244"/>
      <c r="JO244"/>
      <c r="JP244"/>
      <c r="JQ244"/>
      <c r="JR244"/>
      <c r="JS244"/>
      <c r="JT244"/>
      <c r="JU244"/>
      <c r="JV244"/>
      <c r="JW244"/>
      <c r="JX244"/>
      <c r="JY244"/>
      <c r="JZ244"/>
      <c r="KA244"/>
      <c r="KB244"/>
      <c r="KC244"/>
      <c r="KD244"/>
      <c r="KE244"/>
      <c r="KF244"/>
      <c r="KG244"/>
      <c r="KH244"/>
      <c r="KI244"/>
      <c r="KJ244"/>
      <c r="KK244"/>
      <c r="KL244"/>
      <c r="KM244"/>
      <c r="KN244"/>
      <c r="KO244"/>
      <c r="KP244"/>
      <c r="KQ244"/>
      <c r="KR244"/>
      <c r="KS244"/>
    </row>
    <row r="245" spans="2:305" hidden="1" x14ac:dyDescent="0.3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c r="CU245"/>
      <c r="CV245"/>
      <c r="CW245"/>
      <c r="CX245"/>
      <c r="CY245"/>
      <c r="CZ245"/>
      <c r="DA245"/>
      <c r="DB245"/>
      <c r="DC245"/>
      <c r="DD245"/>
      <c r="DE245"/>
      <c r="DF245"/>
      <c r="DG245"/>
      <c r="DH245"/>
      <c r="DI245"/>
      <c r="DJ245"/>
      <c r="DK245"/>
      <c r="DL245"/>
      <c r="DM245"/>
      <c r="DN245"/>
      <c r="DO245"/>
      <c r="DP245"/>
      <c r="DQ245"/>
      <c r="DR245"/>
      <c r="DS245"/>
      <c r="DT245"/>
      <c r="DU245"/>
      <c r="DV245"/>
      <c r="DW245"/>
      <c r="DX245"/>
      <c r="DY245"/>
      <c r="DZ245"/>
      <c r="EA245"/>
      <c r="EB245"/>
      <c r="EC245"/>
      <c r="ED245"/>
      <c r="EE245"/>
      <c r="EF245"/>
      <c r="EG245"/>
      <c r="EH245"/>
      <c r="EI245"/>
      <c r="EJ245"/>
      <c r="EK245"/>
      <c r="EL245"/>
      <c r="EM245"/>
      <c r="EN245"/>
      <c r="EO245"/>
      <c r="EP245"/>
      <c r="EQ245"/>
      <c r="ER245"/>
      <c r="ES245"/>
      <c r="ET245"/>
      <c r="EU245"/>
      <c r="EV245"/>
      <c r="EW245"/>
      <c r="EX245"/>
      <c r="EY245"/>
      <c r="EZ245"/>
      <c r="FA245"/>
      <c r="FB245"/>
      <c r="FC245"/>
      <c r="FD245"/>
      <c r="FE245"/>
      <c r="FF245"/>
      <c r="FG245"/>
      <c r="FH245"/>
      <c r="FI245"/>
      <c r="FJ245"/>
      <c r="FK245"/>
      <c r="FL245"/>
      <c r="FM245"/>
      <c r="FN245"/>
      <c r="FO245"/>
      <c r="FP245"/>
      <c r="FQ245"/>
      <c r="FR245"/>
      <c r="FS245"/>
      <c r="FT245"/>
      <c r="FU245"/>
      <c r="FV245"/>
      <c r="FW245"/>
      <c r="FX245"/>
      <c r="FY245"/>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c r="JA245"/>
      <c r="JB245"/>
      <c r="JC245"/>
      <c r="JD245"/>
      <c r="JE245"/>
      <c r="JF245"/>
      <c r="JG245"/>
      <c r="JH245"/>
      <c r="JI245"/>
      <c r="JJ245"/>
      <c r="JK245"/>
      <c r="JL245"/>
      <c r="JM245"/>
      <c r="JN245"/>
      <c r="JO245"/>
      <c r="JP245"/>
      <c r="JQ245"/>
      <c r="JR245"/>
      <c r="JS245"/>
      <c r="JT245"/>
      <c r="JU245"/>
      <c r="JV245"/>
      <c r="JW245"/>
      <c r="JX245"/>
      <c r="JY245"/>
      <c r="JZ245"/>
      <c r="KA245"/>
      <c r="KB245"/>
      <c r="KC245"/>
      <c r="KD245"/>
      <c r="KE245"/>
      <c r="KF245"/>
      <c r="KG245"/>
      <c r="KH245"/>
      <c r="KI245"/>
      <c r="KJ245"/>
      <c r="KK245"/>
      <c r="KL245"/>
      <c r="KM245"/>
      <c r="KN245"/>
      <c r="KO245"/>
      <c r="KP245"/>
      <c r="KQ245"/>
      <c r="KR245"/>
      <c r="KS245"/>
    </row>
    <row r="246" spans="2:305" hidden="1" x14ac:dyDescent="0.35">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c r="CU246"/>
      <c r="CV246"/>
      <c r="CW246"/>
      <c r="CX246"/>
      <c r="CY246"/>
      <c r="CZ246"/>
      <c r="DA246"/>
      <c r="DB246"/>
      <c r="DC246"/>
      <c r="DD246"/>
      <c r="DE246"/>
      <c r="DF246"/>
      <c r="DG246"/>
      <c r="DH246"/>
      <c r="DI246"/>
      <c r="DJ246"/>
      <c r="DK246"/>
      <c r="DL246"/>
      <c r="DM246"/>
      <c r="DN246"/>
      <c r="DO246"/>
      <c r="DP246"/>
      <c r="DQ246"/>
      <c r="DR246"/>
      <c r="DS246"/>
      <c r="DT246"/>
      <c r="DU246"/>
      <c r="DV246"/>
      <c r="DW246"/>
      <c r="DX246"/>
      <c r="DY246"/>
      <c r="DZ246"/>
      <c r="EA246"/>
      <c r="EB246"/>
      <c r="EC246"/>
      <c r="ED246"/>
      <c r="EE246"/>
      <c r="EF246"/>
      <c r="EG246"/>
      <c r="EH246"/>
      <c r="EI246"/>
      <c r="EJ246"/>
      <c r="EK246"/>
      <c r="EL246"/>
      <c r="EM246"/>
      <c r="EN246"/>
      <c r="EO246"/>
      <c r="EP246"/>
      <c r="EQ246"/>
      <c r="ER246"/>
      <c r="ES246"/>
      <c r="ET246"/>
      <c r="EU246"/>
      <c r="EV246"/>
      <c r="EW246"/>
      <c r="EX246"/>
      <c r="EY246"/>
      <c r="EZ246"/>
      <c r="FA246"/>
      <c r="FB246"/>
      <c r="FC246"/>
      <c r="FD246"/>
      <c r="FE246"/>
      <c r="FF246"/>
      <c r="FG246"/>
      <c r="FH246"/>
      <c r="FI246"/>
      <c r="FJ246"/>
      <c r="FK246"/>
      <c r="FL246"/>
      <c r="FM246"/>
      <c r="FN246"/>
      <c r="FO246"/>
      <c r="FP246"/>
      <c r="FQ246"/>
      <c r="FR246"/>
      <c r="FS246"/>
      <c r="FT246"/>
      <c r="FU246"/>
      <c r="FV246"/>
      <c r="FW246"/>
      <c r="FX246"/>
      <c r="FY246"/>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c r="JA246"/>
      <c r="JB246"/>
      <c r="JC246"/>
      <c r="JD246"/>
      <c r="JE246"/>
      <c r="JF246"/>
      <c r="JG246"/>
      <c r="JH246"/>
      <c r="JI246"/>
      <c r="JJ246"/>
      <c r="JK246"/>
      <c r="JL246"/>
      <c r="JM246"/>
      <c r="JN246"/>
      <c r="JO246"/>
      <c r="JP246"/>
      <c r="JQ246"/>
      <c r="JR246"/>
      <c r="JS246"/>
      <c r="JT246"/>
      <c r="JU246"/>
      <c r="JV246"/>
      <c r="JW246"/>
      <c r="JX246"/>
      <c r="JY246"/>
      <c r="JZ246"/>
      <c r="KA246"/>
      <c r="KB246"/>
      <c r="KC246"/>
      <c r="KD246"/>
      <c r="KE246"/>
      <c r="KF246"/>
      <c r="KG246"/>
      <c r="KH246"/>
      <c r="KI246"/>
      <c r="KJ246"/>
      <c r="KK246"/>
      <c r="KL246"/>
      <c r="KM246"/>
      <c r="KN246"/>
      <c r="KO246"/>
      <c r="KP246"/>
      <c r="KQ246"/>
      <c r="KR246"/>
      <c r="KS246"/>
    </row>
    <row r="247" spans="2:305" hidden="1" x14ac:dyDescent="0.35">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c r="CU247"/>
      <c r="CV247"/>
      <c r="CW247"/>
      <c r="CX247"/>
      <c r="CY247"/>
      <c r="CZ247"/>
      <c r="DA247"/>
      <c r="DB247"/>
      <c r="DC247"/>
      <c r="DD247"/>
      <c r="DE247"/>
      <c r="DF247"/>
      <c r="DG247"/>
      <c r="DH247"/>
      <c r="DI247"/>
      <c r="DJ247"/>
      <c r="DK247"/>
      <c r="DL247"/>
      <c r="DM247"/>
      <c r="DN247"/>
      <c r="DO247"/>
      <c r="DP247"/>
      <c r="DQ247"/>
      <c r="DR247"/>
      <c r="DS247"/>
      <c r="DT247"/>
      <c r="DU247"/>
      <c r="DV247"/>
      <c r="DW247"/>
      <c r="DX247"/>
      <c r="DY247"/>
      <c r="DZ247"/>
      <c r="EA247"/>
      <c r="EB247"/>
      <c r="EC247"/>
      <c r="ED247"/>
      <c r="EE247"/>
      <c r="EF247"/>
      <c r="EG247"/>
      <c r="EH247"/>
      <c r="EI247"/>
      <c r="EJ247"/>
      <c r="EK247"/>
      <c r="EL247"/>
      <c r="EM247"/>
      <c r="EN247"/>
      <c r="EO247"/>
      <c r="EP247"/>
      <c r="EQ247"/>
      <c r="ER247"/>
      <c r="ES247"/>
      <c r="ET247"/>
      <c r="EU247"/>
      <c r="EV247"/>
      <c r="EW247"/>
      <c r="EX247"/>
      <c r="EY247"/>
      <c r="EZ247"/>
      <c r="FA247"/>
      <c r="FB247"/>
      <c r="FC247"/>
      <c r="FD247"/>
      <c r="FE247"/>
      <c r="FF247"/>
      <c r="FG247"/>
      <c r="FH247"/>
      <c r="FI247"/>
      <c r="FJ247"/>
      <c r="FK247"/>
      <c r="FL247"/>
      <c r="FM247"/>
      <c r="FN247"/>
      <c r="FO247"/>
      <c r="FP247"/>
      <c r="FQ247"/>
      <c r="FR247"/>
      <c r="FS247"/>
      <c r="FT247"/>
      <c r="FU247"/>
      <c r="FV247"/>
      <c r="FW247"/>
      <c r="FX247"/>
      <c r="FY247"/>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c r="JA247"/>
      <c r="JB247"/>
      <c r="JC247"/>
      <c r="JD247"/>
      <c r="JE247"/>
      <c r="JF247"/>
      <c r="JG247"/>
      <c r="JH247"/>
      <c r="JI247"/>
      <c r="JJ247"/>
      <c r="JK247"/>
      <c r="JL247"/>
      <c r="JM247"/>
      <c r="JN247"/>
      <c r="JO247"/>
      <c r="JP247"/>
      <c r="JQ247"/>
      <c r="JR247"/>
      <c r="JS247"/>
      <c r="JT247"/>
      <c r="JU247"/>
      <c r="JV247"/>
      <c r="JW247"/>
      <c r="JX247"/>
      <c r="JY247"/>
      <c r="JZ247"/>
      <c r="KA247"/>
      <c r="KB247"/>
      <c r="KC247"/>
      <c r="KD247"/>
      <c r="KE247"/>
      <c r="KF247"/>
      <c r="KG247"/>
      <c r="KH247"/>
      <c r="KI247"/>
      <c r="KJ247"/>
      <c r="KK247"/>
      <c r="KL247"/>
      <c r="KM247"/>
      <c r="KN247"/>
      <c r="KO247"/>
      <c r="KP247"/>
      <c r="KQ247"/>
      <c r="KR247"/>
      <c r="KS247"/>
    </row>
    <row r="248" spans="2:305" hidden="1" x14ac:dyDescent="0.35">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c r="CU248"/>
      <c r="CV248"/>
      <c r="CW248"/>
      <c r="CX248"/>
      <c r="CY248"/>
      <c r="CZ248"/>
      <c r="DA248"/>
      <c r="DB248"/>
      <c r="DC248"/>
      <c r="DD248"/>
      <c r="DE248"/>
      <c r="DF248"/>
      <c r="DG248"/>
      <c r="DH248"/>
      <c r="DI248"/>
      <c r="DJ248"/>
      <c r="DK248"/>
      <c r="DL248"/>
      <c r="DM248"/>
      <c r="DN248"/>
      <c r="DO248"/>
      <c r="DP248"/>
      <c r="DQ248"/>
      <c r="DR248"/>
      <c r="DS248"/>
      <c r="DT248"/>
      <c r="DU248"/>
      <c r="DV248"/>
      <c r="DW248"/>
      <c r="DX248"/>
      <c r="DY248"/>
      <c r="DZ248"/>
      <c r="EA248"/>
      <c r="EB248"/>
      <c r="EC248"/>
      <c r="ED248"/>
      <c r="EE248"/>
      <c r="EF248"/>
      <c r="EG248"/>
      <c r="EH248"/>
      <c r="EI248"/>
      <c r="EJ248"/>
      <c r="EK248"/>
      <c r="EL248"/>
      <c r="EM248"/>
      <c r="EN248"/>
      <c r="EO248"/>
      <c r="EP248"/>
      <c r="EQ248"/>
      <c r="ER248"/>
      <c r="ES248"/>
      <c r="ET248"/>
      <c r="EU248"/>
      <c r="EV248"/>
      <c r="EW248"/>
      <c r="EX248"/>
      <c r="EY248"/>
      <c r="EZ248"/>
      <c r="FA248"/>
      <c r="FB248"/>
      <c r="FC248"/>
      <c r="FD248"/>
      <c r="FE248"/>
      <c r="FF248"/>
      <c r="FG248"/>
      <c r="FH248"/>
      <c r="FI248"/>
      <c r="FJ248"/>
      <c r="FK248"/>
      <c r="FL248"/>
      <c r="FM248"/>
      <c r="FN248"/>
      <c r="FO248"/>
      <c r="FP248"/>
      <c r="FQ248"/>
      <c r="FR248"/>
      <c r="FS248"/>
      <c r="FT248"/>
      <c r="FU248"/>
      <c r="FV248"/>
      <c r="FW248"/>
      <c r="FX248"/>
      <c r="FY248"/>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c r="JA248"/>
      <c r="JB248"/>
      <c r="JC248"/>
      <c r="JD248"/>
      <c r="JE248"/>
      <c r="JF248"/>
      <c r="JG248"/>
      <c r="JH248"/>
      <c r="JI248"/>
      <c r="JJ248"/>
      <c r="JK248"/>
      <c r="JL248"/>
      <c r="JM248"/>
      <c r="JN248"/>
      <c r="JO248"/>
      <c r="JP248"/>
      <c r="JQ248"/>
      <c r="JR248"/>
      <c r="JS248"/>
      <c r="JT248"/>
      <c r="JU248"/>
      <c r="JV248"/>
      <c r="JW248"/>
      <c r="JX248"/>
      <c r="JY248"/>
      <c r="JZ248"/>
      <c r="KA248"/>
      <c r="KB248"/>
      <c r="KC248"/>
      <c r="KD248"/>
      <c r="KE248"/>
      <c r="KF248"/>
      <c r="KG248"/>
      <c r="KH248"/>
      <c r="KI248"/>
      <c r="KJ248"/>
      <c r="KK248"/>
      <c r="KL248"/>
      <c r="KM248"/>
      <c r="KN248"/>
      <c r="KO248"/>
      <c r="KP248"/>
      <c r="KQ248"/>
      <c r="KR248"/>
      <c r="KS248"/>
    </row>
    <row r="249" spans="2:305" hidden="1" x14ac:dyDescent="0.35">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c r="CU249"/>
      <c r="CV249"/>
      <c r="CW249"/>
      <c r="CX249"/>
      <c r="CY249"/>
      <c r="CZ249"/>
      <c r="DA249"/>
      <c r="DB249"/>
      <c r="DC249"/>
      <c r="DD249"/>
      <c r="DE249"/>
      <c r="DF249"/>
      <c r="DG249"/>
      <c r="DH249"/>
      <c r="DI249"/>
      <c r="DJ249"/>
      <c r="DK249"/>
      <c r="DL249"/>
      <c r="DM249"/>
      <c r="DN249"/>
      <c r="DO249"/>
      <c r="DP249"/>
      <c r="DQ249"/>
      <c r="DR249"/>
      <c r="DS249"/>
      <c r="DT249"/>
      <c r="DU249"/>
      <c r="DV249"/>
      <c r="DW249"/>
      <c r="DX249"/>
      <c r="DY249"/>
      <c r="DZ249"/>
      <c r="EA249"/>
      <c r="EB249"/>
      <c r="EC249"/>
      <c r="ED249"/>
      <c r="EE249"/>
      <c r="EF249"/>
      <c r="EG249"/>
      <c r="EH249"/>
      <c r="EI249"/>
      <c r="EJ249"/>
      <c r="EK249"/>
      <c r="EL249"/>
      <c r="EM249"/>
      <c r="EN249"/>
      <c r="EO249"/>
      <c r="EP249"/>
      <c r="EQ249"/>
      <c r="ER249"/>
      <c r="ES249"/>
      <c r="ET249"/>
      <c r="EU249"/>
      <c r="EV249"/>
      <c r="EW249"/>
      <c r="EX249"/>
      <c r="EY249"/>
      <c r="EZ249"/>
      <c r="FA249"/>
      <c r="FB249"/>
      <c r="FC249"/>
      <c r="FD249"/>
      <c r="FE249"/>
      <c r="FF249"/>
      <c r="FG249"/>
      <c r="FH249"/>
      <c r="FI249"/>
      <c r="FJ249"/>
      <c r="FK249"/>
      <c r="FL249"/>
      <c r="FM249"/>
      <c r="FN249"/>
      <c r="FO249"/>
      <c r="FP249"/>
      <c r="FQ249"/>
      <c r="FR249"/>
      <c r="FS249"/>
      <c r="FT249"/>
      <c r="FU249"/>
      <c r="FV249"/>
      <c r="FW249"/>
      <c r="FX249"/>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c r="JA249"/>
      <c r="JB249"/>
      <c r="JC249"/>
      <c r="JD249"/>
      <c r="JE249"/>
      <c r="JF249"/>
      <c r="JG249"/>
      <c r="JH249"/>
      <c r="JI249"/>
      <c r="JJ249"/>
      <c r="JK249"/>
      <c r="JL249"/>
      <c r="JM249"/>
      <c r="JN249"/>
      <c r="JO249"/>
      <c r="JP249"/>
      <c r="JQ249"/>
      <c r="JR249"/>
      <c r="JS249"/>
      <c r="JT249"/>
      <c r="JU249"/>
      <c r="JV249"/>
      <c r="JW249"/>
      <c r="JX249"/>
      <c r="JY249"/>
      <c r="JZ249"/>
      <c r="KA249"/>
      <c r="KB249"/>
      <c r="KC249"/>
      <c r="KD249"/>
      <c r="KE249"/>
      <c r="KF249"/>
      <c r="KG249"/>
      <c r="KH249"/>
      <c r="KI249"/>
      <c r="KJ249"/>
      <c r="KK249"/>
      <c r="KL249"/>
      <c r="KM249"/>
      <c r="KN249"/>
      <c r="KO249"/>
      <c r="KP249"/>
      <c r="KQ249"/>
      <c r="KR249"/>
      <c r="KS249"/>
    </row>
    <row r="250" spans="2:305" hidden="1" x14ac:dyDescent="0.35">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c r="CU250"/>
      <c r="CV250"/>
      <c r="CW250"/>
      <c r="CX250"/>
      <c r="CY250"/>
      <c r="CZ250"/>
      <c r="DA250"/>
      <c r="DB250"/>
      <c r="DC250"/>
      <c r="DD250"/>
      <c r="DE250"/>
      <c r="DF250"/>
      <c r="DG250"/>
      <c r="DH250"/>
      <c r="DI250"/>
      <c r="DJ250"/>
      <c r="DK250"/>
      <c r="DL250"/>
      <c r="DM250"/>
      <c r="DN250"/>
      <c r="DO250"/>
      <c r="DP250"/>
      <c r="DQ250"/>
      <c r="DR250"/>
      <c r="DS250"/>
      <c r="DT250"/>
      <c r="DU250"/>
      <c r="DV250"/>
      <c r="DW250"/>
      <c r="DX250"/>
      <c r="DY250"/>
      <c r="DZ250"/>
      <c r="EA250"/>
      <c r="EB250"/>
      <c r="EC250"/>
      <c r="ED250"/>
      <c r="EE250"/>
      <c r="EF250"/>
      <c r="EG250"/>
      <c r="EH250"/>
      <c r="EI250"/>
      <c r="EJ250"/>
      <c r="EK250"/>
      <c r="EL250"/>
      <c r="EM250"/>
      <c r="EN250"/>
      <c r="EO250"/>
      <c r="EP250"/>
      <c r="EQ250"/>
      <c r="ER250"/>
      <c r="ES250"/>
      <c r="ET250"/>
      <c r="EU250"/>
      <c r="EV250"/>
      <c r="EW250"/>
      <c r="EX250"/>
      <c r="EY250"/>
      <c r="EZ250"/>
      <c r="FA250"/>
      <c r="FB250"/>
      <c r="FC250"/>
      <c r="FD250"/>
      <c r="FE250"/>
      <c r="FF250"/>
      <c r="FG250"/>
      <c r="FH250"/>
      <c r="FI250"/>
      <c r="FJ250"/>
      <c r="FK250"/>
      <c r="FL250"/>
      <c r="FM250"/>
      <c r="FN250"/>
      <c r="FO250"/>
      <c r="FP250"/>
      <c r="FQ250"/>
      <c r="FR250"/>
      <c r="FS250"/>
      <c r="FT250"/>
      <c r="FU250"/>
      <c r="FV250"/>
      <c r="FW250"/>
      <c r="FX250"/>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c r="JA250"/>
      <c r="JB250"/>
      <c r="JC250"/>
      <c r="JD250"/>
      <c r="JE250"/>
      <c r="JF250"/>
      <c r="JG250"/>
      <c r="JH250"/>
      <c r="JI250"/>
      <c r="JJ250"/>
      <c r="JK250"/>
      <c r="JL250"/>
      <c r="JM250"/>
      <c r="JN250"/>
      <c r="JO250"/>
      <c r="JP250"/>
      <c r="JQ250"/>
      <c r="JR250"/>
      <c r="JS250"/>
      <c r="JT250"/>
      <c r="JU250"/>
      <c r="JV250"/>
      <c r="JW250"/>
      <c r="JX250"/>
      <c r="JY250"/>
      <c r="JZ250"/>
      <c r="KA250"/>
      <c r="KB250"/>
      <c r="KC250"/>
      <c r="KD250"/>
      <c r="KE250"/>
      <c r="KF250"/>
      <c r="KG250"/>
      <c r="KH250"/>
      <c r="KI250"/>
      <c r="KJ250"/>
      <c r="KK250"/>
      <c r="KL250"/>
      <c r="KM250"/>
      <c r="KN250"/>
      <c r="KO250"/>
      <c r="KP250"/>
      <c r="KQ250"/>
      <c r="KR250"/>
      <c r="KS250"/>
    </row>
    <row r="251" spans="2:305" hidden="1" x14ac:dyDescent="0.35">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c r="CU251"/>
      <c r="CV251"/>
      <c r="CW251"/>
      <c r="CX251"/>
      <c r="CY251"/>
      <c r="CZ251"/>
      <c r="DA251"/>
      <c r="DB251"/>
      <c r="DC251"/>
      <c r="DD251"/>
      <c r="DE251"/>
      <c r="DF251"/>
      <c r="DG251"/>
      <c r="DH251"/>
      <c r="DI251"/>
      <c r="DJ251"/>
      <c r="DK251"/>
      <c r="DL251"/>
      <c r="DM251"/>
      <c r="DN251"/>
      <c r="DO251"/>
      <c r="DP251"/>
      <c r="DQ251"/>
      <c r="DR251"/>
      <c r="DS251"/>
      <c r="DT251"/>
      <c r="DU251"/>
      <c r="DV251"/>
      <c r="DW251"/>
      <c r="DX251"/>
      <c r="DY251"/>
      <c r="DZ251"/>
      <c r="EA251"/>
      <c r="EB251"/>
      <c r="EC251"/>
      <c r="ED251"/>
      <c r="EE251"/>
      <c r="EF251"/>
      <c r="EG251"/>
      <c r="EH251"/>
      <c r="EI251"/>
      <c r="EJ251"/>
      <c r="EK251"/>
      <c r="EL251"/>
      <c r="EM251"/>
      <c r="EN251"/>
      <c r="EO251"/>
      <c r="EP251"/>
      <c r="EQ251"/>
      <c r="ER251"/>
      <c r="ES251"/>
      <c r="ET251"/>
      <c r="EU251"/>
      <c r="EV251"/>
      <c r="EW251"/>
      <c r="EX251"/>
      <c r="EY251"/>
      <c r="EZ251"/>
      <c r="FA251"/>
      <c r="FB251"/>
      <c r="FC251"/>
      <c r="FD251"/>
      <c r="FE251"/>
      <c r="FF251"/>
      <c r="FG251"/>
      <c r="FH251"/>
      <c r="FI251"/>
      <c r="FJ251"/>
      <c r="FK251"/>
      <c r="FL251"/>
      <c r="FM251"/>
      <c r="FN251"/>
      <c r="FO251"/>
      <c r="FP251"/>
      <c r="FQ251"/>
      <c r="FR251"/>
      <c r="FS251"/>
      <c r="FT251"/>
      <c r="FU251"/>
      <c r="FV251"/>
      <c r="FW251"/>
      <c r="FX251"/>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c r="JA251"/>
      <c r="JB251"/>
      <c r="JC251"/>
      <c r="JD251"/>
      <c r="JE251"/>
      <c r="JF251"/>
      <c r="JG251"/>
      <c r="JH251"/>
      <c r="JI251"/>
      <c r="JJ251"/>
      <c r="JK251"/>
      <c r="JL251"/>
      <c r="JM251"/>
      <c r="JN251"/>
      <c r="JO251"/>
      <c r="JP251"/>
      <c r="JQ251"/>
      <c r="JR251"/>
      <c r="JS251"/>
      <c r="JT251"/>
      <c r="JU251"/>
      <c r="JV251"/>
      <c r="JW251"/>
      <c r="JX251"/>
      <c r="JY251"/>
      <c r="JZ251"/>
      <c r="KA251"/>
      <c r="KB251"/>
      <c r="KC251"/>
      <c r="KD251"/>
      <c r="KE251"/>
      <c r="KF251"/>
      <c r="KG251"/>
      <c r="KH251"/>
      <c r="KI251"/>
      <c r="KJ251"/>
      <c r="KK251"/>
      <c r="KL251"/>
      <c r="KM251"/>
      <c r="KN251"/>
      <c r="KO251"/>
      <c r="KP251"/>
      <c r="KQ251"/>
      <c r="KR251"/>
      <c r="KS251"/>
    </row>
    <row r="252" spans="2:305" hidden="1" x14ac:dyDescent="0.35">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c r="CU252"/>
      <c r="CV252"/>
      <c r="CW252"/>
      <c r="CX252"/>
      <c r="CY252"/>
      <c r="CZ252"/>
      <c r="DA252"/>
      <c r="DB252"/>
      <c r="DC252"/>
      <c r="DD252"/>
      <c r="DE252"/>
      <c r="DF252"/>
      <c r="DG252"/>
      <c r="DH252"/>
      <c r="DI252"/>
      <c r="DJ252"/>
      <c r="DK252"/>
      <c r="DL252"/>
      <c r="DM252"/>
      <c r="DN252"/>
      <c r="DO252"/>
      <c r="DP252"/>
      <c r="DQ252"/>
      <c r="DR252"/>
      <c r="DS252"/>
      <c r="DT252"/>
      <c r="DU252"/>
      <c r="DV252"/>
      <c r="DW252"/>
      <c r="DX252"/>
      <c r="DY252"/>
      <c r="DZ252"/>
      <c r="EA252"/>
      <c r="EB252"/>
      <c r="EC252"/>
      <c r="ED252"/>
      <c r="EE252"/>
      <c r="EF252"/>
      <c r="EG252"/>
      <c r="EH252"/>
      <c r="EI252"/>
      <c r="EJ252"/>
      <c r="EK252"/>
      <c r="EL252"/>
      <c r="EM252"/>
      <c r="EN252"/>
      <c r="EO252"/>
      <c r="EP252"/>
      <c r="EQ252"/>
      <c r="ER252"/>
      <c r="ES252"/>
      <c r="ET252"/>
      <c r="EU252"/>
      <c r="EV252"/>
      <c r="EW252"/>
      <c r="EX252"/>
      <c r="EY252"/>
      <c r="EZ252"/>
      <c r="FA252"/>
      <c r="FB252"/>
      <c r="FC252"/>
      <c r="FD252"/>
      <c r="FE252"/>
      <c r="FF252"/>
      <c r="FG252"/>
      <c r="FH252"/>
      <c r="FI252"/>
      <c r="FJ252"/>
      <c r="FK252"/>
      <c r="FL252"/>
      <c r="FM252"/>
      <c r="FN252"/>
      <c r="FO252"/>
      <c r="FP252"/>
      <c r="FQ252"/>
      <c r="FR252"/>
      <c r="FS252"/>
      <c r="FT252"/>
      <c r="FU252"/>
      <c r="FV252"/>
      <c r="FW252"/>
      <c r="FX252"/>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c r="JA252"/>
      <c r="JB252"/>
      <c r="JC252"/>
      <c r="JD252"/>
      <c r="JE252"/>
      <c r="JF252"/>
      <c r="JG252"/>
      <c r="JH252"/>
      <c r="JI252"/>
      <c r="JJ252"/>
      <c r="JK252"/>
      <c r="JL252"/>
      <c r="JM252"/>
      <c r="JN252"/>
      <c r="JO252"/>
      <c r="JP252"/>
      <c r="JQ252"/>
      <c r="JR252"/>
      <c r="JS252"/>
      <c r="JT252"/>
      <c r="JU252"/>
      <c r="JV252"/>
      <c r="JW252"/>
      <c r="JX252"/>
      <c r="JY252"/>
      <c r="JZ252"/>
      <c r="KA252"/>
      <c r="KB252"/>
      <c r="KC252"/>
      <c r="KD252"/>
      <c r="KE252"/>
      <c r="KF252"/>
      <c r="KG252"/>
      <c r="KH252"/>
      <c r="KI252"/>
      <c r="KJ252"/>
      <c r="KK252"/>
      <c r="KL252"/>
      <c r="KM252"/>
      <c r="KN252"/>
      <c r="KO252"/>
      <c r="KP252"/>
      <c r="KQ252"/>
      <c r="KR252"/>
      <c r="KS252"/>
    </row>
    <row r="253" spans="2:305" hidden="1" x14ac:dyDescent="0.35">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c r="CU253"/>
      <c r="CV253"/>
      <c r="CW253"/>
      <c r="CX253"/>
      <c r="CY253"/>
      <c r="CZ253"/>
      <c r="DA253"/>
      <c r="DB253"/>
      <c r="DC253"/>
      <c r="DD253"/>
      <c r="DE253"/>
      <c r="DF253"/>
      <c r="DG253"/>
      <c r="DH253"/>
      <c r="DI253"/>
      <c r="DJ253"/>
      <c r="DK253"/>
      <c r="DL253"/>
      <c r="DM253"/>
      <c r="DN253"/>
      <c r="DO253"/>
      <c r="DP253"/>
      <c r="DQ253"/>
      <c r="DR253"/>
      <c r="DS253"/>
      <c r="DT253"/>
      <c r="DU253"/>
      <c r="DV253"/>
      <c r="DW253"/>
      <c r="DX253"/>
      <c r="DY253"/>
      <c r="DZ253"/>
      <c r="EA253"/>
      <c r="EB253"/>
      <c r="EC253"/>
      <c r="ED253"/>
      <c r="EE253"/>
      <c r="EF253"/>
      <c r="EG253"/>
      <c r="EH253"/>
      <c r="EI253"/>
      <c r="EJ253"/>
      <c r="EK253"/>
      <c r="EL253"/>
      <c r="EM253"/>
      <c r="EN253"/>
      <c r="EO253"/>
      <c r="EP253"/>
      <c r="EQ253"/>
      <c r="ER253"/>
      <c r="ES253"/>
      <c r="ET253"/>
      <c r="EU253"/>
      <c r="EV253"/>
      <c r="EW253"/>
      <c r="EX253"/>
      <c r="EY253"/>
      <c r="EZ253"/>
      <c r="FA253"/>
      <c r="FB253"/>
      <c r="FC253"/>
      <c r="FD253"/>
      <c r="FE253"/>
      <c r="FF253"/>
      <c r="FG253"/>
      <c r="FH253"/>
      <c r="FI253"/>
      <c r="FJ253"/>
      <c r="FK253"/>
      <c r="FL253"/>
      <c r="FM253"/>
      <c r="FN253"/>
      <c r="FO253"/>
      <c r="FP253"/>
      <c r="FQ253"/>
      <c r="FR253"/>
      <c r="FS253"/>
      <c r="FT253"/>
      <c r="FU253"/>
      <c r="FV253"/>
      <c r="FW253"/>
      <c r="FX253"/>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c r="JA253"/>
      <c r="JB253"/>
      <c r="JC253"/>
      <c r="JD253"/>
      <c r="JE253"/>
      <c r="JF253"/>
      <c r="JG253"/>
      <c r="JH253"/>
      <c r="JI253"/>
      <c r="JJ253"/>
      <c r="JK253"/>
      <c r="JL253"/>
      <c r="JM253"/>
      <c r="JN253"/>
      <c r="JO253"/>
      <c r="JP253"/>
      <c r="JQ253"/>
      <c r="JR253"/>
      <c r="JS253"/>
      <c r="JT253"/>
      <c r="JU253"/>
      <c r="JV253"/>
      <c r="JW253"/>
      <c r="JX253"/>
      <c r="JY253"/>
      <c r="JZ253"/>
      <c r="KA253"/>
      <c r="KB253"/>
      <c r="KC253"/>
      <c r="KD253"/>
      <c r="KE253"/>
      <c r="KF253"/>
      <c r="KG253"/>
      <c r="KH253"/>
      <c r="KI253"/>
      <c r="KJ253"/>
      <c r="KK253"/>
      <c r="KL253"/>
      <c r="KM253"/>
      <c r="KN253"/>
      <c r="KO253"/>
      <c r="KP253"/>
      <c r="KQ253"/>
      <c r="KR253"/>
      <c r="KS253"/>
    </row>
    <row r="254" spans="2:305" hidden="1" x14ac:dyDescent="0.35">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c r="CU254"/>
      <c r="CV254"/>
      <c r="CW254"/>
      <c r="CX254"/>
      <c r="CY254"/>
      <c r="CZ254"/>
      <c r="DA254"/>
      <c r="DB254"/>
      <c r="DC254"/>
      <c r="DD254"/>
      <c r="DE254"/>
      <c r="DF254"/>
      <c r="DG254"/>
      <c r="DH254"/>
      <c r="DI254"/>
      <c r="DJ254"/>
      <c r="DK254"/>
      <c r="DL254"/>
      <c r="DM254"/>
      <c r="DN254"/>
      <c r="DO254"/>
      <c r="DP254"/>
      <c r="DQ254"/>
      <c r="DR254"/>
      <c r="DS254"/>
      <c r="DT254"/>
      <c r="DU254"/>
      <c r="DV254"/>
      <c r="DW254"/>
      <c r="DX254"/>
      <c r="DY254"/>
      <c r="DZ254"/>
      <c r="EA254"/>
      <c r="EB254"/>
      <c r="EC254"/>
      <c r="ED254"/>
      <c r="EE254"/>
      <c r="EF254"/>
      <c r="EG254"/>
      <c r="EH254"/>
      <c r="EI254"/>
      <c r="EJ254"/>
      <c r="EK254"/>
      <c r="EL254"/>
      <c r="EM254"/>
      <c r="EN254"/>
      <c r="EO254"/>
      <c r="EP254"/>
      <c r="EQ254"/>
      <c r="ER254"/>
      <c r="ES254"/>
      <c r="ET254"/>
      <c r="EU254"/>
      <c r="EV254"/>
      <c r="EW254"/>
      <c r="EX254"/>
      <c r="EY254"/>
      <c r="EZ254"/>
      <c r="FA254"/>
      <c r="FB254"/>
      <c r="FC254"/>
      <c r="FD254"/>
      <c r="FE254"/>
      <c r="FF254"/>
      <c r="FG254"/>
      <c r="FH254"/>
      <c r="FI254"/>
      <c r="FJ254"/>
      <c r="FK254"/>
      <c r="FL254"/>
      <c r="FM254"/>
      <c r="FN254"/>
      <c r="FO254"/>
      <c r="FP254"/>
      <c r="FQ254"/>
      <c r="FR254"/>
      <c r="FS254"/>
      <c r="FT254"/>
      <c r="FU254"/>
      <c r="FV254"/>
      <c r="FW254"/>
      <c r="FX254"/>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c r="JA254"/>
      <c r="JB254"/>
      <c r="JC254"/>
      <c r="JD254"/>
      <c r="JE254"/>
      <c r="JF254"/>
      <c r="JG254"/>
      <c r="JH254"/>
      <c r="JI254"/>
      <c r="JJ254"/>
      <c r="JK254"/>
      <c r="JL254"/>
      <c r="JM254"/>
      <c r="JN254"/>
      <c r="JO254"/>
      <c r="JP254"/>
      <c r="JQ254"/>
      <c r="JR254"/>
      <c r="JS254"/>
      <c r="JT254"/>
      <c r="JU254"/>
      <c r="JV254"/>
      <c r="JW254"/>
      <c r="JX254"/>
      <c r="JY254"/>
      <c r="JZ254"/>
      <c r="KA254"/>
      <c r="KB254"/>
      <c r="KC254"/>
      <c r="KD254"/>
      <c r="KE254"/>
      <c r="KF254"/>
      <c r="KG254"/>
      <c r="KH254"/>
      <c r="KI254"/>
      <c r="KJ254"/>
      <c r="KK254"/>
      <c r="KL254"/>
      <c r="KM254"/>
      <c r="KN254"/>
      <c r="KO254"/>
      <c r="KP254"/>
      <c r="KQ254"/>
      <c r="KR254"/>
      <c r="KS254"/>
    </row>
    <row r="255" spans="2:305" hidden="1" x14ac:dyDescent="0.3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c r="CU255"/>
      <c r="CV255"/>
      <c r="CW255"/>
      <c r="CX255"/>
      <c r="CY255"/>
      <c r="CZ255"/>
      <c r="DA255"/>
      <c r="DB255"/>
      <c r="DC255"/>
      <c r="DD255"/>
      <c r="DE255"/>
      <c r="DF255"/>
      <c r="DG255"/>
      <c r="DH255"/>
      <c r="DI255"/>
      <c r="DJ255"/>
      <c r="DK255"/>
      <c r="DL255"/>
      <c r="DM255"/>
      <c r="DN255"/>
      <c r="DO255"/>
      <c r="DP255"/>
      <c r="DQ255"/>
      <c r="DR255"/>
      <c r="DS255"/>
      <c r="DT255"/>
      <c r="DU255"/>
      <c r="DV255"/>
      <c r="DW255"/>
      <c r="DX255"/>
      <c r="DY255"/>
      <c r="DZ255"/>
      <c r="EA255"/>
      <c r="EB255"/>
      <c r="EC255"/>
      <c r="ED255"/>
      <c r="EE255"/>
      <c r="EF255"/>
      <c r="EG255"/>
      <c r="EH255"/>
      <c r="EI255"/>
      <c r="EJ255"/>
      <c r="EK255"/>
      <c r="EL255"/>
      <c r="EM255"/>
      <c r="EN255"/>
      <c r="EO255"/>
      <c r="EP255"/>
      <c r="EQ255"/>
      <c r="ER255"/>
      <c r="ES255"/>
      <c r="ET255"/>
      <c r="EU255"/>
      <c r="EV255"/>
      <c r="EW255"/>
      <c r="EX255"/>
      <c r="EY255"/>
      <c r="EZ255"/>
      <c r="FA255"/>
      <c r="FB255"/>
      <c r="FC255"/>
      <c r="FD255"/>
      <c r="FE255"/>
      <c r="FF255"/>
      <c r="FG255"/>
      <c r="FH255"/>
      <c r="FI255"/>
      <c r="FJ255"/>
      <c r="FK255"/>
      <c r="FL255"/>
      <c r="FM255"/>
      <c r="FN255"/>
      <c r="FO255"/>
      <c r="FP255"/>
      <c r="FQ255"/>
      <c r="FR255"/>
      <c r="FS255"/>
      <c r="FT255"/>
      <c r="FU255"/>
      <c r="FV255"/>
      <c r="FW255"/>
      <c r="FX255"/>
      <c r="FY255"/>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c r="JA255"/>
      <c r="JB255"/>
      <c r="JC255"/>
      <c r="JD255"/>
      <c r="JE255"/>
      <c r="JF255"/>
      <c r="JG255"/>
      <c r="JH255"/>
      <c r="JI255"/>
      <c r="JJ255"/>
      <c r="JK255"/>
      <c r="JL255"/>
      <c r="JM255"/>
      <c r="JN255"/>
      <c r="JO255"/>
      <c r="JP255"/>
      <c r="JQ255"/>
      <c r="JR255"/>
      <c r="JS255"/>
      <c r="JT255"/>
      <c r="JU255"/>
      <c r="JV255"/>
      <c r="JW255"/>
      <c r="JX255"/>
      <c r="JY255"/>
      <c r="JZ255"/>
      <c r="KA255"/>
      <c r="KB255"/>
      <c r="KC255"/>
      <c r="KD255"/>
      <c r="KE255"/>
      <c r="KF255"/>
      <c r="KG255"/>
      <c r="KH255"/>
      <c r="KI255"/>
      <c r="KJ255"/>
      <c r="KK255"/>
      <c r="KL255"/>
      <c r="KM255"/>
      <c r="KN255"/>
      <c r="KO255"/>
      <c r="KP255"/>
      <c r="KQ255"/>
      <c r="KR255"/>
      <c r="KS255"/>
    </row>
    <row r="256" spans="2:305" hidden="1" x14ac:dyDescent="0.35">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c r="CU256"/>
      <c r="CV256"/>
      <c r="CW256"/>
      <c r="CX256"/>
      <c r="CY256"/>
      <c r="CZ256"/>
      <c r="DA256"/>
      <c r="DB256"/>
      <c r="DC256"/>
      <c r="DD256"/>
      <c r="DE256"/>
      <c r="DF256"/>
      <c r="DG256"/>
      <c r="DH256"/>
      <c r="DI256"/>
      <c r="DJ256"/>
      <c r="DK256"/>
      <c r="DL256"/>
      <c r="DM256"/>
      <c r="DN256"/>
      <c r="DO256"/>
      <c r="DP256"/>
      <c r="DQ256"/>
      <c r="DR256"/>
      <c r="DS256"/>
      <c r="DT256"/>
      <c r="DU256"/>
      <c r="DV256"/>
      <c r="DW256"/>
      <c r="DX256"/>
      <c r="DY256"/>
      <c r="DZ256"/>
      <c r="EA256"/>
      <c r="EB256"/>
      <c r="EC256"/>
      <c r="ED256"/>
      <c r="EE256"/>
      <c r="EF256"/>
      <c r="EG256"/>
      <c r="EH256"/>
      <c r="EI256"/>
      <c r="EJ256"/>
      <c r="EK256"/>
      <c r="EL256"/>
      <c r="EM256"/>
      <c r="EN256"/>
      <c r="EO256"/>
      <c r="EP256"/>
      <c r="EQ256"/>
      <c r="ER256"/>
      <c r="ES256"/>
      <c r="ET256"/>
      <c r="EU256"/>
      <c r="EV256"/>
      <c r="EW256"/>
      <c r="EX256"/>
      <c r="EY256"/>
      <c r="EZ256"/>
      <c r="FA256"/>
      <c r="FB256"/>
      <c r="FC256"/>
      <c r="FD256"/>
      <c r="FE256"/>
      <c r="FF256"/>
      <c r="FG256"/>
      <c r="FH256"/>
      <c r="FI256"/>
      <c r="FJ256"/>
      <c r="FK256"/>
      <c r="FL256"/>
      <c r="FM256"/>
      <c r="FN256"/>
      <c r="FO256"/>
      <c r="FP256"/>
      <c r="FQ256"/>
      <c r="FR256"/>
      <c r="FS256"/>
      <c r="FT256"/>
      <c r="FU256"/>
      <c r="FV256"/>
      <c r="FW256"/>
      <c r="FX256"/>
      <c r="FY256"/>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c r="JA256"/>
      <c r="JB256"/>
      <c r="JC256"/>
      <c r="JD256"/>
      <c r="JE256"/>
      <c r="JF256"/>
      <c r="JG256"/>
      <c r="JH256"/>
      <c r="JI256"/>
      <c r="JJ256"/>
      <c r="JK256"/>
      <c r="JL256"/>
      <c r="JM256"/>
      <c r="JN256"/>
      <c r="JO256"/>
      <c r="JP256"/>
      <c r="JQ256"/>
      <c r="JR256"/>
      <c r="JS256"/>
      <c r="JT256"/>
      <c r="JU256"/>
      <c r="JV256"/>
      <c r="JW256"/>
      <c r="JX256"/>
      <c r="JY256"/>
      <c r="JZ256"/>
      <c r="KA256"/>
      <c r="KB256"/>
      <c r="KC256"/>
      <c r="KD256"/>
      <c r="KE256"/>
      <c r="KF256"/>
      <c r="KG256"/>
      <c r="KH256"/>
      <c r="KI256"/>
      <c r="KJ256"/>
      <c r="KK256"/>
      <c r="KL256"/>
      <c r="KM256"/>
      <c r="KN256"/>
      <c r="KO256"/>
      <c r="KP256"/>
      <c r="KQ256"/>
      <c r="KR256"/>
      <c r="KS256"/>
    </row>
    <row r="257" spans="2:305" hidden="1" x14ac:dyDescent="0.35">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c r="CU257"/>
      <c r="CV257"/>
      <c r="CW257"/>
      <c r="CX257"/>
      <c r="CY257"/>
      <c r="CZ257"/>
      <c r="DA257"/>
      <c r="DB257"/>
      <c r="DC257"/>
      <c r="DD257"/>
      <c r="DE257"/>
      <c r="DF257"/>
      <c r="DG257"/>
      <c r="DH257"/>
      <c r="DI257"/>
      <c r="DJ257"/>
      <c r="DK257"/>
      <c r="DL257"/>
      <c r="DM257"/>
      <c r="DN257"/>
      <c r="DO257"/>
      <c r="DP257"/>
      <c r="DQ257"/>
      <c r="DR257"/>
      <c r="DS257"/>
      <c r="DT257"/>
      <c r="DU257"/>
      <c r="DV257"/>
      <c r="DW257"/>
      <c r="DX257"/>
      <c r="DY257"/>
      <c r="DZ257"/>
      <c r="EA257"/>
      <c r="EB257"/>
      <c r="EC257"/>
      <c r="ED257"/>
      <c r="EE257"/>
      <c r="EF257"/>
      <c r="EG257"/>
      <c r="EH257"/>
      <c r="EI257"/>
      <c r="EJ257"/>
      <c r="EK257"/>
      <c r="EL257"/>
      <c r="EM257"/>
      <c r="EN257"/>
      <c r="EO257"/>
      <c r="EP257"/>
      <c r="EQ257"/>
      <c r="ER257"/>
      <c r="ES257"/>
      <c r="ET257"/>
      <c r="EU257"/>
      <c r="EV257"/>
      <c r="EW257"/>
      <c r="EX257"/>
      <c r="EY257"/>
      <c r="EZ257"/>
      <c r="FA257"/>
      <c r="FB257"/>
      <c r="FC257"/>
      <c r="FD257"/>
      <c r="FE257"/>
      <c r="FF257"/>
      <c r="FG257"/>
      <c r="FH257"/>
      <c r="FI257"/>
      <c r="FJ257"/>
      <c r="FK257"/>
      <c r="FL257"/>
      <c r="FM257"/>
      <c r="FN257"/>
      <c r="FO257"/>
      <c r="FP257"/>
      <c r="FQ257"/>
      <c r="FR257"/>
      <c r="FS257"/>
      <c r="FT257"/>
      <c r="FU257"/>
      <c r="FV257"/>
      <c r="FW257"/>
      <c r="FX257"/>
      <c r="FY25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c r="JA257"/>
      <c r="JB257"/>
      <c r="JC257"/>
      <c r="JD257"/>
      <c r="JE257"/>
      <c r="JF257"/>
      <c r="JG257"/>
      <c r="JH257"/>
      <c r="JI257"/>
      <c r="JJ257"/>
      <c r="JK257"/>
      <c r="JL257"/>
      <c r="JM257"/>
      <c r="JN257"/>
      <c r="JO257"/>
      <c r="JP257"/>
      <c r="JQ257"/>
      <c r="JR257"/>
      <c r="JS257"/>
      <c r="JT257"/>
      <c r="JU257"/>
      <c r="JV257"/>
      <c r="JW257"/>
      <c r="JX257"/>
      <c r="JY257"/>
      <c r="JZ257"/>
      <c r="KA257"/>
      <c r="KB257"/>
      <c r="KC257"/>
      <c r="KD257"/>
      <c r="KE257"/>
      <c r="KF257"/>
      <c r="KG257"/>
      <c r="KH257"/>
      <c r="KI257"/>
      <c r="KJ257"/>
      <c r="KK257"/>
      <c r="KL257"/>
      <c r="KM257"/>
      <c r="KN257"/>
      <c r="KO257"/>
      <c r="KP257"/>
      <c r="KQ257"/>
      <c r="KR257"/>
      <c r="KS257"/>
    </row>
    <row r="258" spans="2:305" hidden="1" x14ac:dyDescent="0.35">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c r="CU258"/>
      <c r="CV258"/>
      <c r="CW258"/>
      <c r="CX258"/>
      <c r="CY258"/>
      <c r="CZ258"/>
      <c r="DA258"/>
      <c r="DB258"/>
      <c r="DC258"/>
      <c r="DD258"/>
      <c r="DE258"/>
      <c r="DF258"/>
      <c r="DG258"/>
      <c r="DH258"/>
      <c r="DI258"/>
      <c r="DJ258"/>
      <c r="DK258"/>
      <c r="DL258"/>
      <c r="DM258"/>
      <c r="DN258"/>
      <c r="DO258"/>
      <c r="DP258"/>
      <c r="DQ258"/>
      <c r="DR258"/>
      <c r="DS258"/>
      <c r="DT258"/>
      <c r="DU258"/>
      <c r="DV258"/>
      <c r="DW258"/>
      <c r="DX258"/>
      <c r="DY258"/>
      <c r="DZ258"/>
      <c r="EA258"/>
      <c r="EB258"/>
      <c r="EC258"/>
      <c r="ED258"/>
      <c r="EE258"/>
      <c r="EF258"/>
      <c r="EG258"/>
      <c r="EH258"/>
      <c r="EI258"/>
      <c r="EJ258"/>
      <c r="EK258"/>
      <c r="EL258"/>
      <c r="EM258"/>
      <c r="EN258"/>
      <c r="EO258"/>
      <c r="EP258"/>
      <c r="EQ258"/>
      <c r="ER258"/>
      <c r="ES258"/>
      <c r="ET258"/>
      <c r="EU258"/>
      <c r="EV258"/>
      <c r="EW258"/>
      <c r="EX258"/>
      <c r="EY258"/>
      <c r="EZ258"/>
      <c r="FA258"/>
      <c r="FB258"/>
      <c r="FC258"/>
      <c r="FD258"/>
      <c r="FE258"/>
      <c r="FF258"/>
      <c r="FG258"/>
      <c r="FH258"/>
      <c r="FI258"/>
      <c r="FJ258"/>
      <c r="FK258"/>
      <c r="FL258"/>
      <c r="FM258"/>
      <c r="FN258"/>
      <c r="FO258"/>
      <c r="FP258"/>
      <c r="FQ258"/>
      <c r="FR258"/>
      <c r="FS258"/>
      <c r="FT258"/>
      <c r="FU258"/>
      <c r="FV258"/>
      <c r="FW258"/>
      <c r="FX258"/>
      <c r="FY258"/>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c r="JA258"/>
      <c r="JB258"/>
      <c r="JC258"/>
      <c r="JD258"/>
      <c r="JE258"/>
      <c r="JF258"/>
      <c r="JG258"/>
      <c r="JH258"/>
      <c r="JI258"/>
      <c r="JJ258"/>
      <c r="JK258"/>
      <c r="JL258"/>
      <c r="JM258"/>
      <c r="JN258"/>
      <c r="JO258"/>
      <c r="JP258"/>
      <c r="JQ258"/>
      <c r="JR258"/>
      <c r="JS258"/>
      <c r="JT258"/>
      <c r="JU258"/>
      <c r="JV258"/>
      <c r="JW258"/>
      <c r="JX258"/>
      <c r="JY258"/>
      <c r="JZ258"/>
      <c r="KA258"/>
      <c r="KB258"/>
      <c r="KC258"/>
      <c r="KD258"/>
      <c r="KE258"/>
      <c r="KF258"/>
      <c r="KG258"/>
      <c r="KH258"/>
      <c r="KI258"/>
      <c r="KJ258"/>
      <c r="KK258"/>
      <c r="KL258"/>
      <c r="KM258"/>
      <c r="KN258"/>
      <c r="KO258"/>
      <c r="KP258"/>
      <c r="KQ258"/>
      <c r="KR258"/>
      <c r="KS258"/>
    </row>
    <row r="259" spans="2:305" hidden="1" x14ac:dyDescent="0.35">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c r="CU259"/>
      <c r="CV259"/>
      <c r="CW259"/>
      <c r="CX259"/>
      <c r="CY259"/>
      <c r="CZ259"/>
      <c r="DA259"/>
      <c r="DB259"/>
      <c r="DC259"/>
      <c r="DD259"/>
      <c r="DE259"/>
      <c r="DF259"/>
      <c r="DG259"/>
      <c r="DH259"/>
      <c r="DI259"/>
      <c r="DJ259"/>
      <c r="DK259"/>
      <c r="DL259"/>
      <c r="DM259"/>
      <c r="DN259"/>
      <c r="DO259"/>
      <c r="DP259"/>
      <c r="DQ259"/>
      <c r="DR259"/>
      <c r="DS259"/>
      <c r="DT259"/>
      <c r="DU259"/>
      <c r="DV259"/>
      <c r="DW259"/>
      <c r="DX259"/>
      <c r="DY259"/>
      <c r="DZ259"/>
      <c r="EA259"/>
      <c r="EB259"/>
      <c r="EC259"/>
      <c r="ED259"/>
      <c r="EE259"/>
      <c r="EF259"/>
      <c r="EG259"/>
      <c r="EH259"/>
      <c r="EI259"/>
      <c r="EJ259"/>
      <c r="EK259"/>
      <c r="EL259"/>
      <c r="EM259"/>
      <c r="EN259"/>
      <c r="EO259"/>
      <c r="EP259"/>
      <c r="EQ259"/>
      <c r="ER259"/>
      <c r="ES259"/>
      <c r="ET259"/>
      <c r="EU259"/>
      <c r="EV259"/>
      <c r="EW259"/>
      <c r="EX259"/>
      <c r="EY259"/>
      <c r="EZ259"/>
      <c r="FA259"/>
      <c r="FB259"/>
      <c r="FC259"/>
      <c r="FD259"/>
      <c r="FE259"/>
      <c r="FF259"/>
      <c r="FG259"/>
      <c r="FH259"/>
      <c r="FI259"/>
      <c r="FJ259"/>
      <c r="FK259"/>
      <c r="FL259"/>
      <c r="FM259"/>
      <c r="FN259"/>
      <c r="FO259"/>
      <c r="FP259"/>
      <c r="FQ259"/>
      <c r="FR259"/>
      <c r="FS259"/>
      <c r="FT259"/>
      <c r="FU259"/>
      <c r="FV259"/>
      <c r="FW259"/>
      <c r="FX259"/>
      <c r="FY259"/>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c r="JA259"/>
      <c r="JB259"/>
      <c r="JC259"/>
      <c r="JD259"/>
      <c r="JE259"/>
      <c r="JF259"/>
      <c r="JG259"/>
      <c r="JH259"/>
      <c r="JI259"/>
      <c r="JJ259"/>
      <c r="JK259"/>
      <c r="JL259"/>
      <c r="JM259"/>
      <c r="JN259"/>
      <c r="JO259"/>
      <c r="JP259"/>
      <c r="JQ259"/>
      <c r="JR259"/>
      <c r="JS259"/>
      <c r="JT259"/>
      <c r="JU259"/>
      <c r="JV259"/>
      <c r="JW259"/>
      <c r="JX259"/>
      <c r="JY259"/>
      <c r="JZ259"/>
      <c r="KA259"/>
      <c r="KB259"/>
      <c r="KC259"/>
      <c r="KD259"/>
      <c r="KE259"/>
      <c r="KF259"/>
      <c r="KG259"/>
      <c r="KH259"/>
      <c r="KI259"/>
      <c r="KJ259"/>
      <c r="KK259"/>
      <c r="KL259"/>
      <c r="KM259"/>
      <c r="KN259"/>
      <c r="KO259"/>
      <c r="KP259"/>
      <c r="KQ259"/>
      <c r="KR259"/>
      <c r="KS259"/>
    </row>
    <row r="260" spans="2:305" hidden="1" x14ac:dyDescent="0.35">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c r="CU260"/>
      <c r="CV260"/>
      <c r="CW260"/>
      <c r="CX260"/>
      <c r="CY260"/>
      <c r="CZ260"/>
      <c r="DA260"/>
      <c r="DB260"/>
      <c r="DC260"/>
      <c r="DD260"/>
      <c r="DE260"/>
      <c r="DF260"/>
      <c r="DG260"/>
      <c r="DH260"/>
      <c r="DI260"/>
      <c r="DJ260"/>
      <c r="DK260"/>
      <c r="DL260"/>
      <c r="DM260"/>
      <c r="DN260"/>
      <c r="DO260"/>
      <c r="DP260"/>
      <c r="DQ260"/>
      <c r="DR260"/>
      <c r="DS260"/>
      <c r="DT260"/>
      <c r="DU260"/>
      <c r="DV260"/>
      <c r="DW260"/>
      <c r="DX260"/>
      <c r="DY260"/>
      <c r="DZ260"/>
      <c r="EA260"/>
      <c r="EB260"/>
      <c r="EC260"/>
      <c r="ED260"/>
      <c r="EE260"/>
      <c r="EF260"/>
      <c r="EG260"/>
      <c r="EH260"/>
      <c r="EI260"/>
      <c r="EJ260"/>
      <c r="EK260"/>
      <c r="EL260"/>
      <c r="EM260"/>
      <c r="EN260"/>
      <c r="EO260"/>
      <c r="EP260"/>
      <c r="EQ260"/>
      <c r="ER260"/>
      <c r="ES260"/>
      <c r="ET260"/>
      <c r="EU260"/>
      <c r="EV260"/>
      <c r="EW260"/>
      <c r="EX260"/>
      <c r="EY260"/>
      <c r="EZ260"/>
      <c r="FA260"/>
      <c r="FB260"/>
      <c r="FC260"/>
      <c r="FD260"/>
      <c r="FE260"/>
      <c r="FF260"/>
      <c r="FG260"/>
      <c r="FH260"/>
      <c r="FI260"/>
      <c r="FJ260"/>
      <c r="FK260"/>
      <c r="FL260"/>
      <c r="FM260"/>
      <c r="FN260"/>
      <c r="FO260"/>
      <c r="FP260"/>
      <c r="FQ260"/>
      <c r="FR260"/>
      <c r="FS260"/>
      <c r="FT260"/>
      <c r="FU260"/>
      <c r="FV260"/>
      <c r="FW260"/>
      <c r="FX260"/>
      <c r="FY260"/>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c r="JA260"/>
      <c r="JB260"/>
      <c r="JC260"/>
      <c r="JD260"/>
      <c r="JE260"/>
      <c r="JF260"/>
      <c r="JG260"/>
      <c r="JH260"/>
      <c r="JI260"/>
      <c r="JJ260"/>
      <c r="JK260"/>
      <c r="JL260"/>
      <c r="JM260"/>
      <c r="JN260"/>
      <c r="JO260"/>
      <c r="JP260"/>
      <c r="JQ260"/>
      <c r="JR260"/>
      <c r="JS260"/>
      <c r="JT260"/>
      <c r="JU260"/>
      <c r="JV260"/>
      <c r="JW260"/>
      <c r="JX260"/>
      <c r="JY260"/>
      <c r="JZ260"/>
      <c r="KA260"/>
      <c r="KB260"/>
      <c r="KC260"/>
      <c r="KD260"/>
      <c r="KE260"/>
      <c r="KF260"/>
      <c r="KG260"/>
      <c r="KH260"/>
      <c r="KI260"/>
      <c r="KJ260"/>
      <c r="KK260"/>
      <c r="KL260"/>
      <c r="KM260"/>
      <c r="KN260"/>
      <c r="KO260"/>
      <c r="KP260"/>
      <c r="KQ260"/>
      <c r="KR260"/>
      <c r="KS260"/>
    </row>
    <row r="261" spans="2:305" hidden="1" x14ac:dyDescent="0.35">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c r="CU261"/>
      <c r="CV261"/>
      <c r="CW261"/>
      <c r="CX261"/>
      <c r="CY261"/>
      <c r="CZ261"/>
      <c r="DA261"/>
      <c r="DB261"/>
      <c r="DC261"/>
      <c r="DD261"/>
      <c r="DE261"/>
      <c r="DF261"/>
      <c r="DG261"/>
      <c r="DH261"/>
      <c r="DI261"/>
      <c r="DJ261"/>
      <c r="DK261"/>
      <c r="DL261"/>
      <c r="DM261"/>
      <c r="DN261"/>
      <c r="DO261"/>
      <c r="DP261"/>
      <c r="DQ261"/>
      <c r="DR261"/>
      <c r="DS261"/>
      <c r="DT261"/>
      <c r="DU261"/>
      <c r="DV261"/>
      <c r="DW261"/>
      <c r="DX261"/>
      <c r="DY261"/>
      <c r="DZ261"/>
      <c r="EA261"/>
      <c r="EB261"/>
      <c r="EC261"/>
      <c r="ED261"/>
      <c r="EE261"/>
      <c r="EF261"/>
      <c r="EG261"/>
      <c r="EH261"/>
      <c r="EI261"/>
      <c r="EJ261"/>
      <c r="EK261"/>
      <c r="EL261"/>
      <c r="EM261"/>
      <c r="EN261"/>
      <c r="EO261"/>
      <c r="EP261"/>
      <c r="EQ261"/>
      <c r="ER261"/>
      <c r="ES261"/>
      <c r="ET261"/>
      <c r="EU261"/>
      <c r="EV261"/>
      <c r="EW261"/>
      <c r="EX261"/>
      <c r="EY261"/>
      <c r="EZ261"/>
      <c r="FA261"/>
      <c r="FB261"/>
      <c r="FC261"/>
      <c r="FD261"/>
      <c r="FE261"/>
      <c r="FF261"/>
      <c r="FG261"/>
      <c r="FH261"/>
      <c r="FI261"/>
      <c r="FJ261"/>
      <c r="FK261"/>
      <c r="FL261"/>
      <c r="FM261"/>
      <c r="FN261"/>
      <c r="FO261"/>
      <c r="FP261"/>
      <c r="FQ261"/>
      <c r="FR261"/>
      <c r="FS261"/>
      <c r="FT261"/>
      <c r="FU261"/>
      <c r="FV261"/>
      <c r="FW261"/>
      <c r="FX261"/>
      <c r="FY261"/>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c r="JA261"/>
      <c r="JB261"/>
      <c r="JC261"/>
      <c r="JD261"/>
      <c r="JE261"/>
      <c r="JF261"/>
      <c r="JG261"/>
      <c r="JH261"/>
      <c r="JI261"/>
      <c r="JJ261"/>
      <c r="JK261"/>
      <c r="JL261"/>
      <c r="JM261"/>
      <c r="JN261"/>
      <c r="JO261"/>
      <c r="JP261"/>
      <c r="JQ261"/>
      <c r="JR261"/>
      <c r="JS261"/>
      <c r="JT261"/>
      <c r="JU261"/>
      <c r="JV261"/>
      <c r="JW261"/>
      <c r="JX261"/>
      <c r="JY261"/>
      <c r="JZ261"/>
      <c r="KA261"/>
      <c r="KB261"/>
      <c r="KC261"/>
      <c r="KD261"/>
      <c r="KE261"/>
      <c r="KF261"/>
      <c r="KG261"/>
      <c r="KH261"/>
      <c r="KI261"/>
      <c r="KJ261"/>
      <c r="KK261"/>
      <c r="KL261"/>
      <c r="KM261"/>
      <c r="KN261"/>
      <c r="KO261"/>
      <c r="KP261"/>
      <c r="KQ261"/>
      <c r="KR261"/>
      <c r="KS261"/>
    </row>
    <row r="262" spans="2:305" hidden="1" x14ac:dyDescent="0.35">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c r="CU262"/>
      <c r="CV262"/>
      <c r="CW262"/>
      <c r="CX262"/>
      <c r="CY262"/>
      <c r="CZ262"/>
      <c r="DA262"/>
      <c r="DB262"/>
      <c r="DC262"/>
      <c r="DD262"/>
      <c r="DE262"/>
      <c r="DF262"/>
      <c r="DG262"/>
      <c r="DH262"/>
      <c r="DI262"/>
      <c r="DJ262"/>
      <c r="DK262"/>
      <c r="DL262"/>
      <c r="DM262"/>
      <c r="DN262"/>
      <c r="DO262"/>
      <c r="DP262"/>
      <c r="DQ262"/>
      <c r="DR262"/>
      <c r="DS262"/>
      <c r="DT262"/>
      <c r="DU262"/>
      <c r="DV262"/>
      <c r="DW262"/>
      <c r="DX262"/>
      <c r="DY262"/>
      <c r="DZ262"/>
      <c r="EA262"/>
      <c r="EB262"/>
      <c r="EC262"/>
      <c r="ED262"/>
      <c r="EE262"/>
      <c r="EF262"/>
      <c r="EG262"/>
      <c r="EH262"/>
      <c r="EI262"/>
      <c r="EJ262"/>
      <c r="EK262"/>
      <c r="EL262"/>
      <c r="EM262"/>
      <c r="EN262"/>
      <c r="EO262"/>
      <c r="EP262"/>
      <c r="EQ262"/>
      <c r="ER262"/>
      <c r="ES262"/>
      <c r="ET262"/>
      <c r="EU262"/>
      <c r="EV262"/>
      <c r="EW262"/>
      <c r="EX262"/>
      <c r="EY262"/>
      <c r="EZ262"/>
      <c r="FA262"/>
      <c r="FB262"/>
      <c r="FC262"/>
      <c r="FD262"/>
      <c r="FE262"/>
      <c r="FF262"/>
      <c r="FG262"/>
      <c r="FH262"/>
      <c r="FI262"/>
      <c r="FJ262"/>
      <c r="FK262"/>
      <c r="FL262"/>
      <c r="FM262"/>
      <c r="FN262"/>
      <c r="FO262"/>
      <c r="FP262"/>
      <c r="FQ262"/>
      <c r="FR262"/>
      <c r="FS262"/>
      <c r="FT262"/>
      <c r="FU262"/>
      <c r="FV262"/>
      <c r="FW262"/>
      <c r="FX262"/>
      <c r="FY262"/>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c r="JA262"/>
      <c r="JB262"/>
      <c r="JC262"/>
      <c r="JD262"/>
      <c r="JE262"/>
      <c r="JF262"/>
      <c r="JG262"/>
      <c r="JH262"/>
      <c r="JI262"/>
      <c r="JJ262"/>
      <c r="JK262"/>
      <c r="JL262"/>
      <c r="JM262"/>
      <c r="JN262"/>
      <c r="JO262"/>
      <c r="JP262"/>
      <c r="JQ262"/>
      <c r="JR262"/>
      <c r="JS262"/>
      <c r="JT262"/>
      <c r="JU262"/>
      <c r="JV262"/>
      <c r="JW262"/>
      <c r="JX262"/>
      <c r="JY262"/>
      <c r="JZ262"/>
      <c r="KA262"/>
      <c r="KB262"/>
      <c r="KC262"/>
      <c r="KD262"/>
      <c r="KE262"/>
      <c r="KF262"/>
      <c r="KG262"/>
      <c r="KH262"/>
      <c r="KI262"/>
      <c r="KJ262"/>
      <c r="KK262"/>
      <c r="KL262"/>
      <c r="KM262"/>
      <c r="KN262"/>
      <c r="KO262"/>
      <c r="KP262"/>
      <c r="KQ262"/>
      <c r="KR262"/>
      <c r="KS262"/>
    </row>
    <row r="263" spans="2:305" hidden="1" x14ac:dyDescent="0.35">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c r="CU263"/>
      <c r="CV263"/>
      <c r="CW263"/>
      <c r="CX263"/>
      <c r="CY263"/>
      <c r="CZ263"/>
      <c r="DA263"/>
      <c r="DB263"/>
      <c r="DC263"/>
      <c r="DD263"/>
      <c r="DE263"/>
      <c r="DF263"/>
      <c r="DG263"/>
      <c r="DH263"/>
      <c r="DI263"/>
      <c r="DJ263"/>
      <c r="DK263"/>
      <c r="DL263"/>
      <c r="DM263"/>
      <c r="DN263"/>
      <c r="DO263"/>
      <c r="DP263"/>
      <c r="DQ263"/>
      <c r="DR263"/>
      <c r="DS263"/>
      <c r="DT263"/>
      <c r="DU263"/>
      <c r="DV263"/>
      <c r="DW263"/>
      <c r="DX263"/>
      <c r="DY263"/>
      <c r="DZ263"/>
      <c r="EA263"/>
      <c r="EB263"/>
      <c r="EC263"/>
      <c r="ED263"/>
      <c r="EE263"/>
      <c r="EF263"/>
      <c r="EG263"/>
      <c r="EH263"/>
      <c r="EI263"/>
      <c r="EJ263"/>
      <c r="EK263"/>
      <c r="EL263"/>
      <c r="EM263"/>
      <c r="EN263"/>
      <c r="EO263"/>
      <c r="EP263"/>
      <c r="EQ263"/>
      <c r="ER263"/>
      <c r="ES263"/>
      <c r="ET263"/>
      <c r="EU263"/>
      <c r="EV263"/>
      <c r="EW263"/>
      <c r="EX263"/>
      <c r="EY263"/>
      <c r="EZ263"/>
      <c r="FA263"/>
      <c r="FB263"/>
      <c r="FC263"/>
      <c r="FD263"/>
      <c r="FE263"/>
      <c r="FF263"/>
      <c r="FG263"/>
      <c r="FH263"/>
      <c r="FI263"/>
      <c r="FJ263"/>
      <c r="FK263"/>
      <c r="FL263"/>
      <c r="FM263"/>
      <c r="FN263"/>
      <c r="FO263"/>
      <c r="FP263"/>
      <c r="FQ263"/>
      <c r="FR263"/>
      <c r="FS263"/>
      <c r="FT263"/>
      <c r="FU263"/>
      <c r="FV263"/>
      <c r="FW263"/>
      <c r="FX263"/>
      <c r="FY263"/>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c r="JA263"/>
      <c r="JB263"/>
      <c r="JC263"/>
      <c r="JD263"/>
      <c r="JE263"/>
      <c r="JF263"/>
      <c r="JG263"/>
      <c r="JH263"/>
      <c r="JI263"/>
      <c r="JJ263"/>
      <c r="JK263"/>
      <c r="JL263"/>
      <c r="JM263"/>
      <c r="JN263"/>
      <c r="JO263"/>
      <c r="JP263"/>
      <c r="JQ263"/>
      <c r="JR263"/>
      <c r="JS263"/>
      <c r="JT263"/>
      <c r="JU263"/>
      <c r="JV263"/>
      <c r="JW263"/>
      <c r="JX263"/>
      <c r="JY263"/>
      <c r="JZ263"/>
      <c r="KA263"/>
      <c r="KB263"/>
      <c r="KC263"/>
      <c r="KD263"/>
      <c r="KE263"/>
      <c r="KF263"/>
      <c r="KG263"/>
      <c r="KH263"/>
      <c r="KI263"/>
      <c r="KJ263"/>
      <c r="KK263"/>
      <c r="KL263"/>
      <c r="KM263"/>
      <c r="KN263"/>
      <c r="KO263"/>
      <c r="KP263"/>
      <c r="KQ263"/>
      <c r="KR263"/>
      <c r="KS263"/>
    </row>
    <row r="264" spans="2:305" hidden="1" x14ac:dyDescent="0.35">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c r="CU264"/>
      <c r="CV264"/>
      <c r="CW264"/>
      <c r="CX264"/>
      <c r="CY264"/>
      <c r="CZ264"/>
      <c r="DA264"/>
      <c r="DB264"/>
      <c r="DC264"/>
      <c r="DD264"/>
      <c r="DE264"/>
      <c r="DF264"/>
      <c r="DG264"/>
      <c r="DH264"/>
      <c r="DI264"/>
      <c r="DJ264"/>
      <c r="DK264"/>
      <c r="DL264"/>
      <c r="DM264"/>
      <c r="DN264"/>
      <c r="DO264"/>
      <c r="DP264"/>
      <c r="DQ264"/>
      <c r="DR264"/>
      <c r="DS264"/>
      <c r="DT264"/>
      <c r="DU264"/>
      <c r="DV264"/>
      <c r="DW264"/>
      <c r="DX264"/>
      <c r="DY264"/>
      <c r="DZ264"/>
      <c r="EA264"/>
      <c r="EB264"/>
      <c r="EC264"/>
      <c r="ED264"/>
      <c r="EE264"/>
      <c r="EF264"/>
      <c r="EG264"/>
      <c r="EH264"/>
      <c r="EI264"/>
      <c r="EJ264"/>
      <c r="EK264"/>
      <c r="EL264"/>
      <c r="EM264"/>
      <c r="EN264"/>
      <c r="EO264"/>
      <c r="EP264"/>
      <c r="EQ264"/>
      <c r="ER264"/>
      <c r="ES264"/>
      <c r="ET264"/>
      <c r="EU264"/>
      <c r="EV264"/>
      <c r="EW264"/>
      <c r="EX264"/>
      <c r="EY264"/>
      <c r="EZ264"/>
      <c r="FA264"/>
      <c r="FB264"/>
      <c r="FC264"/>
      <c r="FD264"/>
      <c r="FE264"/>
      <c r="FF264"/>
      <c r="FG264"/>
      <c r="FH264"/>
      <c r="FI264"/>
      <c r="FJ264"/>
      <c r="FK264"/>
      <c r="FL264"/>
      <c r="FM264"/>
      <c r="FN264"/>
      <c r="FO264"/>
      <c r="FP264"/>
      <c r="FQ264"/>
      <c r="FR264"/>
      <c r="FS264"/>
      <c r="FT264"/>
      <c r="FU264"/>
      <c r="FV264"/>
      <c r="FW264"/>
      <c r="FX264"/>
      <c r="FY264"/>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c r="JA264"/>
      <c r="JB264"/>
      <c r="JC264"/>
      <c r="JD264"/>
      <c r="JE264"/>
      <c r="JF264"/>
      <c r="JG264"/>
      <c r="JH264"/>
      <c r="JI264"/>
      <c r="JJ264"/>
      <c r="JK264"/>
      <c r="JL264"/>
      <c r="JM264"/>
      <c r="JN264"/>
      <c r="JO264"/>
      <c r="JP264"/>
      <c r="JQ264"/>
      <c r="JR264"/>
      <c r="JS264"/>
      <c r="JT264"/>
      <c r="JU264"/>
      <c r="JV264"/>
      <c r="JW264"/>
      <c r="JX264"/>
      <c r="JY264"/>
      <c r="JZ264"/>
      <c r="KA264"/>
      <c r="KB264"/>
      <c r="KC264"/>
      <c r="KD264"/>
      <c r="KE264"/>
      <c r="KF264"/>
      <c r="KG264"/>
      <c r="KH264"/>
      <c r="KI264"/>
      <c r="KJ264"/>
      <c r="KK264"/>
      <c r="KL264"/>
      <c r="KM264"/>
      <c r="KN264"/>
      <c r="KO264"/>
      <c r="KP264"/>
      <c r="KQ264"/>
      <c r="KR264"/>
      <c r="KS264"/>
    </row>
    <row r="265" spans="2:305" hidden="1" x14ac:dyDescent="0.3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c r="CU265"/>
      <c r="CV265"/>
      <c r="CW265"/>
      <c r="CX265"/>
      <c r="CY265"/>
      <c r="CZ265"/>
      <c r="DA265"/>
      <c r="DB265"/>
      <c r="DC265"/>
      <c r="DD265"/>
      <c r="DE265"/>
      <c r="DF265"/>
      <c r="DG265"/>
      <c r="DH265"/>
      <c r="DI265"/>
      <c r="DJ265"/>
      <c r="DK265"/>
      <c r="DL265"/>
      <c r="DM265"/>
      <c r="DN265"/>
      <c r="DO265"/>
      <c r="DP265"/>
      <c r="DQ265"/>
      <c r="DR265"/>
      <c r="DS265"/>
      <c r="DT265"/>
      <c r="DU265"/>
      <c r="DV265"/>
      <c r="DW265"/>
      <c r="DX265"/>
      <c r="DY265"/>
      <c r="DZ265"/>
      <c r="EA265"/>
      <c r="EB265"/>
      <c r="EC265"/>
      <c r="ED265"/>
      <c r="EE265"/>
      <c r="EF265"/>
      <c r="EG265"/>
      <c r="EH265"/>
      <c r="EI265"/>
      <c r="EJ265"/>
      <c r="EK265"/>
      <c r="EL265"/>
      <c r="EM265"/>
      <c r="EN265"/>
      <c r="EO265"/>
      <c r="EP265"/>
      <c r="EQ265"/>
      <c r="ER265"/>
      <c r="ES265"/>
      <c r="ET265"/>
      <c r="EU265"/>
      <c r="EV265"/>
      <c r="EW265"/>
      <c r="EX265"/>
      <c r="EY265"/>
      <c r="EZ265"/>
      <c r="FA265"/>
      <c r="FB265"/>
      <c r="FC265"/>
      <c r="FD265"/>
      <c r="FE265"/>
      <c r="FF265"/>
      <c r="FG265"/>
      <c r="FH265"/>
      <c r="FI265"/>
      <c r="FJ265"/>
      <c r="FK265"/>
      <c r="FL265"/>
      <c r="FM265"/>
      <c r="FN265"/>
      <c r="FO265"/>
      <c r="FP265"/>
      <c r="FQ265"/>
      <c r="FR265"/>
      <c r="FS265"/>
      <c r="FT265"/>
      <c r="FU265"/>
      <c r="FV265"/>
      <c r="FW265"/>
      <c r="FX265"/>
      <c r="FY265"/>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c r="JA265"/>
      <c r="JB265"/>
      <c r="JC265"/>
      <c r="JD265"/>
      <c r="JE265"/>
      <c r="JF265"/>
      <c r="JG265"/>
      <c r="JH265"/>
      <c r="JI265"/>
      <c r="JJ265"/>
      <c r="JK265"/>
      <c r="JL265"/>
      <c r="JM265"/>
      <c r="JN265"/>
      <c r="JO265"/>
      <c r="JP265"/>
      <c r="JQ265"/>
      <c r="JR265"/>
      <c r="JS265"/>
      <c r="JT265"/>
      <c r="JU265"/>
      <c r="JV265"/>
      <c r="JW265"/>
      <c r="JX265"/>
      <c r="JY265"/>
      <c r="JZ265"/>
      <c r="KA265"/>
      <c r="KB265"/>
      <c r="KC265"/>
      <c r="KD265"/>
      <c r="KE265"/>
      <c r="KF265"/>
      <c r="KG265"/>
      <c r="KH265"/>
      <c r="KI265"/>
      <c r="KJ265"/>
      <c r="KK265"/>
      <c r="KL265"/>
      <c r="KM265"/>
      <c r="KN265"/>
      <c r="KO265"/>
      <c r="KP265"/>
      <c r="KQ265"/>
      <c r="KR265"/>
      <c r="KS265"/>
    </row>
    <row r="266" spans="2:305" hidden="1" x14ac:dyDescent="0.35">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c r="CU266"/>
      <c r="CV266"/>
      <c r="CW266"/>
      <c r="CX266"/>
      <c r="CY266"/>
      <c r="CZ266"/>
      <c r="DA266"/>
      <c r="DB266"/>
      <c r="DC266"/>
      <c r="DD266"/>
      <c r="DE266"/>
      <c r="DF266"/>
      <c r="DG266"/>
      <c r="DH266"/>
      <c r="DI266"/>
      <c r="DJ266"/>
      <c r="DK266"/>
      <c r="DL266"/>
      <c r="DM266"/>
      <c r="DN266"/>
      <c r="DO266"/>
      <c r="DP266"/>
      <c r="DQ266"/>
      <c r="DR266"/>
      <c r="DS266"/>
      <c r="DT266"/>
      <c r="DU266"/>
      <c r="DV266"/>
      <c r="DW266"/>
      <c r="DX266"/>
      <c r="DY266"/>
      <c r="DZ266"/>
      <c r="EA266"/>
      <c r="EB266"/>
      <c r="EC266"/>
      <c r="ED266"/>
      <c r="EE266"/>
      <c r="EF266"/>
      <c r="EG266"/>
      <c r="EH266"/>
      <c r="EI266"/>
      <c r="EJ266"/>
      <c r="EK266"/>
      <c r="EL266"/>
      <c r="EM266"/>
      <c r="EN266"/>
      <c r="EO266"/>
      <c r="EP266"/>
      <c r="EQ266"/>
      <c r="ER266"/>
      <c r="ES266"/>
      <c r="ET266"/>
      <c r="EU266"/>
      <c r="EV266"/>
      <c r="EW266"/>
      <c r="EX266"/>
      <c r="EY266"/>
      <c r="EZ266"/>
      <c r="FA266"/>
      <c r="FB266"/>
      <c r="FC266"/>
      <c r="FD266"/>
      <c r="FE266"/>
      <c r="FF266"/>
      <c r="FG266"/>
      <c r="FH266"/>
      <c r="FI266"/>
      <c r="FJ266"/>
      <c r="FK266"/>
      <c r="FL266"/>
      <c r="FM266"/>
      <c r="FN266"/>
      <c r="FO266"/>
      <c r="FP266"/>
      <c r="FQ266"/>
      <c r="FR266"/>
      <c r="FS266"/>
      <c r="FT266"/>
      <c r="FU266"/>
      <c r="FV266"/>
      <c r="FW266"/>
      <c r="FX266"/>
      <c r="FY266"/>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c r="JA266"/>
      <c r="JB266"/>
      <c r="JC266"/>
      <c r="JD266"/>
      <c r="JE266"/>
      <c r="JF266"/>
      <c r="JG266"/>
      <c r="JH266"/>
      <c r="JI266"/>
      <c r="JJ266"/>
      <c r="JK266"/>
      <c r="JL266"/>
      <c r="JM266"/>
      <c r="JN266"/>
      <c r="JO266"/>
      <c r="JP266"/>
      <c r="JQ266"/>
      <c r="JR266"/>
      <c r="JS266"/>
      <c r="JT266"/>
      <c r="JU266"/>
      <c r="JV266"/>
      <c r="JW266"/>
      <c r="JX266"/>
      <c r="JY266"/>
      <c r="JZ266"/>
      <c r="KA266"/>
      <c r="KB266"/>
      <c r="KC266"/>
      <c r="KD266"/>
      <c r="KE266"/>
      <c r="KF266"/>
      <c r="KG266"/>
      <c r="KH266"/>
      <c r="KI266"/>
      <c r="KJ266"/>
      <c r="KK266"/>
      <c r="KL266"/>
      <c r="KM266"/>
      <c r="KN266"/>
      <c r="KO266"/>
      <c r="KP266"/>
      <c r="KQ266"/>
      <c r="KR266"/>
      <c r="KS266"/>
    </row>
    <row r="267" spans="2:305" hidden="1" x14ac:dyDescent="0.35">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c r="CU267"/>
      <c r="CV267"/>
      <c r="CW267"/>
      <c r="CX267"/>
      <c r="CY267"/>
      <c r="CZ267"/>
      <c r="DA267"/>
      <c r="DB267"/>
      <c r="DC267"/>
      <c r="DD267"/>
      <c r="DE267"/>
      <c r="DF267"/>
      <c r="DG267"/>
      <c r="DH267"/>
      <c r="DI267"/>
      <c r="DJ267"/>
      <c r="DK267"/>
      <c r="DL267"/>
      <c r="DM267"/>
      <c r="DN267"/>
      <c r="DO267"/>
      <c r="DP267"/>
      <c r="DQ267"/>
      <c r="DR267"/>
      <c r="DS267"/>
      <c r="DT267"/>
      <c r="DU267"/>
      <c r="DV267"/>
      <c r="DW267"/>
      <c r="DX267"/>
      <c r="DY267"/>
      <c r="DZ267"/>
      <c r="EA267"/>
      <c r="EB267"/>
      <c r="EC267"/>
      <c r="ED267"/>
      <c r="EE267"/>
      <c r="EF267"/>
      <c r="EG267"/>
      <c r="EH267"/>
      <c r="EI267"/>
      <c r="EJ267"/>
      <c r="EK267"/>
      <c r="EL267"/>
      <c r="EM267"/>
      <c r="EN267"/>
      <c r="EO267"/>
      <c r="EP267"/>
      <c r="EQ267"/>
      <c r="ER267"/>
      <c r="ES267"/>
      <c r="ET267"/>
      <c r="EU267"/>
      <c r="EV267"/>
      <c r="EW267"/>
      <c r="EX267"/>
      <c r="EY267"/>
      <c r="EZ267"/>
      <c r="FA267"/>
      <c r="FB267"/>
      <c r="FC267"/>
      <c r="FD267"/>
      <c r="FE267"/>
      <c r="FF267"/>
      <c r="FG267"/>
      <c r="FH267"/>
      <c r="FI267"/>
      <c r="FJ267"/>
      <c r="FK267"/>
      <c r="FL267"/>
      <c r="FM267"/>
      <c r="FN267"/>
      <c r="FO267"/>
      <c r="FP267"/>
      <c r="FQ267"/>
      <c r="FR267"/>
      <c r="FS267"/>
      <c r="FT267"/>
      <c r="FU267"/>
      <c r="FV267"/>
      <c r="FW267"/>
      <c r="FX267"/>
      <c r="FY26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c r="JA267"/>
      <c r="JB267"/>
      <c r="JC267"/>
      <c r="JD267"/>
      <c r="JE267"/>
      <c r="JF267"/>
      <c r="JG267"/>
      <c r="JH267"/>
      <c r="JI267"/>
      <c r="JJ267"/>
      <c r="JK267"/>
      <c r="JL267"/>
      <c r="JM267"/>
      <c r="JN267"/>
      <c r="JO267"/>
      <c r="JP267"/>
      <c r="JQ267"/>
      <c r="JR267"/>
      <c r="JS267"/>
      <c r="JT267"/>
      <c r="JU267"/>
      <c r="JV267"/>
      <c r="JW267"/>
      <c r="JX267"/>
      <c r="JY267"/>
      <c r="JZ267"/>
      <c r="KA267"/>
      <c r="KB267"/>
      <c r="KC267"/>
      <c r="KD267"/>
      <c r="KE267"/>
      <c r="KF267"/>
      <c r="KG267"/>
      <c r="KH267"/>
      <c r="KI267"/>
      <c r="KJ267"/>
      <c r="KK267"/>
      <c r="KL267"/>
      <c r="KM267"/>
      <c r="KN267"/>
      <c r="KO267"/>
      <c r="KP267"/>
      <c r="KQ267"/>
      <c r="KR267"/>
      <c r="KS267"/>
    </row>
    <row r="268" spans="2:305" hidden="1" x14ac:dyDescent="0.35">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c r="CU268"/>
      <c r="CV268"/>
      <c r="CW268"/>
      <c r="CX268"/>
      <c r="CY268"/>
      <c r="CZ268"/>
      <c r="DA268"/>
      <c r="DB268"/>
      <c r="DC268"/>
      <c r="DD268"/>
      <c r="DE268"/>
      <c r="DF268"/>
      <c r="DG268"/>
      <c r="DH268"/>
      <c r="DI268"/>
      <c r="DJ268"/>
      <c r="DK268"/>
      <c r="DL268"/>
      <c r="DM268"/>
      <c r="DN268"/>
      <c r="DO268"/>
      <c r="DP268"/>
      <c r="DQ268"/>
      <c r="DR268"/>
      <c r="DS268"/>
      <c r="DT268"/>
      <c r="DU268"/>
      <c r="DV268"/>
      <c r="DW268"/>
      <c r="DX268"/>
      <c r="DY268"/>
      <c r="DZ268"/>
      <c r="EA268"/>
      <c r="EB268"/>
      <c r="EC268"/>
      <c r="ED268"/>
      <c r="EE268"/>
      <c r="EF268"/>
      <c r="EG268"/>
      <c r="EH268"/>
      <c r="EI268"/>
      <c r="EJ268"/>
      <c r="EK268"/>
      <c r="EL268"/>
      <c r="EM268"/>
      <c r="EN268"/>
      <c r="EO268"/>
      <c r="EP268"/>
      <c r="EQ268"/>
      <c r="ER268"/>
      <c r="ES268"/>
      <c r="ET268"/>
      <c r="EU268"/>
      <c r="EV268"/>
      <c r="EW268"/>
      <c r="EX268"/>
      <c r="EY268"/>
      <c r="EZ268"/>
      <c r="FA268"/>
      <c r="FB268"/>
      <c r="FC268"/>
      <c r="FD268"/>
      <c r="FE268"/>
      <c r="FF268"/>
      <c r="FG268"/>
      <c r="FH268"/>
      <c r="FI268"/>
      <c r="FJ268"/>
      <c r="FK268"/>
      <c r="FL268"/>
      <c r="FM268"/>
      <c r="FN268"/>
      <c r="FO268"/>
      <c r="FP268"/>
      <c r="FQ268"/>
      <c r="FR268"/>
      <c r="FS268"/>
      <c r="FT268"/>
      <c r="FU268"/>
      <c r="FV268"/>
      <c r="FW268"/>
      <c r="FX268"/>
      <c r="FY268"/>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c r="JA268"/>
      <c r="JB268"/>
      <c r="JC268"/>
      <c r="JD268"/>
      <c r="JE268"/>
      <c r="JF268"/>
      <c r="JG268"/>
      <c r="JH268"/>
      <c r="JI268"/>
      <c r="JJ268"/>
      <c r="JK268"/>
      <c r="JL268"/>
      <c r="JM268"/>
      <c r="JN268"/>
      <c r="JO268"/>
      <c r="JP268"/>
      <c r="JQ268"/>
      <c r="JR268"/>
      <c r="JS268"/>
      <c r="JT268"/>
      <c r="JU268"/>
      <c r="JV268"/>
      <c r="JW268"/>
      <c r="JX268"/>
      <c r="JY268"/>
      <c r="JZ268"/>
      <c r="KA268"/>
      <c r="KB268"/>
      <c r="KC268"/>
      <c r="KD268"/>
      <c r="KE268"/>
      <c r="KF268"/>
      <c r="KG268"/>
      <c r="KH268"/>
      <c r="KI268"/>
      <c r="KJ268"/>
      <c r="KK268"/>
      <c r="KL268"/>
      <c r="KM268"/>
      <c r="KN268"/>
      <c r="KO268"/>
      <c r="KP268"/>
      <c r="KQ268"/>
      <c r="KR268"/>
      <c r="KS268"/>
    </row>
    <row r="269" spans="2:305" hidden="1" x14ac:dyDescent="0.35">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c r="CU269"/>
      <c r="CV269"/>
      <c r="CW269"/>
      <c r="CX269"/>
      <c r="CY269"/>
      <c r="CZ269"/>
      <c r="DA269"/>
      <c r="DB269"/>
      <c r="DC269"/>
      <c r="DD269"/>
      <c r="DE269"/>
      <c r="DF269"/>
      <c r="DG269"/>
      <c r="DH269"/>
      <c r="DI269"/>
      <c r="DJ269"/>
      <c r="DK269"/>
      <c r="DL269"/>
      <c r="DM269"/>
      <c r="DN269"/>
      <c r="DO269"/>
      <c r="DP269"/>
      <c r="DQ269"/>
      <c r="DR269"/>
      <c r="DS269"/>
      <c r="DT269"/>
      <c r="DU269"/>
      <c r="DV269"/>
      <c r="DW269"/>
      <c r="DX269"/>
      <c r="DY269"/>
      <c r="DZ269"/>
      <c r="EA269"/>
      <c r="EB269"/>
      <c r="EC269"/>
      <c r="ED269"/>
      <c r="EE269"/>
      <c r="EF269"/>
      <c r="EG269"/>
      <c r="EH269"/>
      <c r="EI269"/>
      <c r="EJ269"/>
      <c r="EK269"/>
      <c r="EL269"/>
      <c r="EM269"/>
      <c r="EN269"/>
      <c r="EO269"/>
      <c r="EP269"/>
      <c r="EQ269"/>
      <c r="ER269"/>
      <c r="ES269"/>
      <c r="ET269"/>
      <c r="EU269"/>
      <c r="EV269"/>
      <c r="EW269"/>
      <c r="EX269"/>
      <c r="EY269"/>
      <c r="EZ269"/>
      <c r="FA269"/>
      <c r="FB269"/>
      <c r="FC269"/>
      <c r="FD269"/>
      <c r="FE269"/>
      <c r="FF269"/>
      <c r="FG269"/>
      <c r="FH269"/>
      <c r="FI269"/>
      <c r="FJ269"/>
      <c r="FK269"/>
      <c r="FL269"/>
      <c r="FM269"/>
      <c r="FN269"/>
      <c r="FO269"/>
      <c r="FP269"/>
      <c r="FQ269"/>
      <c r="FR269"/>
      <c r="FS269"/>
      <c r="FT269"/>
      <c r="FU269"/>
      <c r="FV269"/>
      <c r="FW269"/>
      <c r="FX269"/>
      <c r="FY269"/>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c r="JA269"/>
      <c r="JB269"/>
      <c r="JC269"/>
      <c r="JD269"/>
      <c r="JE269"/>
      <c r="JF269"/>
      <c r="JG269"/>
      <c r="JH269"/>
      <c r="JI269"/>
      <c r="JJ269"/>
      <c r="JK269"/>
      <c r="JL269"/>
      <c r="JM269"/>
      <c r="JN269"/>
      <c r="JO269"/>
      <c r="JP269"/>
      <c r="JQ269"/>
      <c r="JR269"/>
      <c r="JS269"/>
      <c r="JT269"/>
      <c r="JU269"/>
      <c r="JV269"/>
      <c r="JW269"/>
      <c r="JX269"/>
      <c r="JY269"/>
      <c r="JZ269"/>
      <c r="KA269"/>
      <c r="KB269"/>
      <c r="KC269"/>
      <c r="KD269"/>
      <c r="KE269"/>
      <c r="KF269"/>
      <c r="KG269"/>
      <c r="KH269"/>
      <c r="KI269"/>
      <c r="KJ269"/>
      <c r="KK269"/>
      <c r="KL269"/>
      <c r="KM269"/>
      <c r="KN269"/>
      <c r="KO269"/>
      <c r="KP269"/>
      <c r="KQ269"/>
      <c r="KR269"/>
      <c r="KS269"/>
    </row>
    <row r="270" spans="2:305" hidden="1" x14ac:dyDescent="0.35">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c r="CU270"/>
      <c r="CV270"/>
      <c r="CW270"/>
      <c r="CX270"/>
      <c r="CY270"/>
      <c r="CZ270"/>
      <c r="DA270"/>
      <c r="DB270"/>
      <c r="DC270"/>
      <c r="DD270"/>
      <c r="DE270"/>
      <c r="DF270"/>
      <c r="DG270"/>
      <c r="DH270"/>
      <c r="DI270"/>
      <c r="DJ270"/>
      <c r="DK270"/>
      <c r="DL270"/>
      <c r="DM270"/>
      <c r="DN270"/>
      <c r="DO270"/>
      <c r="DP270"/>
      <c r="DQ270"/>
      <c r="DR270"/>
      <c r="DS270"/>
      <c r="DT270"/>
      <c r="DU270"/>
      <c r="DV270"/>
      <c r="DW270"/>
      <c r="DX270"/>
      <c r="DY270"/>
      <c r="DZ270"/>
      <c r="EA270"/>
      <c r="EB270"/>
      <c r="EC270"/>
      <c r="ED270"/>
      <c r="EE270"/>
      <c r="EF270"/>
      <c r="EG270"/>
      <c r="EH270"/>
      <c r="EI270"/>
      <c r="EJ270"/>
      <c r="EK270"/>
      <c r="EL270"/>
      <c r="EM270"/>
      <c r="EN270"/>
      <c r="EO270"/>
      <c r="EP270"/>
      <c r="EQ270"/>
      <c r="ER270"/>
      <c r="ES270"/>
      <c r="ET270"/>
      <c r="EU270"/>
      <c r="EV270"/>
      <c r="EW270"/>
      <c r="EX270"/>
      <c r="EY270"/>
      <c r="EZ270"/>
      <c r="FA270"/>
      <c r="FB270"/>
      <c r="FC270"/>
      <c r="FD270"/>
      <c r="FE270"/>
      <c r="FF270"/>
      <c r="FG270"/>
      <c r="FH270"/>
      <c r="FI270"/>
      <c r="FJ270"/>
      <c r="FK270"/>
      <c r="FL270"/>
      <c r="FM270"/>
      <c r="FN270"/>
      <c r="FO270"/>
      <c r="FP270"/>
      <c r="FQ270"/>
      <c r="FR270"/>
      <c r="FS270"/>
      <c r="FT270"/>
      <c r="FU270"/>
      <c r="FV270"/>
      <c r="FW270"/>
      <c r="FX270"/>
      <c r="FY270"/>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c r="JA270"/>
      <c r="JB270"/>
      <c r="JC270"/>
      <c r="JD270"/>
      <c r="JE270"/>
      <c r="JF270"/>
      <c r="JG270"/>
      <c r="JH270"/>
      <c r="JI270"/>
      <c r="JJ270"/>
      <c r="JK270"/>
      <c r="JL270"/>
      <c r="JM270"/>
      <c r="JN270"/>
      <c r="JO270"/>
      <c r="JP270"/>
      <c r="JQ270"/>
      <c r="JR270"/>
      <c r="JS270"/>
      <c r="JT270"/>
      <c r="JU270"/>
      <c r="JV270"/>
      <c r="JW270"/>
      <c r="JX270"/>
      <c r="JY270"/>
      <c r="JZ270"/>
      <c r="KA270"/>
      <c r="KB270"/>
      <c r="KC270"/>
      <c r="KD270"/>
      <c r="KE270"/>
      <c r="KF270"/>
      <c r="KG270"/>
      <c r="KH270"/>
      <c r="KI270"/>
      <c r="KJ270"/>
      <c r="KK270"/>
      <c r="KL270"/>
      <c r="KM270"/>
      <c r="KN270"/>
      <c r="KO270"/>
      <c r="KP270"/>
      <c r="KQ270"/>
      <c r="KR270"/>
      <c r="KS270"/>
    </row>
    <row r="271" spans="2:305" hidden="1" x14ac:dyDescent="0.35">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c r="CU271"/>
      <c r="CV271"/>
      <c r="CW271"/>
      <c r="CX271"/>
      <c r="CY271"/>
      <c r="CZ271"/>
      <c r="DA271"/>
      <c r="DB271"/>
      <c r="DC271"/>
      <c r="DD271"/>
      <c r="DE271"/>
      <c r="DF271"/>
      <c r="DG271"/>
      <c r="DH271"/>
      <c r="DI271"/>
      <c r="DJ271"/>
      <c r="DK271"/>
      <c r="DL271"/>
      <c r="DM271"/>
      <c r="DN271"/>
      <c r="DO271"/>
      <c r="DP271"/>
      <c r="DQ271"/>
      <c r="DR271"/>
      <c r="DS271"/>
      <c r="DT271"/>
      <c r="DU271"/>
      <c r="DV271"/>
      <c r="DW271"/>
      <c r="DX271"/>
      <c r="DY271"/>
      <c r="DZ271"/>
      <c r="EA271"/>
      <c r="EB271"/>
      <c r="EC271"/>
      <c r="ED271"/>
      <c r="EE271"/>
      <c r="EF271"/>
      <c r="EG271"/>
      <c r="EH271"/>
      <c r="EI271"/>
      <c r="EJ271"/>
      <c r="EK271"/>
      <c r="EL271"/>
      <c r="EM271"/>
      <c r="EN271"/>
      <c r="EO271"/>
      <c r="EP271"/>
      <c r="EQ271"/>
      <c r="ER271"/>
      <c r="ES271"/>
      <c r="ET271"/>
      <c r="EU271"/>
      <c r="EV271"/>
      <c r="EW271"/>
      <c r="EX271"/>
      <c r="EY271"/>
      <c r="EZ271"/>
      <c r="FA271"/>
      <c r="FB271"/>
      <c r="FC271"/>
      <c r="FD271"/>
      <c r="FE271"/>
      <c r="FF271"/>
      <c r="FG271"/>
      <c r="FH271"/>
      <c r="FI271"/>
      <c r="FJ271"/>
      <c r="FK271"/>
      <c r="FL271"/>
      <c r="FM271"/>
      <c r="FN271"/>
      <c r="FO271"/>
      <c r="FP271"/>
      <c r="FQ271"/>
      <c r="FR271"/>
      <c r="FS271"/>
      <c r="FT271"/>
      <c r="FU271"/>
      <c r="FV271"/>
      <c r="FW271"/>
      <c r="FX271"/>
      <c r="FY271"/>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c r="JA271"/>
      <c r="JB271"/>
      <c r="JC271"/>
      <c r="JD271"/>
      <c r="JE271"/>
      <c r="JF271"/>
      <c r="JG271"/>
      <c r="JH271"/>
      <c r="JI271"/>
      <c r="JJ271"/>
      <c r="JK271"/>
      <c r="JL271"/>
      <c r="JM271"/>
      <c r="JN271"/>
      <c r="JO271"/>
      <c r="JP271"/>
      <c r="JQ271"/>
      <c r="JR271"/>
      <c r="JS271"/>
      <c r="JT271"/>
      <c r="JU271"/>
      <c r="JV271"/>
      <c r="JW271"/>
      <c r="JX271"/>
      <c r="JY271"/>
      <c r="JZ271"/>
      <c r="KA271"/>
      <c r="KB271"/>
      <c r="KC271"/>
      <c r="KD271"/>
      <c r="KE271"/>
      <c r="KF271"/>
      <c r="KG271"/>
      <c r="KH271"/>
      <c r="KI271"/>
      <c r="KJ271"/>
      <c r="KK271"/>
      <c r="KL271"/>
      <c r="KM271"/>
      <c r="KN271"/>
      <c r="KO271"/>
      <c r="KP271"/>
      <c r="KQ271"/>
      <c r="KR271"/>
      <c r="KS271"/>
    </row>
    <row r="272" spans="2:305" hidden="1" x14ac:dyDescent="0.35">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c r="CU272"/>
      <c r="CV272"/>
      <c r="CW272"/>
      <c r="CX272"/>
      <c r="CY272"/>
      <c r="CZ272"/>
      <c r="DA272"/>
      <c r="DB272"/>
      <c r="DC272"/>
      <c r="DD272"/>
      <c r="DE272"/>
      <c r="DF272"/>
      <c r="DG272"/>
      <c r="DH272"/>
      <c r="DI272"/>
      <c r="DJ272"/>
      <c r="DK272"/>
      <c r="DL272"/>
      <c r="DM272"/>
      <c r="DN272"/>
      <c r="DO272"/>
      <c r="DP272"/>
      <c r="DQ272"/>
      <c r="DR272"/>
      <c r="DS272"/>
      <c r="DT272"/>
      <c r="DU272"/>
      <c r="DV272"/>
      <c r="DW272"/>
      <c r="DX272"/>
      <c r="DY272"/>
      <c r="DZ272"/>
      <c r="EA272"/>
      <c r="EB272"/>
      <c r="EC272"/>
      <c r="ED272"/>
      <c r="EE272"/>
      <c r="EF272"/>
      <c r="EG272"/>
      <c r="EH272"/>
      <c r="EI272"/>
      <c r="EJ272"/>
      <c r="EK272"/>
      <c r="EL272"/>
      <c r="EM272"/>
      <c r="EN272"/>
      <c r="EO272"/>
      <c r="EP272"/>
      <c r="EQ272"/>
      <c r="ER272"/>
      <c r="ES272"/>
      <c r="ET272"/>
      <c r="EU272"/>
      <c r="EV272"/>
      <c r="EW272"/>
      <c r="EX272"/>
      <c r="EY272"/>
      <c r="EZ272"/>
      <c r="FA272"/>
      <c r="FB272"/>
      <c r="FC272"/>
      <c r="FD272"/>
      <c r="FE272"/>
      <c r="FF272"/>
      <c r="FG272"/>
      <c r="FH272"/>
      <c r="FI272"/>
      <c r="FJ272"/>
      <c r="FK272"/>
      <c r="FL272"/>
      <c r="FM272"/>
      <c r="FN272"/>
      <c r="FO272"/>
      <c r="FP272"/>
      <c r="FQ272"/>
      <c r="FR272"/>
      <c r="FS272"/>
      <c r="FT272"/>
      <c r="FU272"/>
      <c r="FV272"/>
      <c r="FW272"/>
      <c r="FX272"/>
      <c r="FY272"/>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c r="JA272"/>
      <c r="JB272"/>
      <c r="JC272"/>
      <c r="JD272"/>
      <c r="JE272"/>
      <c r="JF272"/>
      <c r="JG272"/>
      <c r="JH272"/>
      <c r="JI272"/>
      <c r="JJ272"/>
      <c r="JK272"/>
      <c r="JL272"/>
      <c r="JM272"/>
      <c r="JN272"/>
      <c r="JO272"/>
      <c r="JP272"/>
      <c r="JQ272"/>
      <c r="JR272"/>
      <c r="JS272"/>
      <c r="JT272"/>
      <c r="JU272"/>
      <c r="JV272"/>
      <c r="JW272"/>
      <c r="JX272"/>
      <c r="JY272"/>
      <c r="JZ272"/>
      <c r="KA272"/>
      <c r="KB272"/>
      <c r="KC272"/>
      <c r="KD272"/>
      <c r="KE272"/>
      <c r="KF272"/>
      <c r="KG272"/>
      <c r="KH272"/>
      <c r="KI272"/>
      <c r="KJ272"/>
      <c r="KK272"/>
      <c r="KL272"/>
      <c r="KM272"/>
      <c r="KN272"/>
      <c r="KO272"/>
      <c r="KP272"/>
      <c r="KQ272"/>
      <c r="KR272"/>
      <c r="KS272"/>
    </row>
    <row r="273" spans="2:305" hidden="1" x14ac:dyDescent="0.35">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c r="CU273"/>
      <c r="CV273"/>
      <c r="CW273"/>
      <c r="CX273"/>
      <c r="CY273"/>
      <c r="CZ273"/>
      <c r="DA273"/>
      <c r="DB273"/>
      <c r="DC273"/>
      <c r="DD273"/>
      <c r="DE273"/>
      <c r="DF273"/>
      <c r="DG273"/>
      <c r="DH273"/>
      <c r="DI273"/>
      <c r="DJ273"/>
      <c r="DK273"/>
      <c r="DL273"/>
      <c r="DM273"/>
      <c r="DN273"/>
      <c r="DO273"/>
      <c r="DP273"/>
      <c r="DQ273"/>
      <c r="DR273"/>
      <c r="DS273"/>
      <c r="DT273"/>
      <c r="DU273"/>
      <c r="DV273"/>
      <c r="DW273"/>
      <c r="DX273"/>
      <c r="DY273"/>
      <c r="DZ273"/>
      <c r="EA273"/>
      <c r="EB273"/>
      <c r="EC273"/>
      <c r="ED273"/>
      <c r="EE273"/>
      <c r="EF273"/>
      <c r="EG273"/>
      <c r="EH273"/>
      <c r="EI273"/>
      <c r="EJ273"/>
      <c r="EK273"/>
      <c r="EL273"/>
      <c r="EM273"/>
      <c r="EN273"/>
      <c r="EO273"/>
      <c r="EP273"/>
      <c r="EQ273"/>
      <c r="ER273"/>
      <c r="ES273"/>
      <c r="ET273"/>
      <c r="EU273"/>
      <c r="EV273"/>
      <c r="EW273"/>
      <c r="EX273"/>
      <c r="EY273"/>
      <c r="EZ273"/>
      <c r="FA273"/>
      <c r="FB273"/>
      <c r="FC273"/>
      <c r="FD273"/>
      <c r="FE273"/>
      <c r="FF273"/>
      <c r="FG273"/>
      <c r="FH273"/>
      <c r="FI273"/>
      <c r="FJ273"/>
      <c r="FK273"/>
      <c r="FL273"/>
      <c r="FM273"/>
      <c r="FN273"/>
      <c r="FO273"/>
      <c r="FP273"/>
      <c r="FQ273"/>
      <c r="FR273"/>
      <c r="FS273"/>
      <c r="FT273"/>
      <c r="FU273"/>
      <c r="FV273"/>
      <c r="FW273"/>
      <c r="FX273"/>
      <c r="FY273"/>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c r="JA273"/>
      <c r="JB273"/>
      <c r="JC273"/>
      <c r="JD273"/>
      <c r="JE273"/>
      <c r="JF273"/>
      <c r="JG273"/>
      <c r="JH273"/>
      <c r="JI273"/>
      <c r="JJ273"/>
      <c r="JK273"/>
      <c r="JL273"/>
      <c r="JM273"/>
      <c r="JN273"/>
      <c r="JO273"/>
      <c r="JP273"/>
      <c r="JQ273"/>
      <c r="JR273"/>
      <c r="JS273"/>
      <c r="JT273"/>
      <c r="JU273"/>
      <c r="JV273"/>
      <c r="JW273"/>
      <c r="JX273"/>
      <c r="JY273"/>
      <c r="JZ273"/>
      <c r="KA273"/>
      <c r="KB273"/>
      <c r="KC273"/>
      <c r="KD273"/>
      <c r="KE273"/>
      <c r="KF273"/>
      <c r="KG273"/>
      <c r="KH273"/>
      <c r="KI273"/>
      <c r="KJ273"/>
      <c r="KK273"/>
      <c r="KL273"/>
      <c r="KM273"/>
      <c r="KN273"/>
      <c r="KO273"/>
      <c r="KP273"/>
      <c r="KQ273"/>
      <c r="KR273"/>
      <c r="KS273"/>
    </row>
    <row r="274" spans="2:305" hidden="1" x14ac:dyDescent="0.35">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c r="CU274"/>
      <c r="CV274"/>
      <c r="CW274"/>
      <c r="CX274"/>
      <c r="CY274"/>
      <c r="CZ274"/>
      <c r="DA274"/>
      <c r="DB274"/>
      <c r="DC274"/>
      <c r="DD274"/>
      <c r="DE274"/>
      <c r="DF274"/>
      <c r="DG274"/>
      <c r="DH274"/>
      <c r="DI274"/>
      <c r="DJ274"/>
      <c r="DK274"/>
      <c r="DL274"/>
      <c r="DM274"/>
      <c r="DN274"/>
      <c r="DO274"/>
      <c r="DP274"/>
      <c r="DQ274"/>
      <c r="DR274"/>
      <c r="DS274"/>
      <c r="DT274"/>
      <c r="DU274"/>
      <c r="DV274"/>
      <c r="DW274"/>
      <c r="DX274"/>
      <c r="DY274"/>
      <c r="DZ274"/>
      <c r="EA274"/>
      <c r="EB274"/>
      <c r="EC274"/>
      <c r="ED274"/>
      <c r="EE274"/>
      <c r="EF274"/>
      <c r="EG274"/>
      <c r="EH274"/>
      <c r="EI274"/>
      <c r="EJ274"/>
      <c r="EK274"/>
      <c r="EL274"/>
      <c r="EM274"/>
      <c r="EN274"/>
      <c r="EO274"/>
      <c r="EP274"/>
      <c r="EQ274"/>
      <c r="ER274"/>
      <c r="ES274"/>
      <c r="ET274"/>
      <c r="EU274"/>
      <c r="EV274"/>
      <c r="EW274"/>
      <c r="EX274"/>
      <c r="EY274"/>
      <c r="EZ274"/>
      <c r="FA274"/>
      <c r="FB274"/>
      <c r="FC274"/>
      <c r="FD274"/>
      <c r="FE274"/>
      <c r="FF274"/>
      <c r="FG274"/>
      <c r="FH274"/>
      <c r="FI274"/>
      <c r="FJ274"/>
      <c r="FK274"/>
      <c r="FL274"/>
      <c r="FM274"/>
      <c r="FN274"/>
      <c r="FO274"/>
      <c r="FP274"/>
      <c r="FQ274"/>
      <c r="FR274"/>
      <c r="FS274"/>
      <c r="FT274"/>
      <c r="FU274"/>
      <c r="FV274"/>
      <c r="FW274"/>
      <c r="FX274"/>
      <c r="FY274"/>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c r="JA274"/>
      <c r="JB274"/>
      <c r="JC274"/>
      <c r="JD274"/>
      <c r="JE274"/>
      <c r="JF274"/>
      <c r="JG274"/>
      <c r="JH274"/>
      <c r="JI274"/>
      <c r="JJ274"/>
      <c r="JK274"/>
      <c r="JL274"/>
      <c r="JM274"/>
      <c r="JN274"/>
      <c r="JO274"/>
      <c r="JP274"/>
      <c r="JQ274"/>
      <c r="JR274"/>
      <c r="JS274"/>
      <c r="JT274"/>
      <c r="JU274"/>
      <c r="JV274"/>
      <c r="JW274"/>
      <c r="JX274"/>
      <c r="JY274"/>
      <c r="JZ274"/>
      <c r="KA274"/>
      <c r="KB274"/>
      <c r="KC274"/>
      <c r="KD274"/>
      <c r="KE274"/>
      <c r="KF274"/>
      <c r="KG274"/>
      <c r="KH274"/>
      <c r="KI274"/>
      <c r="KJ274"/>
      <c r="KK274"/>
      <c r="KL274"/>
      <c r="KM274"/>
      <c r="KN274"/>
      <c r="KO274"/>
      <c r="KP274"/>
      <c r="KQ274"/>
      <c r="KR274"/>
      <c r="KS274"/>
    </row>
    <row r="275" spans="2:305" hidden="1" x14ac:dyDescent="0.3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c r="CU275"/>
      <c r="CV275"/>
      <c r="CW275"/>
      <c r="CX275"/>
      <c r="CY275"/>
      <c r="CZ275"/>
      <c r="DA275"/>
      <c r="DB275"/>
      <c r="DC275"/>
      <c r="DD275"/>
      <c r="DE275"/>
      <c r="DF275"/>
      <c r="DG275"/>
      <c r="DH275"/>
      <c r="DI275"/>
      <c r="DJ275"/>
      <c r="DK275"/>
      <c r="DL275"/>
      <c r="DM275"/>
      <c r="DN275"/>
      <c r="DO275"/>
      <c r="DP275"/>
      <c r="DQ275"/>
      <c r="DR275"/>
      <c r="DS275"/>
      <c r="DT275"/>
      <c r="DU275"/>
      <c r="DV275"/>
      <c r="DW275"/>
      <c r="DX275"/>
      <c r="DY275"/>
      <c r="DZ275"/>
      <c r="EA275"/>
      <c r="EB275"/>
      <c r="EC275"/>
      <c r="ED275"/>
      <c r="EE275"/>
      <c r="EF275"/>
      <c r="EG275"/>
      <c r="EH275"/>
      <c r="EI275"/>
      <c r="EJ275"/>
      <c r="EK275"/>
      <c r="EL275"/>
      <c r="EM275"/>
      <c r="EN275"/>
      <c r="EO275"/>
      <c r="EP275"/>
      <c r="EQ275"/>
      <c r="ER275"/>
      <c r="ES275"/>
      <c r="ET275"/>
      <c r="EU275"/>
      <c r="EV275"/>
      <c r="EW275"/>
      <c r="EX275"/>
      <c r="EY275"/>
      <c r="EZ275"/>
      <c r="FA275"/>
      <c r="FB275"/>
      <c r="FC275"/>
      <c r="FD275"/>
      <c r="FE275"/>
      <c r="FF275"/>
      <c r="FG275"/>
      <c r="FH275"/>
      <c r="FI275"/>
      <c r="FJ275"/>
      <c r="FK275"/>
      <c r="FL275"/>
      <c r="FM275"/>
      <c r="FN275"/>
      <c r="FO275"/>
      <c r="FP275"/>
      <c r="FQ275"/>
      <c r="FR275"/>
      <c r="FS275"/>
      <c r="FT275"/>
      <c r="FU275"/>
      <c r="FV275"/>
      <c r="FW275"/>
      <c r="FX275"/>
      <c r="FY275"/>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c r="JA275"/>
      <c r="JB275"/>
      <c r="JC275"/>
      <c r="JD275"/>
      <c r="JE275"/>
      <c r="JF275"/>
      <c r="JG275"/>
      <c r="JH275"/>
      <c r="JI275"/>
      <c r="JJ275"/>
      <c r="JK275"/>
      <c r="JL275"/>
      <c r="JM275"/>
      <c r="JN275"/>
      <c r="JO275"/>
      <c r="JP275"/>
      <c r="JQ275"/>
      <c r="JR275"/>
      <c r="JS275"/>
      <c r="JT275"/>
      <c r="JU275"/>
      <c r="JV275"/>
      <c r="JW275"/>
      <c r="JX275"/>
      <c r="JY275"/>
      <c r="JZ275"/>
      <c r="KA275"/>
      <c r="KB275"/>
      <c r="KC275"/>
      <c r="KD275"/>
      <c r="KE275"/>
      <c r="KF275"/>
      <c r="KG275"/>
      <c r="KH275"/>
      <c r="KI275"/>
      <c r="KJ275"/>
      <c r="KK275"/>
      <c r="KL275"/>
      <c r="KM275"/>
      <c r="KN275"/>
      <c r="KO275"/>
      <c r="KP275"/>
      <c r="KQ275"/>
      <c r="KR275"/>
      <c r="KS275"/>
    </row>
    <row r="276" spans="2:305" hidden="1" x14ac:dyDescent="0.35">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c r="CU276"/>
      <c r="CV276"/>
      <c r="CW276"/>
      <c r="CX276"/>
      <c r="CY276"/>
      <c r="CZ276"/>
      <c r="DA276"/>
      <c r="DB276"/>
      <c r="DC276"/>
      <c r="DD276"/>
      <c r="DE276"/>
      <c r="DF276"/>
      <c r="DG276"/>
      <c r="DH276"/>
      <c r="DI276"/>
      <c r="DJ276"/>
      <c r="DK276"/>
      <c r="DL276"/>
      <c r="DM276"/>
      <c r="DN276"/>
      <c r="DO276"/>
      <c r="DP276"/>
      <c r="DQ276"/>
      <c r="DR276"/>
      <c r="DS276"/>
      <c r="DT276"/>
      <c r="DU276"/>
      <c r="DV276"/>
      <c r="DW276"/>
      <c r="DX276"/>
      <c r="DY276"/>
      <c r="DZ276"/>
      <c r="EA276"/>
      <c r="EB276"/>
      <c r="EC276"/>
      <c r="ED276"/>
      <c r="EE276"/>
      <c r="EF276"/>
      <c r="EG276"/>
      <c r="EH276"/>
      <c r="EI276"/>
      <c r="EJ276"/>
      <c r="EK276"/>
      <c r="EL276"/>
      <c r="EM276"/>
      <c r="EN276"/>
      <c r="EO276"/>
      <c r="EP276"/>
      <c r="EQ276"/>
      <c r="ER276"/>
      <c r="ES276"/>
      <c r="ET276"/>
      <c r="EU276"/>
      <c r="EV276"/>
      <c r="EW276"/>
      <c r="EX276"/>
      <c r="EY276"/>
      <c r="EZ276"/>
      <c r="FA276"/>
      <c r="FB276"/>
      <c r="FC276"/>
      <c r="FD276"/>
      <c r="FE276"/>
      <c r="FF276"/>
      <c r="FG276"/>
      <c r="FH276"/>
      <c r="FI276"/>
      <c r="FJ276"/>
      <c r="FK276"/>
      <c r="FL276"/>
      <c r="FM276"/>
      <c r="FN276"/>
      <c r="FO276"/>
      <c r="FP276"/>
      <c r="FQ276"/>
      <c r="FR276"/>
      <c r="FS276"/>
      <c r="FT276"/>
      <c r="FU276"/>
      <c r="FV276"/>
      <c r="FW276"/>
      <c r="FX276"/>
      <c r="FY276"/>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c r="JA276"/>
      <c r="JB276"/>
      <c r="JC276"/>
      <c r="JD276"/>
      <c r="JE276"/>
      <c r="JF276"/>
      <c r="JG276"/>
      <c r="JH276"/>
      <c r="JI276"/>
      <c r="JJ276"/>
      <c r="JK276"/>
      <c r="JL276"/>
      <c r="JM276"/>
      <c r="JN276"/>
      <c r="JO276"/>
      <c r="JP276"/>
      <c r="JQ276"/>
      <c r="JR276"/>
      <c r="JS276"/>
      <c r="JT276"/>
      <c r="JU276"/>
      <c r="JV276"/>
      <c r="JW276"/>
      <c r="JX276"/>
      <c r="JY276"/>
      <c r="JZ276"/>
      <c r="KA276"/>
      <c r="KB276"/>
      <c r="KC276"/>
      <c r="KD276"/>
      <c r="KE276"/>
      <c r="KF276"/>
      <c r="KG276"/>
      <c r="KH276"/>
      <c r="KI276"/>
      <c r="KJ276"/>
      <c r="KK276"/>
      <c r="KL276"/>
      <c r="KM276"/>
      <c r="KN276"/>
      <c r="KO276"/>
      <c r="KP276"/>
      <c r="KQ276"/>
      <c r="KR276"/>
      <c r="KS276"/>
    </row>
    <row r="277" spans="2:305" hidden="1" x14ac:dyDescent="0.35">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c r="CU277"/>
      <c r="CV277"/>
      <c r="CW277"/>
      <c r="CX277"/>
      <c r="CY277"/>
      <c r="CZ277"/>
      <c r="DA277"/>
      <c r="DB277"/>
      <c r="DC277"/>
      <c r="DD277"/>
      <c r="DE277"/>
      <c r="DF277"/>
      <c r="DG277"/>
      <c r="DH277"/>
      <c r="DI277"/>
      <c r="DJ277"/>
      <c r="DK277"/>
      <c r="DL277"/>
      <c r="DM277"/>
      <c r="DN277"/>
      <c r="DO277"/>
      <c r="DP277"/>
      <c r="DQ277"/>
      <c r="DR277"/>
      <c r="DS277"/>
      <c r="DT277"/>
      <c r="DU277"/>
      <c r="DV277"/>
      <c r="DW277"/>
      <c r="DX277"/>
      <c r="DY277"/>
      <c r="DZ277"/>
      <c r="EA277"/>
      <c r="EB277"/>
      <c r="EC277"/>
      <c r="ED277"/>
      <c r="EE277"/>
      <c r="EF277"/>
      <c r="EG277"/>
      <c r="EH277"/>
      <c r="EI277"/>
      <c r="EJ277"/>
      <c r="EK277"/>
      <c r="EL277"/>
      <c r="EM277"/>
      <c r="EN277"/>
      <c r="EO277"/>
      <c r="EP277"/>
      <c r="EQ277"/>
      <c r="ER277"/>
      <c r="ES277"/>
      <c r="ET277"/>
      <c r="EU277"/>
      <c r="EV277"/>
      <c r="EW277"/>
      <c r="EX277"/>
      <c r="EY277"/>
      <c r="EZ277"/>
      <c r="FA277"/>
      <c r="FB277"/>
      <c r="FC277"/>
      <c r="FD277"/>
      <c r="FE277"/>
      <c r="FF277"/>
      <c r="FG277"/>
      <c r="FH277"/>
      <c r="FI277"/>
      <c r="FJ277"/>
      <c r="FK277"/>
      <c r="FL277"/>
      <c r="FM277"/>
      <c r="FN277"/>
      <c r="FO277"/>
      <c r="FP277"/>
      <c r="FQ277"/>
      <c r="FR277"/>
      <c r="FS277"/>
      <c r="FT277"/>
      <c r="FU277"/>
      <c r="FV277"/>
      <c r="FW277"/>
      <c r="FX277"/>
      <c r="FY277"/>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c r="JA277"/>
      <c r="JB277"/>
      <c r="JC277"/>
      <c r="JD277"/>
      <c r="JE277"/>
      <c r="JF277"/>
      <c r="JG277"/>
      <c r="JH277"/>
      <c r="JI277"/>
      <c r="JJ277"/>
      <c r="JK277"/>
      <c r="JL277"/>
      <c r="JM277"/>
      <c r="JN277"/>
      <c r="JO277"/>
      <c r="JP277"/>
      <c r="JQ277"/>
      <c r="JR277"/>
      <c r="JS277"/>
      <c r="JT277"/>
      <c r="JU277"/>
      <c r="JV277"/>
      <c r="JW277"/>
      <c r="JX277"/>
      <c r="JY277"/>
      <c r="JZ277"/>
      <c r="KA277"/>
      <c r="KB277"/>
      <c r="KC277"/>
      <c r="KD277"/>
      <c r="KE277"/>
      <c r="KF277"/>
      <c r="KG277"/>
      <c r="KH277"/>
      <c r="KI277"/>
      <c r="KJ277"/>
      <c r="KK277"/>
      <c r="KL277"/>
      <c r="KM277"/>
      <c r="KN277"/>
      <c r="KO277"/>
      <c r="KP277"/>
      <c r="KQ277"/>
      <c r="KR277"/>
      <c r="KS277"/>
    </row>
    <row r="278" spans="2:305" hidden="1" x14ac:dyDescent="0.35">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c r="CU278"/>
      <c r="CV278"/>
      <c r="CW278"/>
      <c r="CX278"/>
      <c r="CY278"/>
      <c r="CZ278"/>
      <c r="DA278"/>
      <c r="DB278"/>
      <c r="DC278"/>
      <c r="DD278"/>
      <c r="DE278"/>
      <c r="DF278"/>
      <c r="DG278"/>
      <c r="DH278"/>
      <c r="DI278"/>
      <c r="DJ278"/>
      <c r="DK278"/>
      <c r="DL278"/>
      <c r="DM278"/>
      <c r="DN278"/>
      <c r="DO278"/>
      <c r="DP278"/>
      <c r="DQ278"/>
      <c r="DR278"/>
      <c r="DS278"/>
      <c r="DT278"/>
      <c r="DU278"/>
      <c r="DV278"/>
      <c r="DW278"/>
      <c r="DX278"/>
      <c r="DY278"/>
      <c r="DZ278"/>
      <c r="EA278"/>
      <c r="EB278"/>
      <c r="EC278"/>
      <c r="ED278"/>
      <c r="EE278"/>
      <c r="EF278"/>
      <c r="EG278"/>
      <c r="EH278"/>
      <c r="EI278"/>
      <c r="EJ278"/>
      <c r="EK278"/>
      <c r="EL278"/>
      <c r="EM278"/>
      <c r="EN278"/>
      <c r="EO278"/>
      <c r="EP278"/>
      <c r="EQ278"/>
      <c r="ER278"/>
      <c r="ES278"/>
      <c r="ET278"/>
      <c r="EU278"/>
      <c r="EV278"/>
      <c r="EW278"/>
      <c r="EX278"/>
      <c r="EY278"/>
      <c r="EZ278"/>
      <c r="FA278"/>
      <c r="FB278"/>
      <c r="FC278"/>
      <c r="FD278"/>
      <c r="FE278"/>
      <c r="FF278"/>
      <c r="FG278"/>
      <c r="FH278"/>
      <c r="FI278"/>
      <c r="FJ278"/>
      <c r="FK278"/>
      <c r="FL278"/>
      <c r="FM278"/>
      <c r="FN278"/>
      <c r="FO278"/>
      <c r="FP278"/>
      <c r="FQ278"/>
      <c r="FR278"/>
      <c r="FS278"/>
      <c r="FT278"/>
      <c r="FU278"/>
      <c r="FV278"/>
      <c r="FW278"/>
      <c r="FX278"/>
      <c r="FY278"/>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c r="JA278"/>
      <c r="JB278"/>
      <c r="JC278"/>
      <c r="JD278"/>
      <c r="JE278"/>
      <c r="JF278"/>
      <c r="JG278"/>
      <c r="JH278"/>
      <c r="JI278"/>
      <c r="JJ278"/>
      <c r="JK278"/>
      <c r="JL278"/>
      <c r="JM278"/>
      <c r="JN278"/>
      <c r="JO278"/>
      <c r="JP278"/>
      <c r="JQ278"/>
      <c r="JR278"/>
      <c r="JS278"/>
      <c r="JT278"/>
      <c r="JU278"/>
      <c r="JV278"/>
      <c r="JW278"/>
      <c r="JX278"/>
      <c r="JY278"/>
      <c r="JZ278"/>
      <c r="KA278"/>
      <c r="KB278"/>
      <c r="KC278"/>
      <c r="KD278"/>
      <c r="KE278"/>
      <c r="KF278"/>
      <c r="KG278"/>
      <c r="KH278"/>
      <c r="KI278"/>
      <c r="KJ278"/>
      <c r="KK278"/>
      <c r="KL278"/>
      <c r="KM278"/>
      <c r="KN278"/>
      <c r="KO278"/>
      <c r="KP278"/>
      <c r="KQ278"/>
      <c r="KR278"/>
      <c r="KS278"/>
    </row>
    <row r="279" spans="2:305" hidden="1" x14ac:dyDescent="0.35">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c r="CU279"/>
      <c r="CV279"/>
      <c r="CW279"/>
      <c r="CX279"/>
      <c r="CY279"/>
      <c r="CZ279"/>
      <c r="DA279"/>
      <c r="DB279"/>
      <c r="DC279"/>
      <c r="DD279"/>
      <c r="DE279"/>
      <c r="DF279"/>
      <c r="DG279"/>
      <c r="DH279"/>
      <c r="DI279"/>
      <c r="DJ279"/>
      <c r="DK279"/>
      <c r="DL279"/>
      <c r="DM279"/>
      <c r="DN279"/>
      <c r="DO279"/>
      <c r="DP279"/>
      <c r="DQ279"/>
      <c r="DR279"/>
      <c r="DS279"/>
      <c r="DT279"/>
      <c r="DU279"/>
      <c r="DV279"/>
      <c r="DW279"/>
      <c r="DX279"/>
      <c r="DY279"/>
      <c r="DZ279"/>
      <c r="EA279"/>
      <c r="EB279"/>
      <c r="EC279"/>
      <c r="ED279"/>
      <c r="EE279"/>
      <c r="EF279"/>
      <c r="EG279"/>
      <c r="EH279"/>
      <c r="EI279"/>
      <c r="EJ279"/>
      <c r="EK279"/>
      <c r="EL279"/>
      <c r="EM279"/>
      <c r="EN279"/>
      <c r="EO279"/>
      <c r="EP279"/>
      <c r="EQ279"/>
      <c r="ER279"/>
      <c r="ES279"/>
      <c r="ET279"/>
      <c r="EU279"/>
      <c r="EV279"/>
      <c r="EW279"/>
      <c r="EX279"/>
      <c r="EY279"/>
      <c r="EZ279"/>
      <c r="FA279"/>
      <c r="FB279"/>
      <c r="FC279"/>
      <c r="FD279"/>
      <c r="FE279"/>
      <c r="FF279"/>
      <c r="FG279"/>
      <c r="FH279"/>
      <c r="FI279"/>
      <c r="FJ279"/>
      <c r="FK279"/>
      <c r="FL279"/>
      <c r="FM279"/>
      <c r="FN279"/>
      <c r="FO279"/>
      <c r="FP279"/>
      <c r="FQ279"/>
      <c r="FR279"/>
      <c r="FS279"/>
      <c r="FT279"/>
      <c r="FU279"/>
      <c r="FV279"/>
      <c r="FW279"/>
      <c r="FX279"/>
      <c r="FY279"/>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c r="JA279"/>
      <c r="JB279"/>
      <c r="JC279"/>
      <c r="JD279"/>
      <c r="JE279"/>
      <c r="JF279"/>
      <c r="JG279"/>
      <c r="JH279"/>
      <c r="JI279"/>
      <c r="JJ279"/>
      <c r="JK279"/>
      <c r="JL279"/>
      <c r="JM279"/>
      <c r="JN279"/>
      <c r="JO279"/>
      <c r="JP279"/>
      <c r="JQ279"/>
      <c r="JR279"/>
      <c r="JS279"/>
      <c r="JT279"/>
      <c r="JU279"/>
      <c r="JV279"/>
      <c r="JW279"/>
      <c r="JX279"/>
      <c r="JY279"/>
      <c r="JZ279"/>
      <c r="KA279"/>
      <c r="KB279"/>
      <c r="KC279"/>
      <c r="KD279"/>
      <c r="KE279"/>
      <c r="KF279"/>
      <c r="KG279"/>
      <c r="KH279"/>
      <c r="KI279"/>
      <c r="KJ279"/>
      <c r="KK279"/>
      <c r="KL279"/>
      <c r="KM279"/>
      <c r="KN279"/>
      <c r="KO279"/>
      <c r="KP279"/>
      <c r="KQ279"/>
      <c r="KR279"/>
      <c r="KS279"/>
    </row>
    <row r="280" spans="2:305" hidden="1" x14ac:dyDescent="0.35">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c r="CU280"/>
      <c r="CV280"/>
      <c r="CW280"/>
      <c r="CX280"/>
      <c r="CY280"/>
      <c r="CZ280"/>
      <c r="DA280"/>
      <c r="DB280"/>
      <c r="DC280"/>
      <c r="DD280"/>
      <c r="DE280"/>
      <c r="DF280"/>
      <c r="DG280"/>
      <c r="DH280"/>
      <c r="DI280"/>
      <c r="DJ280"/>
      <c r="DK280"/>
      <c r="DL280"/>
      <c r="DM280"/>
      <c r="DN280"/>
      <c r="DO280"/>
      <c r="DP280"/>
      <c r="DQ280"/>
      <c r="DR280"/>
      <c r="DS280"/>
      <c r="DT280"/>
      <c r="DU280"/>
      <c r="DV280"/>
      <c r="DW280"/>
      <c r="DX280"/>
      <c r="DY280"/>
      <c r="DZ280"/>
      <c r="EA280"/>
      <c r="EB280"/>
      <c r="EC280"/>
      <c r="ED280"/>
      <c r="EE280"/>
      <c r="EF280"/>
      <c r="EG280"/>
      <c r="EH280"/>
      <c r="EI280"/>
      <c r="EJ280"/>
      <c r="EK280"/>
      <c r="EL280"/>
      <c r="EM280"/>
      <c r="EN280"/>
      <c r="EO280"/>
      <c r="EP280"/>
      <c r="EQ280"/>
      <c r="ER280"/>
      <c r="ES280"/>
      <c r="ET280"/>
      <c r="EU280"/>
      <c r="EV280"/>
      <c r="EW280"/>
      <c r="EX280"/>
      <c r="EY280"/>
      <c r="EZ280"/>
      <c r="FA280"/>
      <c r="FB280"/>
      <c r="FC280"/>
      <c r="FD280"/>
      <c r="FE280"/>
      <c r="FF280"/>
      <c r="FG280"/>
      <c r="FH280"/>
      <c r="FI280"/>
      <c r="FJ280"/>
      <c r="FK280"/>
      <c r="FL280"/>
      <c r="FM280"/>
      <c r="FN280"/>
      <c r="FO280"/>
      <c r="FP280"/>
      <c r="FQ280"/>
      <c r="FR280"/>
      <c r="FS280"/>
      <c r="FT280"/>
      <c r="FU280"/>
      <c r="FV280"/>
      <c r="FW280"/>
      <c r="FX280"/>
      <c r="FY280"/>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c r="JA280"/>
      <c r="JB280"/>
      <c r="JC280"/>
      <c r="JD280"/>
      <c r="JE280"/>
      <c r="JF280"/>
      <c r="JG280"/>
      <c r="JH280"/>
      <c r="JI280"/>
      <c r="JJ280"/>
      <c r="JK280"/>
      <c r="JL280"/>
      <c r="JM280"/>
      <c r="JN280"/>
      <c r="JO280"/>
      <c r="JP280"/>
      <c r="JQ280"/>
      <c r="JR280"/>
      <c r="JS280"/>
      <c r="JT280"/>
      <c r="JU280"/>
      <c r="JV280"/>
      <c r="JW280"/>
      <c r="JX280"/>
      <c r="JY280"/>
      <c r="JZ280"/>
      <c r="KA280"/>
      <c r="KB280"/>
      <c r="KC280"/>
      <c r="KD280"/>
      <c r="KE280"/>
      <c r="KF280"/>
      <c r="KG280"/>
      <c r="KH280"/>
      <c r="KI280"/>
      <c r="KJ280"/>
      <c r="KK280"/>
      <c r="KL280"/>
      <c r="KM280"/>
      <c r="KN280"/>
      <c r="KO280"/>
      <c r="KP280"/>
      <c r="KQ280"/>
      <c r="KR280"/>
      <c r="KS280"/>
    </row>
    <row r="281" spans="2:305" hidden="1" x14ac:dyDescent="0.35">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c r="CU281"/>
      <c r="CV281"/>
      <c r="CW281"/>
      <c r="CX281"/>
      <c r="CY281"/>
      <c r="CZ281"/>
      <c r="DA281"/>
      <c r="DB281"/>
      <c r="DC281"/>
      <c r="DD281"/>
      <c r="DE281"/>
      <c r="DF281"/>
      <c r="DG281"/>
      <c r="DH281"/>
      <c r="DI281"/>
      <c r="DJ281"/>
      <c r="DK281"/>
      <c r="DL281"/>
      <c r="DM281"/>
      <c r="DN281"/>
      <c r="DO281"/>
      <c r="DP281"/>
      <c r="DQ281"/>
      <c r="DR281"/>
      <c r="DS281"/>
      <c r="DT281"/>
      <c r="DU281"/>
      <c r="DV281"/>
      <c r="DW281"/>
      <c r="DX281"/>
      <c r="DY281"/>
      <c r="DZ281"/>
      <c r="EA281"/>
      <c r="EB281"/>
      <c r="EC281"/>
      <c r="ED281"/>
      <c r="EE281"/>
      <c r="EF281"/>
      <c r="EG281"/>
      <c r="EH281"/>
      <c r="EI281"/>
      <c r="EJ281"/>
      <c r="EK281"/>
      <c r="EL281"/>
      <c r="EM281"/>
      <c r="EN281"/>
      <c r="EO281"/>
      <c r="EP281"/>
      <c r="EQ281"/>
      <c r="ER281"/>
      <c r="ES281"/>
      <c r="ET281"/>
      <c r="EU281"/>
      <c r="EV281"/>
      <c r="EW281"/>
      <c r="EX281"/>
      <c r="EY281"/>
      <c r="EZ281"/>
      <c r="FA281"/>
      <c r="FB281"/>
      <c r="FC281"/>
      <c r="FD281"/>
      <c r="FE281"/>
      <c r="FF281"/>
      <c r="FG281"/>
      <c r="FH281"/>
      <c r="FI281"/>
      <c r="FJ281"/>
      <c r="FK281"/>
      <c r="FL281"/>
      <c r="FM281"/>
      <c r="FN281"/>
      <c r="FO281"/>
      <c r="FP281"/>
      <c r="FQ281"/>
      <c r="FR281"/>
      <c r="FS281"/>
      <c r="FT281"/>
      <c r="FU281"/>
      <c r="FV281"/>
      <c r="FW281"/>
      <c r="FX281"/>
      <c r="FY281"/>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c r="JA281"/>
      <c r="JB281"/>
      <c r="JC281"/>
      <c r="JD281"/>
      <c r="JE281"/>
      <c r="JF281"/>
      <c r="JG281"/>
      <c r="JH281"/>
      <c r="JI281"/>
      <c r="JJ281"/>
      <c r="JK281"/>
      <c r="JL281"/>
      <c r="JM281"/>
      <c r="JN281"/>
      <c r="JO281"/>
      <c r="JP281"/>
      <c r="JQ281"/>
      <c r="JR281"/>
      <c r="JS281"/>
      <c r="JT281"/>
      <c r="JU281"/>
      <c r="JV281"/>
      <c r="JW281"/>
      <c r="JX281"/>
      <c r="JY281"/>
      <c r="JZ281"/>
      <c r="KA281"/>
      <c r="KB281"/>
      <c r="KC281"/>
      <c r="KD281"/>
      <c r="KE281"/>
      <c r="KF281"/>
      <c r="KG281"/>
      <c r="KH281"/>
      <c r="KI281"/>
      <c r="KJ281"/>
      <c r="KK281"/>
      <c r="KL281"/>
      <c r="KM281"/>
      <c r="KN281"/>
      <c r="KO281"/>
      <c r="KP281"/>
      <c r="KQ281"/>
      <c r="KR281"/>
      <c r="KS281"/>
    </row>
    <row r="282" spans="2:305" hidden="1" x14ac:dyDescent="0.35">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c r="CU282"/>
      <c r="CV282"/>
      <c r="CW282"/>
      <c r="CX282"/>
      <c r="CY282"/>
      <c r="CZ282"/>
      <c r="DA282"/>
      <c r="DB282"/>
      <c r="DC282"/>
      <c r="DD282"/>
      <c r="DE282"/>
      <c r="DF282"/>
      <c r="DG282"/>
      <c r="DH282"/>
      <c r="DI282"/>
      <c r="DJ282"/>
      <c r="DK282"/>
      <c r="DL282"/>
      <c r="DM282"/>
      <c r="DN282"/>
      <c r="DO282"/>
      <c r="DP282"/>
      <c r="DQ282"/>
      <c r="DR282"/>
      <c r="DS282"/>
      <c r="DT282"/>
      <c r="DU282"/>
      <c r="DV282"/>
      <c r="DW282"/>
      <c r="DX282"/>
      <c r="DY282"/>
      <c r="DZ282"/>
      <c r="EA282"/>
      <c r="EB282"/>
      <c r="EC282"/>
      <c r="ED282"/>
      <c r="EE282"/>
      <c r="EF282"/>
      <c r="EG282"/>
      <c r="EH282"/>
      <c r="EI282"/>
      <c r="EJ282"/>
      <c r="EK282"/>
      <c r="EL282"/>
      <c r="EM282"/>
      <c r="EN282"/>
      <c r="EO282"/>
      <c r="EP282"/>
      <c r="EQ282"/>
      <c r="ER282"/>
      <c r="ES282"/>
      <c r="ET282"/>
      <c r="EU282"/>
      <c r="EV282"/>
      <c r="EW282"/>
      <c r="EX282"/>
      <c r="EY282"/>
      <c r="EZ282"/>
      <c r="FA282"/>
      <c r="FB282"/>
      <c r="FC282"/>
      <c r="FD282"/>
      <c r="FE282"/>
      <c r="FF282"/>
      <c r="FG282"/>
      <c r="FH282"/>
      <c r="FI282"/>
      <c r="FJ282"/>
      <c r="FK282"/>
      <c r="FL282"/>
      <c r="FM282"/>
      <c r="FN282"/>
      <c r="FO282"/>
      <c r="FP282"/>
      <c r="FQ282"/>
      <c r="FR282"/>
      <c r="FS282"/>
      <c r="FT282"/>
      <c r="FU282"/>
      <c r="FV282"/>
      <c r="FW282"/>
      <c r="FX282"/>
      <c r="FY28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c r="JA282"/>
      <c r="JB282"/>
      <c r="JC282"/>
      <c r="JD282"/>
      <c r="JE282"/>
      <c r="JF282"/>
      <c r="JG282"/>
      <c r="JH282"/>
      <c r="JI282"/>
      <c r="JJ282"/>
      <c r="JK282"/>
      <c r="JL282"/>
      <c r="JM282"/>
      <c r="JN282"/>
      <c r="JO282"/>
      <c r="JP282"/>
      <c r="JQ282"/>
      <c r="JR282"/>
      <c r="JS282"/>
      <c r="JT282"/>
      <c r="JU282"/>
      <c r="JV282"/>
      <c r="JW282"/>
      <c r="JX282"/>
      <c r="JY282"/>
      <c r="JZ282"/>
      <c r="KA282"/>
      <c r="KB282"/>
      <c r="KC282"/>
      <c r="KD282"/>
      <c r="KE282"/>
      <c r="KF282"/>
      <c r="KG282"/>
      <c r="KH282"/>
      <c r="KI282"/>
      <c r="KJ282"/>
      <c r="KK282"/>
      <c r="KL282"/>
      <c r="KM282"/>
      <c r="KN282"/>
      <c r="KO282"/>
      <c r="KP282"/>
      <c r="KQ282"/>
      <c r="KR282"/>
      <c r="KS282"/>
    </row>
    <row r="283" spans="2:305" hidden="1" x14ac:dyDescent="0.35">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c r="CU283"/>
      <c r="CV283"/>
      <c r="CW283"/>
      <c r="CX283"/>
      <c r="CY283"/>
      <c r="CZ283"/>
      <c r="DA283"/>
      <c r="DB283"/>
      <c r="DC283"/>
      <c r="DD283"/>
      <c r="DE283"/>
      <c r="DF283"/>
      <c r="DG283"/>
      <c r="DH283"/>
      <c r="DI283"/>
      <c r="DJ283"/>
      <c r="DK283"/>
      <c r="DL283"/>
      <c r="DM283"/>
      <c r="DN283"/>
      <c r="DO283"/>
      <c r="DP283"/>
      <c r="DQ283"/>
      <c r="DR283"/>
      <c r="DS283"/>
      <c r="DT283"/>
      <c r="DU283"/>
      <c r="DV283"/>
      <c r="DW283"/>
      <c r="DX283"/>
      <c r="DY283"/>
      <c r="DZ283"/>
      <c r="EA283"/>
      <c r="EB283"/>
      <c r="EC283"/>
      <c r="ED283"/>
      <c r="EE283"/>
      <c r="EF283"/>
      <c r="EG283"/>
      <c r="EH283"/>
      <c r="EI283"/>
      <c r="EJ283"/>
      <c r="EK283"/>
      <c r="EL283"/>
      <c r="EM283"/>
      <c r="EN283"/>
      <c r="EO283"/>
      <c r="EP283"/>
      <c r="EQ283"/>
      <c r="ER283"/>
      <c r="ES283"/>
      <c r="ET283"/>
      <c r="EU283"/>
      <c r="EV283"/>
      <c r="EW283"/>
      <c r="EX283"/>
      <c r="EY283"/>
      <c r="EZ283"/>
      <c r="FA283"/>
      <c r="FB283"/>
      <c r="FC283"/>
      <c r="FD283"/>
      <c r="FE283"/>
      <c r="FF283"/>
      <c r="FG283"/>
      <c r="FH283"/>
      <c r="FI283"/>
      <c r="FJ283"/>
      <c r="FK283"/>
      <c r="FL283"/>
      <c r="FM283"/>
      <c r="FN283"/>
      <c r="FO283"/>
      <c r="FP283"/>
      <c r="FQ283"/>
      <c r="FR283"/>
      <c r="FS283"/>
      <c r="FT283"/>
      <c r="FU283"/>
      <c r="FV283"/>
      <c r="FW283"/>
      <c r="FX283"/>
      <c r="FY283"/>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c r="JA283"/>
      <c r="JB283"/>
      <c r="JC283"/>
      <c r="JD283"/>
      <c r="JE283"/>
      <c r="JF283"/>
      <c r="JG283"/>
      <c r="JH283"/>
      <c r="JI283"/>
      <c r="JJ283"/>
      <c r="JK283"/>
      <c r="JL283"/>
      <c r="JM283"/>
      <c r="JN283"/>
      <c r="JO283"/>
      <c r="JP283"/>
      <c r="JQ283"/>
      <c r="JR283"/>
      <c r="JS283"/>
      <c r="JT283"/>
      <c r="JU283"/>
      <c r="JV283"/>
      <c r="JW283"/>
      <c r="JX283"/>
      <c r="JY283"/>
      <c r="JZ283"/>
      <c r="KA283"/>
      <c r="KB283"/>
      <c r="KC283"/>
      <c r="KD283"/>
      <c r="KE283"/>
      <c r="KF283"/>
      <c r="KG283"/>
      <c r="KH283"/>
      <c r="KI283"/>
      <c r="KJ283"/>
      <c r="KK283"/>
      <c r="KL283"/>
      <c r="KM283"/>
      <c r="KN283"/>
      <c r="KO283"/>
      <c r="KP283"/>
      <c r="KQ283"/>
      <c r="KR283"/>
      <c r="KS283"/>
    </row>
    <row r="284" spans="2:305" hidden="1" x14ac:dyDescent="0.35">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c r="CU284"/>
      <c r="CV284"/>
      <c r="CW284"/>
      <c r="CX284"/>
      <c r="CY284"/>
      <c r="CZ284"/>
      <c r="DA284"/>
      <c r="DB284"/>
      <c r="DC284"/>
      <c r="DD284"/>
      <c r="DE284"/>
      <c r="DF284"/>
      <c r="DG284"/>
      <c r="DH284"/>
      <c r="DI284"/>
      <c r="DJ284"/>
      <c r="DK284"/>
      <c r="DL284"/>
      <c r="DM284"/>
      <c r="DN284"/>
      <c r="DO284"/>
      <c r="DP284"/>
      <c r="DQ284"/>
      <c r="DR284"/>
      <c r="DS284"/>
      <c r="DT284"/>
      <c r="DU284"/>
      <c r="DV284"/>
      <c r="DW284"/>
      <c r="DX284"/>
      <c r="DY284"/>
      <c r="DZ284"/>
      <c r="EA284"/>
      <c r="EB284"/>
      <c r="EC284"/>
      <c r="ED284"/>
      <c r="EE284"/>
      <c r="EF284"/>
      <c r="EG284"/>
      <c r="EH284"/>
      <c r="EI284"/>
      <c r="EJ284"/>
      <c r="EK284"/>
      <c r="EL284"/>
      <c r="EM284"/>
      <c r="EN284"/>
      <c r="EO284"/>
      <c r="EP284"/>
      <c r="EQ284"/>
      <c r="ER284"/>
      <c r="ES284"/>
      <c r="ET284"/>
      <c r="EU284"/>
      <c r="EV284"/>
      <c r="EW284"/>
      <c r="EX284"/>
      <c r="EY284"/>
      <c r="EZ284"/>
      <c r="FA284"/>
      <c r="FB284"/>
      <c r="FC284"/>
      <c r="FD284"/>
      <c r="FE284"/>
      <c r="FF284"/>
      <c r="FG284"/>
      <c r="FH284"/>
      <c r="FI284"/>
      <c r="FJ284"/>
      <c r="FK284"/>
      <c r="FL284"/>
      <c r="FM284"/>
      <c r="FN284"/>
      <c r="FO284"/>
      <c r="FP284"/>
      <c r="FQ284"/>
      <c r="FR284"/>
      <c r="FS284"/>
      <c r="FT284"/>
      <c r="FU284"/>
      <c r="FV284"/>
      <c r="FW284"/>
      <c r="FX284"/>
      <c r="FY284"/>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c r="JA284"/>
      <c r="JB284"/>
      <c r="JC284"/>
      <c r="JD284"/>
      <c r="JE284"/>
      <c r="JF284"/>
      <c r="JG284"/>
      <c r="JH284"/>
      <c r="JI284"/>
      <c r="JJ284"/>
      <c r="JK284"/>
      <c r="JL284"/>
      <c r="JM284"/>
      <c r="JN284"/>
      <c r="JO284"/>
      <c r="JP284"/>
      <c r="JQ284"/>
      <c r="JR284"/>
      <c r="JS284"/>
      <c r="JT284"/>
      <c r="JU284"/>
      <c r="JV284"/>
      <c r="JW284"/>
      <c r="JX284"/>
      <c r="JY284"/>
      <c r="JZ284"/>
      <c r="KA284"/>
      <c r="KB284"/>
      <c r="KC284"/>
      <c r="KD284"/>
      <c r="KE284"/>
      <c r="KF284"/>
      <c r="KG284"/>
      <c r="KH284"/>
      <c r="KI284"/>
      <c r="KJ284"/>
      <c r="KK284"/>
      <c r="KL284"/>
      <c r="KM284"/>
      <c r="KN284"/>
      <c r="KO284"/>
      <c r="KP284"/>
      <c r="KQ284"/>
      <c r="KR284"/>
      <c r="KS284"/>
    </row>
    <row r="285" spans="2:305" hidden="1" x14ac:dyDescent="0.3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c r="CU285"/>
      <c r="CV285"/>
      <c r="CW285"/>
      <c r="CX285"/>
      <c r="CY285"/>
      <c r="CZ285"/>
      <c r="DA285"/>
      <c r="DB285"/>
      <c r="DC285"/>
      <c r="DD285"/>
      <c r="DE285"/>
      <c r="DF285"/>
      <c r="DG285"/>
      <c r="DH285"/>
      <c r="DI285"/>
      <c r="DJ285"/>
      <c r="DK285"/>
      <c r="DL285"/>
      <c r="DM285"/>
      <c r="DN285"/>
      <c r="DO285"/>
      <c r="DP285"/>
      <c r="DQ285"/>
      <c r="DR285"/>
      <c r="DS285"/>
      <c r="DT285"/>
      <c r="DU285"/>
      <c r="DV285"/>
      <c r="DW285"/>
      <c r="DX285"/>
      <c r="DY285"/>
      <c r="DZ285"/>
      <c r="EA285"/>
      <c r="EB285"/>
      <c r="EC285"/>
      <c r="ED285"/>
      <c r="EE285"/>
      <c r="EF285"/>
      <c r="EG285"/>
      <c r="EH285"/>
      <c r="EI285"/>
      <c r="EJ285"/>
      <c r="EK285"/>
      <c r="EL285"/>
      <c r="EM285"/>
      <c r="EN285"/>
      <c r="EO285"/>
      <c r="EP285"/>
      <c r="EQ285"/>
      <c r="ER285"/>
      <c r="ES285"/>
      <c r="ET285"/>
      <c r="EU285"/>
      <c r="EV285"/>
      <c r="EW285"/>
      <c r="EX285"/>
      <c r="EY285"/>
      <c r="EZ285"/>
      <c r="FA285"/>
      <c r="FB285"/>
      <c r="FC285"/>
      <c r="FD285"/>
      <c r="FE285"/>
      <c r="FF285"/>
      <c r="FG285"/>
      <c r="FH285"/>
      <c r="FI285"/>
      <c r="FJ285"/>
      <c r="FK285"/>
      <c r="FL285"/>
      <c r="FM285"/>
      <c r="FN285"/>
      <c r="FO285"/>
      <c r="FP285"/>
      <c r="FQ285"/>
      <c r="FR285"/>
      <c r="FS285"/>
      <c r="FT285"/>
      <c r="FU285"/>
      <c r="FV285"/>
      <c r="FW285"/>
      <c r="FX285"/>
      <c r="FY285"/>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c r="JA285"/>
      <c r="JB285"/>
      <c r="JC285"/>
      <c r="JD285"/>
      <c r="JE285"/>
      <c r="JF285"/>
      <c r="JG285"/>
      <c r="JH285"/>
      <c r="JI285"/>
      <c r="JJ285"/>
      <c r="JK285"/>
      <c r="JL285"/>
      <c r="JM285"/>
      <c r="JN285"/>
      <c r="JO285"/>
      <c r="JP285"/>
      <c r="JQ285"/>
      <c r="JR285"/>
      <c r="JS285"/>
      <c r="JT285"/>
      <c r="JU285"/>
      <c r="JV285"/>
      <c r="JW285"/>
      <c r="JX285"/>
      <c r="JY285"/>
      <c r="JZ285"/>
      <c r="KA285"/>
      <c r="KB285"/>
      <c r="KC285"/>
      <c r="KD285"/>
      <c r="KE285"/>
      <c r="KF285"/>
      <c r="KG285"/>
      <c r="KH285"/>
      <c r="KI285"/>
      <c r="KJ285"/>
      <c r="KK285"/>
      <c r="KL285"/>
      <c r="KM285"/>
      <c r="KN285"/>
      <c r="KO285"/>
      <c r="KP285"/>
      <c r="KQ285"/>
      <c r="KR285"/>
      <c r="KS285"/>
    </row>
    <row r="286" spans="2:305" hidden="1" x14ac:dyDescent="0.35">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c r="CU286"/>
      <c r="CV286"/>
      <c r="CW286"/>
      <c r="CX286"/>
      <c r="CY286"/>
      <c r="CZ286"/>
      <c r="DA286"/>
      <c r="DB286"/>
      <c r="DC286"/>
      <c r="DD286"/>
      <c r="DE286"/>
      <c r="DF286"/>
      <c r="DG286"/>
      <c r="DH286"/>
      <c r="DI286"/>
      <c r="DJ286"/>
      <c r="DK286"/>
      <c r="DL286"/>
      <c r="DM286"/>
      <c r="DN286"/>
      <c r="DO286"/>
      <c r="DP286"/>
      <c r="DQ286"/>
      <c r="DR286"/>
      <c r="DS286"/>
      <c r="DT286"/>
      <c r="DU286"/>
      <c r="DV286"/>
      <c r="DW286"/>
      <c r="DX286"/>
      <c r="DY286"/>
      <c r="DZ286"/>
      <c r="EA286"/>
      <c r="EB286"/>
      <c r="EC286"/>
      <c r="ED286"/>
      <c r="EE286"/>
      <c r="EF286"/>
      <c r="EG286"/>
      <c r="EH286"/>
      <c r="EI286"/>
      <c r="EJ286"/>
      <c r="EK286"/>
      <c r="EL286"/>
      <c r="EM286"/>
      <c r="EN286"/>
      <c r="EO286"/>
      <c r="EP286"/>
      <c r="EQ286"/>
      <c r="ER286"/>
      <c r="ES286"/>
      <c r="ET286"/>
      <c r="EU286"/>
      <c r="EV286"/>
      <c r="EW286"/>
      <c r="EX286"/>
      <c r="EY286"/>
      <c r="EZ286"/>
      <c r="FA286"/>
      <c r="FB286"/>
      <c r="FC286"/>
      <c r="FD286"/>
      <c r="FE286"/>
      <c r="FF286"/>
      <c r="FG286"/>
      <c r="FH286"/>
      <c r="FI286"/>
      <c r="FJ286"/>
      <c r="FK286"/>
      <c r="FL286"/>
      <c r="FM286"/>
      <c r="FN286"/>
      <c r="FO286"/>
      <c r="FP286"/>
      <c r="FQ286"/>
      <c r="FR286"/>
      <c r="FS286"/>
      <c r="FT286"/>
      <c r="FU286"/>
      <c r="FV286"/>
      <c r="FW286"/>
      <c r="FX286"/>
      <c r="FY286"/>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c r="JA286"/>
      <c r="JB286"/>
      <c r="JC286"/>
      <c r="JD286"/>
      <c r="JE286"/>
      <c r="JF286"/>
      <c r="JG286"/>
      <c r="JH286"/>
      <c r="JI286"/>
      <c r="JJ286"/>
      <c r="JK286"/>
      <c r="JL286"/>
      <c r="JM286"/>
      <c r="JN286"/>
      <c r="JO286"/>
      <c r="JP286"/>
      <c r="JQ286"/>
      <c r="JR286"/>
      <c r="JS286"/>
      <c r="JT286"/>
      <c r="JU286"/>
      <c r="JV286"/>
      <c r="JW286"/>
      <c r="JX286"/>
      <c r="JY286"/>
      <c r="JZ286"/>
      <c r="KA286"/>
      <c r="KB286"/>
      <c r="KC286"/>
      <c r="KD286"/>
      <c r="KE286"/>
      <c r="KF286"/>
      <c r="KG286"/>
      <c r="KH286"/>
      <c r="KI286"/>
      <c r="KJ286"/>
      <c r="KK286"/>
      <c r="KL286"/>
      <c r="KM286"/>
      <c r="KN286"/>
      <c r="KO286"/>
      <c r="KP286"/>
      <c r="KQ286"/>
      <c r="KR286"/>
      <c r="KS286"/>
    </row>
    <row r="287" spans="2:305" hidden="1" x14ac:dyDescent="0.35">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c r="CU287"/>
      <c r="CV287"/>
      <c r="CW287"/>
      <c r="CX287"/>
      <c r="CY287"/>
      <c r="CZ287"/>
      <c r="DA287"/>
      <c r="DB287"/>
      <c r="DC287"/>
      <c r="DD287"/>
      <c r="DE287"/>
      <c r="DF287"/>
      <c r="DG287"/>
      <c r="DH287"/>
      <c r="DI287"/>
      <c r="DJ287"/>
      <c r="DK287"/>
      <c r="DL287"/>
      <c r="DM287"/>
      <c r="DN287"/>
      <c r="DO287"/>
      <c r="DP287"/>
      <c r="DQ287"/>
      <c r="DR287"/>
      <c r="DS287"/>
      <c r="DT287"/>
      <c r="DU287"/>
      <c r="DV287"/>
      <c r="DW287"/>
      <c r="DX287"/>
      <c r="DY287"/>
      <c r="DZ287"/>
      <c r="EA287"/>
      <c r="EB287"/>
      <c r="EC287"/>
      <c r="ED287"/>
      <c r="EE287"/>
      <c r="EF287"/>
      <c r="EG287"/>
      <c r="EH287"/>
      <c r="EI287"/>
      <c r="EJ287"/>
      <c r="EK287"/>
      <c r="EL287"/>
      <c r="EM287"/>
      <c r="EN287"/>
      <c r="EO287"/>
      <c r="EP287"/>
      <c r="EQ287"/>
      <c r="ER287"/>
      <c r="ES287"/>
      <c r="ET287"/>
      <c r="EU287"/>
      <c r="EV287"/>
      <c r="EW287"/>
      <c r="EX287"/>
      <c r="EY287"/>
      <c r="EZ287"/>
      <c r="FA287"/>
      <c r="FB287"/>
      <c r="FC287"/>
      <c r="FD287"/>
      <c r="FE287"/>
      <c r="FF287"/>
      <c r="FG287"/>
      <c r="FH287"/>
      <c r="FI287"/>
      <c r="FJ287"/>
      <c r="FK287"/>
      <c r="FL287"/>
      <c r="FM287"/>
      <c r="FN287"/>
      <c r="FO287"/>
      <c r="FP287"/>
      <c r="FQ287"/>
      <c r="FR287"/>
      <c r="FS287"/>
      <c r="FT287"/>
      <c r="FU287"/>
      <c r="FV287"/>
      <c r="FW287"/>
      <c r="FX287"/>
      <c r="FY287"/>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c r="JA287"/>
      <c r="JB287"/>
      <c r="JC287"/>
      <c r="JD287"/>
      <c r="JE287"/>
      <c r="JF287"/>
      <c r="JG287"/>
      <c r="JH287"/>
      <c r="JI287"/>
      <c r="JJ287"/>
      <c r="JK287"/>
      <c r="JL287"/>
      <c r="JM287"/>
      <c r="JN287"/>
      <c r="JO287"/>
      <c r="JP287"/>
      <c r="JQ287"/>
      <c r="JR287"/>
      <c r="JS287"/>
      <c r="JT287"/>
      <c r="JU287"/>
      <c r="JV287"/>
      <c r="JW287"/>
      <c r="JX287"/>
      <c r="JY287"/>
      <c r="JZ287"/>
      <c r="KA287"/>
      <c r="KB287"/>
      <c r="KC287"/>
      <c r="KD287"/>
      <c r="KE287"/>
      <c r="KF287"/>
      <c r="KG287"/>
      <c r="KH287"/>
      <c r="KI287"/>
      <c r="KJ287"/>
      <c r="KK287"/>
      <c r="KL287"/>
      <c r="KM287"/>
      <c r="KN287"/>
      <c r="KO287"/>
      <c r="KP287"/>
      <c r="KQ287"/>
      <c r="KR287"/>
      <c r="KS287"/>
    </row>
    <row r="288" spans="2:305" hidden="1" x14ac:dyDescent="0.35">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c r="CU288"/>
      <c r="CV288"/>
      <c r="CW288"/>
      <c r="CX288"/>
      <c r="CY288"/>
      <c r="CZ288"/>
      <c r="DA288"/>
      <c r="DB288"/>
      <c r="DC288"/>
      <c r="DD288"/>
      <c r="DE288"/>
      <c r="DF288"/>
      <c r="DG288"/>
      <c r="DH288"/>
      <c r="DI288"/>
      <c r="DJ288"/>
      <c r="DK288"/>
      <c r="DL288"/>
      <c r="DM288"/>
      <c r="DN288"/>
      <c r="DO288"/>
      <c r="DP288"/>
      <c r="DQ288"/>
      <c r="DR288"/>
      <c r="DS288"/>
      <c r="DT288"/>
      <c r="DU288"/>
      <c r="DV288"/>
      <c r="DW288"/>
      <c r="DX288"/>
      <c r="DY288"/>
      <c r="DZ288"/>
      <c r="EA288"/>
      <c r="EB288"/>
      <c r="EC288"/>
      <c r="ED288"/>
      <c r="EE288"/>
      <c r="EF288"/>
      <c r="EG288"/>
      <c r="EH288"/>
      <c r="EI288"/>
      <c r="EJ288"/>
      <c r="EK288"/>
      <c r="EL288"/>
      <c r="EM288"/>
      <c r="EN288"/>
      <c r="EO288"/>
      <c r="EP288"/>
      <c r="EQ288"/>
      <c r="ER288"/>
      <c r="ES288"/>
      <c r="ET288"/>
      <c r="EU288"/>
      <c r="EV288"/>
      <c r="EW288"/>
      <c r="EX288"/>
      <c r="EY288"/>
      <c r="EZ288"/>
      <c r="FA288"/>
      <c r="FB288"/>
      <c r="FC288"/>
      <c r="FD288"/>
      <c r="FE288"/>
      <c r="FF288"/>
      <c r="FG288"/>
      <c r="FH288"/>
      <c r="FI288"/>
      <c r="FJ288"/>
      <c r="FK288"/>
      <c r="FL288"/>
      <c r="FM288"/>
      <c r="FN288"/>
      <c r="FO288"/>
      <c r="FP288"/>
      <c r="FQ288"/>
      <c r="FR288"/>
      <c r="FS288"/>
      <c r="FT288"/>
      <c r="FU288"/>
      <c r="FV288"/>
      <c r="FW288"/>
      <c r="FX288"/>
      <c r="FY288"/>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c r="JA288"/>
      <c r="JB288"/>
      <c r="JC288"/>
      <c r="JD288"/>
      <c r="JE288"/>
      <c r="JF288"/>
      <c r="JG288"/>
      <c r="JH288"/>
      <c r="JI288"/>
      <c r="JJ288"/>
      <c r="JK288"/>
      <c r="JL288"/>
      <c r="JM288"/>
      <c r="JN288"/>
      <c r="JO288"/>
      <c r="JP288"/>
      <c r="JQ288"/>
      <c r="JR288"/>
      <c r="JS288"/>
      <c r="JT288"/>
      <c r="JU288"/>
      <c r="JV288"/>
      <c r="JW288"/>
      <c r="JX288"/>
      <c r="JY288"/>
      <c r="JZ288"/>
      <c r="KA288"/>
      <c r="KB288"/>
      <c r="KC288"/>
      <c r="KD288"/>
      <c r="KE288"/>
      <c r="KF288"/>
      <c r="KG288"/>
      <c r="KH288"/>
      <c r="KI288"/>
      <c r="KJ288"/>
      <c r="KK288"/>
      <c r="KL288"/>
      <c r="KM288"/>
      <c r="KN288"/>
      <c r="KO288"/>
      <c r="KP288"/>
      <c r="KQ288"/>
      <c r="KR288"/>
      <c r="KS288"/>
    </row>
    <row r="289" spans="2:305" hidden="1" x14ac:dyDescent="0.35">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c r="CU289"/>
      <c r="CV289"/>
      <c r="CW289"/>
      <c r="CX289"/>
      <c r="CY289"/>
      <c r="CZ289"/>
      <c r="DA289"/>
      <c r="DB289"/>
      <c r="DC289"/>
      <c r="DD289"/>
      <c r="DE289"/>
      <c r="DF289"/>
      <c r="DG289"/>
      <c r="DH289"/>
      <c r="DI289"/>
      <c r="DJ289"/>
      <c r="DK289"/>
      <c r="DL289"/>
      <c r="DM289"/>
      <c r="DN289"/>
      <c r="DO289"/>
      <c r="DP289"/>
      <c r="DQ289"/>
      <c r="DR289"/>
      <c r="DS289"/>
      <c r="DT289"/>
      <c r="DU289"/>
      <c r="DV289"/>
      <c r="DW289"/>
      <c r="DX289"/>
      <c r="DY289"/>
      <c r="DZ289"/>
      <c r="EA289"/>
      <c r="EB289"/>
      <c r="EC289"/>
      <c r="ED289"/>
      <c r="EE289"/>
      <c r="EF289"/>
      <c r="EG289"/>
      <c r="EH289"/>
      <c r="EI289"/>
      <c r="EJ289"/>
      <c r="EK289"/>
      <c r="EL289"/>
      <c r="EM289"/>
      <c r="EN289"/>
      <c r="EO289"/>
      <c r="EP289"/>
      <c r="EQ289"/>
      <c r="ER289"/>
      <c r="ES289"/>
      <c r="ET289"/>
      <c r="EU289"/>
      <c r="EV289"/>
      <c r="EW289"/>
      <c r="EX289"/>
      <c r="EY289"/>
      <c r="EZ289"/>
      <c r="FA289"/>
      <c r="FB289"/>
      <c r="FC289"/>
      <c r="FD289"/>
      <c r="FE289"/>
      <c r="FF289"/>
      <c r="FG289"/>
      <c r="FH289"/>
      <c r="FI289"/>
      <c r="FJ289"/>
      <c r="FK289"/>
      <c r="FL289"/>
      <c r="FM289"/>
      <c r="FN289"/>
      <c r="FO289"/>
      <c r="FP289"/>
      <c r="FQ289"/>
      <c r="FR289"/>
      <c r="FS289"/>
      <c r="FT289"/>
      <c r="FU289"/>
      <c r="FV289"/>
      <c r="FW289"/>
      <c r="FX289"/>
      <c r="FY289"/>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c r="JA289"/>
      <c r="JB289"/>
      <c r="JC289"/>
      <c r="JD289"/>
      <c r="JE289"/>
      <c r="JF289"/>
      <c r="JG289"/>
      <c r="JH289"/>
      <c r="JI289"/>
      <c r="JJ289"/>
      <c r="JK289"/>
      <c r="JL289"/>
      <c r="JM289"/>
      <c r="JN289"/>
      <c r="JO289"/>
      <c r="JP289"/>
      <c r="JQ289"/>
      <c r="JR289"/>
      <c r="JS289"/>
      <c r="JT289"/>
      <c r="JU289"/>
      <c r="JV289"/>
      <c r="JW289"/>
      <c r="JX289"/>
      <c r="JY289"/>
      <c r="JZ289"/>
      <c r="KA289"/>
      <c r="KB289"/>
      <c r="KC289"/>
      <c r="KD289"/>
      <c r="KE289"/>
      <c r="KF289"/>
      <c r="KG289"/>
      <c r="KH289"/>
      <c r="KI289"/>
      <c r="KJ289"/>
      <c r="KK289"/>
      <c r="KL289"/>
      <c r="KM289"/>
      <c r="KN289"/>
      <c r="KO289"/>
      <c r="KP289"/>
      <c r="KQ289"/>
      <c r="KR289"/>
      <c r="KS289"/>
    </row>
    <row r="290" spans="2:305" hidden="1" x14ac:dyDescent="0.35">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c r="CU290"/>
      <c r="CV290"/>
      <c r="CW290"/>
      <c r="CX290"/>
      <c r="CY290"/>
      <c r="CZ290"/>
      <c r="DA290"/>
      <c r="DB290"/>
      <c r="DC290"/>
      <c r="DD290"/>
      <c r="DE290"/>
      <c r="DF290"/>
      <c r="DG290"/>
      <c r="DH290"/>
      <c r="DI290"/>
      <c r="DJ290"/>
      <c r="DK290"/>
      <c r="DL290"/>
      <c r="DM290"/>
      <c r="DN290"/>
      <c r="DO290"/>
      <c r="DP290"/>
      <c r="DQ290"/>
      <c r="DR290"/>
      <c r="DS290"/>
      <c r="DT290"/>
      <c r="DU290"/>
      <c r="DV290"/>
      <c r="DW290"/>
      <c r="DX290"/>
      <c r="DY290"/>
      <c r="DZ290"/>
      <c r="EA290"/>
      <c r="EB290"/>
      <c r="EC290"/>
      <c r="ED290"/>
      <c r="EE290"/>
      <c r="EF290"/>
      <c r="EG290"/>
      <c r="EH290"/>
      <c r="EI290"/>
      <c r="EJ290"/>
      <c r="EK290"/>
      <c r="EL290"/>
      <c r="EM290"/>
      <c r="EN290"/>
      <c r="EO290"/>
      <c r="EP290"/>
      <c r="EQ290"/>
      <c r="ER290"/>
      <c r="ES290"/>
      <c r="ET290"/>
      <c r="EU290"/>
      <c r="EV290"/>
      <c r="EW290"/>
      <c r="EX290"/>
      <c r="EY290"/>
      <c r="EZ290"/>
      <c r="FA290"/>
      <c r="FB290"/>
      <c r="FC290"/>
      <c r="FD290"/>
      <c r="FE290"/>
      <c r="FF290"/>
      <c r="FG290"/>
      <c r="FH290"/>
      <c r="FI290"/>
      <c r="FJ290"/>
      <c r="FK290"/>
      <c r="FL290"/>
      <c r="FM290"/>
      <c r="FN290"/>
      <c r="FO290"/>
      <c r="FP290"/>
      <c r="FQ290"/>
      <c r="FR290"/>
      <c r="FS290"/>
      <c r="FT290"/>
      <c r="FU290"/>
      <c r="FV290"/>
      <c r="FW290"/>
      <c r="FX290"/>
      <c r="FY290"/>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c r="JA290"/>
      <c r="JB290"/>
      <c r="JC290"/>
      <c r="JD290"/>
      <c r="JE290"/>
      <c r="JF290"/>
      <c r="JG290"/>
      <c r="JH290"/>
      <c r="JI290"/>
      <c r="JJ290"/>
      <c r="JK290"/>
      <c r="JL290"/>
      <c r="JM290"/>
      <c r="JN290"/>
      <c r="JO290"/>
      <c r="JP290"/>
      <c r="JQ290"/>
      <c r="JR290"/>
      <c r="JS290"/>
      <c r="JT290"/>
      <c r="JU290"/>
      <c r="JV290"/>
      <c r="JW290"/>
      <c r="JX290"/>
      <c r="JY290"/>
      <c r="JZ290"/>
      <c r="KA290"/>
      <c r="KB290"/>
      <c r="KC290"/>
      <c r="KD290"/>
      <c r="KE290"/>
      <c r="KF290"/>
      <c r="KG290"/>
      <c r="KH290"/>
      <c r="KI290"/>
      <c r="KJ290"/>
      <c r="KK290"/>
      <c r="KL290"/>
      <c r="KM290"/>
      <c r="KN290"/>
      <c r="KO290"/>
      <c r="KP290"/>
      <c r="KQ290"/>
      <c r="KR290"/>
      <c r="KS290"/>
    </row>
    <row r="291" spans="2:305" hidden="1" x14ac:dyDescent="0.35">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c r="CU291"/>
      <c r="CV291"/>
      <c r="CW291"/>
      <c r="CX291"/>
      <c r="CY291"/>
      <c r="CZ291"/>
      <c r="DA291"/>
      <c r="DB291"/>
      <c r="DC291"/>
      <c r="DD291"/>
      <c r="DE291"/>
      <c r="DF291"/>
      <c r="DG291"/>
      <c r="DH291"/>
      <c r="DI291"/>
      <c r="DJ291"/>
      <c r="DK291"/>
      <c r="DL291"/>
      <c r="DM291"/>
      <c r="DN291"/>
      <c r="DO291"/>
      <c r="DP291"/>
      <c r="DQ291"/>
      <c r="DR291"/>
      <c r="DS291"/>
      <c r="DT291"/>
      <c r="DU291"/>
      <c r="DV291"/>
      <c r="DW291"/>
      <c r="DX291"/>
      <c r="DY291"/>
      <c r="DZ291"/>
      <c r="EA291"/>
      <c r="EB291"/>
      <c r="EC291"/>
      <c r="ED291"/>
      <c r="EE291"/>
      <c r="EF291"/>
      <c r="EG291"/>
      <c r="EH291"/>
      <c r="EI291"/>
      <c r="EJ291"/>
      <c r="EK291"/>
      <c r="EL291"/>
      <c r="EM291"/>
      <c r="EN291"/>
      <c r="EO291"/>
      <c r="EP291"/>
      <c r="EQ291"/>
      <c r="ER291"/>
      <c r="ES291"/>
      <c r="ET291"/>
      <c r="EU291"/>
      <c r="EV291"/>
      <c r="EW291"/>
      <c r="EX291"/>
      <c r="EY291"/>
      <c r="EZ291"/>
      <c r="FA291"/>
      <c r="FB291"/>
      <c r="FC291"/>
      <c r="FD291"/>
      <c r="FE291"/>
      <c r="FF291"/>
      <c r="FG291"/>
      <c r="FH291"/>
      <c r="FI291"/>
      <c r="FJ291"/>
      <c r="FK291"/>
      <c r="FL291"/>
      <c r="FM291"/>
      <c r="FN291"/>
      <c r="FO291"/>
      <c r="FP291"/>
      <c r="FQ291"/>
      <c r="FR291"/>
      <c r="FS291"/>
      <c r="FT291"/>
      <c r="FU291"/>
      <c r="FV291"/>
      <c r="FW291"/>
      <c r="FX291"/>
      <c r="FY291"/>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c r="JA291"/>
      <c r="JB291"/>
      <c r="JC291"/>
      <c r="JD291"/>
      <c r="JE291"/>
      <c r="JF291"/>
      <c r="JG291"/>
      <c r="JH291"/>
      <c r="JI291"/>
      <c r="JJ291"/>
      <c r="JK291"/>
      <c r="JL291"/>
      <c r="JM291"/>
      <c r="JN291"/>
      <c r="JO291"/>
      <c r="JP291"/>
      <c r="JQ291"/>
      <c r="JR291"/>
      <c r="JS291"/>
      <c r="JT291"/>
      <c r="JU291"/>
      <c r="JV291"/>
      <c r="JW291"/>
      <c r="JX291"/>
      <c r="JY291"/>
      <c r="JZ291"/>
      <c r="KA291"/>
      <c r="KB291"/>
      <c r="KC291"/>
      <c r="KD291"/>
      <c r="KE291"/>
      <c r="KF291"/>
      <c r="KG291"/>
      <c r="KH291"/>
      <c r="KI291"/>
      <c r="KJ291"/>
      <c r="KK291"/>
      <c r="KL291"/>
      <c r="KM291"/>
      <c r="KN291"/>
      <c r="KO291"/>
      <c r="KP291"/>
      <c r="KQ291"/>
      <c r="KR291"/>
      <c r="KS291"/>
    </row>
    <row r="292" spans="2:305" hidden="1" x14ac:dyDescent="0.35">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c r="CU292"/>
      <c r="CV292"/>
      <c r="CW292"/>
      <c r="CX292"/>
      <c r="CY292"/>
      <c r="CZ292"/>
      <c r="DA292"/>
      <c r="DB292"/>
      <c r="DC292"/>
      <c r="DD292"/>
      <c r="DE292"/>
      <c r="DF292"/>
      <c r="DG292"/>
      <c r="DH292"/>
      <c r="DI292"/>
      <c r="DJ292"/>
      <c r="DK292"/>
      <c r="DL292"/>
      <c r="DM292"/>
      <c r="DN292"/>
      <c r="DO292"/>
      <c r="DP292"/>
      <c r="DQ292"/>
      <c r="DR292"/>
      <c r="DS292"/>
      <c r="DT292"/>
      <c r="DU292"/>
      <c r="DV292"/>
      <c r="DW292"/>
      <c r="DX292"/>
      <c r="DY292"/>
      <c r="DZ292"/>
      <c r="EA292"/>
      <c r="EB292"/>
      <c r="EC292"/>
      <c r="ED292"/>
      <c r="EE292"/>
      <c r="EF292"/>
      <c r="EG292"/>
      <c r="EH292"/>
      <c r="EI292"/>
      <c r="EJ292"/>
      <c r="EK292"/>
      <c r="EL292"/>
      <c r="EM292"/>
      <c r="EN292"/>
      <c r="EO292"/>
      <c r="EP292"/>
      <c r="EQ292"/>
      <c r="ER292"/>
      <c r="ES292"/>
      <c r="ET292"/>
      <c r="EU292"/>
      <c r="EV292"/>
      <c r="EW292"/>
      <c r="EX292"/>
      <c r="EY292"/>
      <c r="EZ292"/>
      <c r="FA292"/>
      <c r="FB292"/>
      <c r="FC292"/>
      <c r="FD292"/>
      <c r="FE292"/>
      <c r="FF292"/>
      <c r="FG292"/>
      <c r="FH292"/>
      <c r="FI292"/>
      <c r="FJ292"/>
      <c r="FK292"/>
      <c r="FL292"/>
      <c r="FM292"/>
      <c r="FN292"/>
      <c r="FO292"/>
      <c r="FP292"/>
      <c r="FQ292"/>
      <c r="FR292"/>
      <c r="FS292"/>
      <c r="FT292"/>
      <c r="FU292"/>
      <c r="FV292"/>
      <c r="FW292"/>
      <c r="FX292"/>
      <c r="FY29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c r="JA292"/>
      <c r="JB292"/>
      <c r="JC292"/>
      <c r="JD292"/>
      <c r="JE292"/>
      <c r="JF292"/>
      <c r="JG292"/>
      <c r="JH292"/>
      <c r="JI292"/>
      <c r="JJ292"/>
      <c r="JK292"/>
      <c r="JL292"/>
      <c r="JM292"/>
      <c r="JN292"/>
      <c r="JO292"/>
      <c r="JP292"/>
      <c r="JQ292"/>
      <c r="JR292"/>
      <c r="JS292"/>
      <c r="JT292"/>
      <c r="JU292"/>
      <c r="JV292"/>
      <c r="JW292"/>
      <c r="JX292"/>
      <c r="JY292"/>
      <c r="JZ292"/>
      <c r="KA292"/>
      <c r="KB292"/>
      <c r="KC292"/>
      <c r="KD292"/>
      <c r="KE292"/>
      <c r="KF292"/>
      <c r="KG292"/>
      <c r="KH292"/>
      <c r="KI292"/>
      <c r="KJ292"/>
      <c r="KK292"/>
      <c r="KL292"/>
      <c r="KM292"/>
      <c r="KN292"/>
      <c r="KO292"/>
      <c r="KP292"/>
      <c r="KQ292"/>
      <c r="KR292"/>
      <c r="KS292"/>
    </row>
    <row r="293" spans="2:305" hidden="1" x14ac:dyDescent="0.35">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c r="CU293"/>
      <c r="CV293"/>
      <c r="CW293"/>
      <c r="CX293"/>
      <c r="CY293"/>
      <c r="CZ293"/>
      <c r="DA293"/>
      <c r="DB293"/>
      <c r="DC293"/>
      <c r="DD293"/>
      <c r="DE293"/>
      <c r="DF293"/>
      <c r="DG293"/>
      <c r="DH293"/>
      <c r="DI293"/>
      <c r="DJ293"/>
      <c r="DK293"/>
      <c r="DL293"/>
      <c r="DM293"/>
      <c r="DN293"/>
      <c r="DO293"/>
      <c r="DP293"/>
      <c r="DQ293"/>
      <c r="DR293"/>
      <c r="DS293"/>
      <c r="DT293"/>
      <c r="DU293"/>
      <c r="DV293"/>
      <c r="DW293"/>
      <c r="DX293"/>
      <c r="DY293"/>
      <c r="DZ293"/>
      <c r="EA293"/>
      <c r="EB293"/>
      <c r="EC293"/>
      <c r="ED293"/>
      <c r="EE293"/>
      <c r="EF293"/>
      <c r="EG293"/>
      <c r="EH293"/>
      <c r="EI293"/>
      <c r="EJ293"/>
      <c r="EK293"/>
      <c r="EL293"/>
      <c r="EM293"/>
      <c r="EN293"/>
      <c r="EO293"/>
      <c r="EP293"/>
      <c r="EQ293"/>
      <c r="ER293"/>
      <c r="ES293"/>
      <c r="ET293"/>
      <c r="EU293"/>
      <c r="EV293"/>
      <c r="EW293"/>
      <c r="EX293"/>
      <c r="EY293"/>
      <c r="EZ293"/>
      <c r="FA293"/>
      <c r="FB293"/>
      <c r="FC293"/>
      <c r="FD293"/>
      <c r="FE293"/>
      <c r="FF293"/>
      <c r="FG293"/>
      <c r="FH293"/>
      <c r="FI293"/>
      <c r="FJ293"/>
      <c r="FK293"/>
      <c r="FL293"/>
      <c r="FM293"/>
      <c r="FN293"/>
      <c r="FO293"/>
      <c r="FP293"/>
      <c r="FQ293"/>
      <c r="FR293"/>
      <c r="FS293"/>
      <c r="FT293"/>
      <c r="FU293"/>
      <c r="FV293"/>
      <c r="FW293"/>
      <c r="FX293"/>
      <c r="FY29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c r="JA293"/>
      <c r="JB293"/>
      <c r="JC293"/>
      <c r="JD293"/>
      <c r="JE293"/>
      <c r="JF293"/>
      <c r="JG293"/>
      <c r="JH293"/>
      <c r="JI293"/>
      <c r="JJ293"/>
      <c r="JK293"/>
      <c r="JL293"/>
      <c r="JM293"/>
      <c r="JN293"/>
      <c r="JO293"/>
      <c r="JP293"/>
      <c r="JQ293"/>
      <c r="JR293"/>
      <c r="JS293"/>
      <c r="JT293"/>
      <c r="JU293"/>
      <c r="JV293"/>
      <c r="JW293"/>
      <c r="JX293"/>
      <c r="JY293"/>
      <c r="JZ293"/>
      <c r="KA293"/>
      <c r="KB293"/>
      <c r="KC293"/>
      <c r="KD293"/>
      <c r="KE293"/>
      <c r="KF293"/>
      <c r="KG293"/>
      <c r="KH293"/>
      <c r="KI293"/>
      <c r="KJ293"/>
      <c r="KK293"/>
      <c r="KL293"/>
      <c r="KM293"/>
      <c r="KN293"/>
      <c r="KO293"/>
      <c r="KP293"/>
      <c r="KQ293"/>
      <c r="KR293"/>
      <c r="KS293"/>
    </row>
    <row r="294" spans="2:305" hidden="1" x14ac:dyDescent="0.35">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c r="CU294"/>
      <c r="CV294"/>
      <c r="CW294"/>
      <c r="CX294"/>
      <c r="CY294"/>
      <c r="CZ294"/>
      <c r="DA294"/>
      <c r="DB294"/>
      <c r="DC294"/>
      <c r="DD294"/>
      <c r="DE294"/>
      <c r="DF294"/>
      <c r="DG294"/>
      <c r="DH294"/>
      <c r="DI294"/>
      <c r="DJ294"/>
      <c r="DK294"/>
      <c r="DL294"/>
      <c r="DM294"/>
      <c r="DN294"/>
      <c r="DO294"/>
      <c r="DP294"/>
      <c r="DQ294"/>
      <c r="DR294"/>
      <c r="DS294"/>
      <c r="DT294"/>
      <c r="DU294"/>
      <c r="DV294"/>
      <c r="DW294"/>
      <c r="DX294"/>
      <c r="DY294"/>
      <c r="DZ294"/>
      <c r="EA294"/>
      <c r="EB294"/>
      <c r="EC294"/>
      <c r="ED294"/>
      <c r="EE294"/>
      <c r="EF294"/>
      <c r="EG294"/>
      <c r="EH294"/>
      <c r="EI294"/>
      <c r="EJ294"/>
      <c r="EK294"/>
      <c r="EL294"/>
      <c r="EM294"/>
      <c r="EN294"/>
      <c r="EO294"/>
      <c r="EP294"/>
      <c r="EQ294"/>
      <c r="ER294"/>
      <c r="ES294"/>
      <c r="ET294"/>
      <c r="EU294"/>
      <c r="EV294"/>
      <c r="EW294"/>
      <c r="EX294"/>
      <c r="EY294"/>
      <c r="EZ294"/>
      <c r="FA294"/>
      <c r="FB294"/>
      <c r="FC294"/>
      <c r="FD294"/>
      <c r="FE294"/>
      <c r="FF294"/>
      <c r="FG294"/>
      <c r="FH294"/>
      <c r="FI294"/>
      <c r="FJ294"/>
      <c r="FK294"/>
      <c r="FL294"/>
      <c r="FM294"/>
      <c r="FN294"/>
      <c r="FO294"/>
      <c r="FP294"/>
      <c r="FQ294"/>
      <c r="FR294"/>
      <c r="FS294"/>
      <c r="FT294"/>
      <c r="FU294"/>
      <c r="FV294"/>
      <c r="FW294"/>
      <c r="FX294"/>
      <c r="FY294"/>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c r="JA294"/>
      <c r="JB294"/>
      <c r="JC294"/>
      <c r="JD294"/>
      <c r="JE294"/>
      <c r="JF294"/>
      <c r="JG294"/>
      <c r="JH294"/>
      <c r="JI294"/>
      <c r="JJ294"/>
      <c r="JK294"/>
      <c r="JL294"/>
      <c r="JM294"/>
      <c r="JN294"/>
      <c r="JO294"/>
      <c r="JP294"/>
      <c r="JQ294"/>
      <c r="JR294"/>
      <c r="JS294"/>
      <c r="JT294"/>
      <c r="JU294"/>
      <c r="JV294"/>
      <c r="JW294"/>
      <c r="JX294"/>
      <c r="JY294"/>
      <c r="JZ294"/>
      <c r="KA294"/>
      <c r="KB294"/>
      <c r="KC294"/>
      <c r="KD294"/>
      <c r="KE294"/>
      <c r="KF294"/>
      <c r="KG294"/>
      <c r="KH294"/>
      <c r="KI294"/>
      <c r="KJ294"/>
      <c r="KK294"/>
      <c r="KL294"/>
      <c r="KM294"/>
      <c r="KN294"/>
      <c r="KO294"/>
      <c r="KP294"/>
      <c r="KQ294"/>
      <c r="KR294"/>
      <c r="KS294"/>
    </row>
    <row r="295" spans="2:305" hidden="1" x14ac:dyDescent="0.3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c r="CU295"/>
      <c r="CV295"/>
      <c r="CW295"/>
      <c r="CX295"/>
      <c r="CY295"/>
      <c r="CZ295"/>
      <c r="DA295"/>
      <c r="DB295"/>
      <c r="DC295"/>
      <c r="DD295"/>
      <c r="DE295"/>
      <c r="DF295"/>
      <c r="DG295"/>
      <c r="DH295"/>
      <c r="DI295"/>
      <c r="DJ295"/>
      <c r="DK295"/>
      <c r="DL295"/>
      <c r="DM295"/>
      <c r="DN295"/>
      <c r="DO295"/>
      <c r="DP295"/>
      <c r="DQ295"/>
      <c r="DR295"/>
      <c r="DS295"/>
      <c r="DT295"/>
      <c r="DU295"/>
      <c r="DV295"/>
      <c r="DW295"/>
      <c r="DX295"/>
      <c r="DY295"/>
      <c r="DZ295"/>
      <c r="EA295"/>
      <c r="EB295"/>
      <c r="EC295"/>
      <c r="ED295"/>
      <c r="EE295"/>
      <c r="EF295"/>
      <c r="EG295"/>
      <c r="EH295"/>
      <c r="EI295"/>
      <c r="EJ295"/>
      <c r="EK295"/>
      <c r="EL295"/>
      <c r="EM295"/>
      <c r="EN295"/>
      <c r="EO295"/>
      <c r="EP295"/>
      <c r="EQ295"/>
      <c r="ER295"/>
      <c r="ES295"/>
      <c r="ET295"/>
      <c r="EU295"/>
      <c r="EV295"/>
      <c r="EW295"/>
      <c r="EX295"/>
      <c r="EY295"/>
      <c r="EZ295"/>
      <c r="FA295"/>
      <c r="FB295"/>
      <c r="FC295"/>
      <c r="FD295"/>
      <c r="FE295"/>
      <c r="FF295"/>
      <c r="FG295"/>
      <c r="FH295"/>
      <c r="FI295"/>
      <c r="FJ295"/>
      <c r="FK295"/>
      <c r="FL295"/>
      <c r="FM295"/>
      <c r="FN295"/>
      <c r="FO295"/>
      <c r="FP295"/>
      <c r="FQ295"/>
      <c r="FR295"/>
      <c r="FS295"/>
      <c r="FT295"/>
      <c r="FU295"/>
      <c r="FV295"/>
      <c r="FW295"/>
      <c r="FX295"/>
      <c r="FY295"/>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c r="JA295"/>
      <c r="JB295"/>
      <c r="JC295"/>
      <c r="JD295"/>
      <c r="JE295"/>
      <c r="JF295"/>
      <c r="JG295"/>
      <c r="JH295"/>
      <c r="JI295"/>
      <c r="JJ295"/>
      <c r="JK295"/>
      <c r="JL295"/>
      <c r="JM295"/>
      <c r="JN295"/>
      <c r="JO295"/>
      <c r="JP295"/>
      <c r="JQ295"/>
      <c r="JR295"/>
      <c r="JS295"/>
      <c r="JT295"/>
      <c r="JU295"/>
      <c r="JV295"/>
      <c r="JW295"/>
      <c r="JX295"/>
      <c r="JY295"/>
      <c r="JZ295"/>
      <c r="KA295"/>
      <c r="KB295"/>
      <c r="KC295"/>
      <c r="KD295"/>
      <c r="KE295"/>
      <c r="KF295"/>
      <c r="KG295"/>
      <c r="KH295"/>
      <c r="KI295"/>
      <c r="KJ295"/>
      <c r="KK295"/>
      <c r="KL295"/>
      <c r="KM295"/>
      <c r="KN295"/>
      <c r="KO295"/>
      <c r="KP295"/>
      <c r="KQ295"/>
      <c r="KR295"/>
      <c r="KS295"/>
    </row>
    <row r="296" spans="2:305" hidden="1" x14ac:dyDescent="0.35">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c r="CU296"/>
      <c r="CV296"/>
      <c r="CW296"/>
      <c r="CX296"/>
      <c r="CY296"/>
      <c r="CZ296"/>
      <c r="DA296"/>
      <c r="DB296"/>
      <c r="DC296"/>
      <c r="DD296"/>
      <c r="DE296"/>
      <c r="DF296"/>
      <c r="DG296"/>
      <c r="DH296"/>
      <c r="DI296"/>
      <c r="DJ296"/>
      <c r="DK296"/>
      <c r="DL296"/>
      <c r="DM296"/>
      <c r="DN296"/>
      <c r="DO296"/>
      <c r="DP296"/>
      <c r="DQ296"/>
      <c r="DR296"/>
      <c r="DS296"/>
      <c r="DT296"/>
      <c r="DU296"/>
      <c r="DV296"/>
      <c r="DW296"/>
      <c r="DX296"/>
      <c r="DY296"/>
      <c r="DZ296"/>
      <c r="EA296"/>
      <c r="EB296"/>
      <c r="EC296"/>
      <c r="ED296"/>
      <c r="EE296"/>
      <c r="EF296"/>
      <c r="EG296"/>
      <c r="EH296"/>
      <c r="EI296"/>
      <c r="EJ296"/>
      <c r="EK296"/>
      <c r="EL296"/>
      <c r="EM296"/>
      <c r="EN296"/>
      <c r="EO296"/>
      <c r="EP296"/>
      <c r="EQ296"/>
      <c r="ER296"/>
      <c r="ES296"/>
      <c r="ET296"/>
      <c r="EU296"/>
      <c r="EV296"/>
      <c r="EW296"/>
      <c r="EX296"/>
      <c r="EY296"/>
      <c r="EZ296"/>
      <c r="FA296"/>
      <c r="FB296"/>
      <c r="FC296"/>
      <c r="FD296"/>
      <c r="FE296"/>
      <c r="FF296"/>
      <c r="FG296"/>
      <c r="FH296"/>
      <c r="FI296"/>
      <c r="FJ296"/>
      <c r="FK296"/>
      <c r="FL296"/>
      <c r="FM296"/>
      <c r="FN296"/>
      <c r="FO296"/>
      <c r="FP296"/>
      <c r="FQ296"/>
      <c r="FR296"/>
      <c r="FS296"/>
      <c r="FT296"/>
      <c r="FU296"/>
      <c r="FV296"/>
      <c r="FW296"/>
      <c r="FX296"/>
      <c r="FY296"/>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c r="JA296"/>
      <c r="JB296"/>
      <c r="JC296"/>
      <c r="JD296"/>
      <c r="JE296"/>
      <c r="JF296"/>
      <c r="JG296"/>
      <c r="JH296"/>
      <c r="JI296"/>
      <c r="JJ296"/>
      <c r="JK296"/>
      <c r="JL296"/>
      <c r="JM296"/>
      <c r="JN296"/>
      <c r="JO296"/>
      <c r="JP296"/>
      <c r="JQ296"/>
      <c r="JR296"/>
      <c r="JS296"/>
      <c r="JT296"/>
      <c r="JU296"/>
      <c r="JV296"/>
      <c r="JW296"/>
      <c r="JX296"/>
      <c r="JY296"/>
      <c r="JZ296"/>
      <c r="KA296"/>
      <c r="KB296"/>
      <c r="KC296"/>
      <c r="KD296"/>
      <c r="KE296"/>
      <c r="KF296"/>
      <c r="KG296"/>
      <c r="KH296"/>
      <c r="KI296"/>
      <c r="KJ296"/>
      <c r="KK296"/>
      <c r="KL296"/>
      <c r="KM296"/>
      <c r="KN296"/>
      <c r="KO296"/>
      <c r="KP296"/>
      <c r="KQ296"/>
      <c r="KR296"/>
      <c r="KS296"/>
    </row>
    <row r="297" spans="2:305" hidden="1" x14ac:dyDescent="0.35">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c r="CU297"/>
      <c r="CV297"/>
      <c r="CW297"/>
      <c r="CX297"/>
      <c r="CY297"/>
      <c r="CZ297"/>
      <c r="DA297"/>
      <c r="DB297"/>
      <c r="DC297"/>
      <c r="DD297"/>
      <c r="DE297"/>
      <c r="DF297"/>
      <c r="DG297"/>
      <c r="DH297"/>
      <c r="DI297"/>
      <c r="DJ297"/>
      <c r="DK297"/>
      <c r="DL297"/>
      <c r="DM297"/>
      <c r="DN297"/>
      <c r="DO297"/>
      <c r="DP297"/>
      <c r="DQ297"/>
      <c r="DR297"/>
      <c r="DS297"/>
      <c r="DT297"/>
      <c r="DU297"/>
      <c r="DV297"/>
      <c r="DW297"/>
      <c r="DX297"/>
      <c r="DY297"/>
      <c r="DZ297"/>
      <c r="EA297"/>
      <c r="EB297"/>
      <c r="EC297"/>
      <c r="ED297"/>
      <c r="EE297"/>
      <c r="EF297"/>
      <c r="EG297"/>
      <c r="EH297"/>
      <c r="EI297"/>
      <c r="EJ297"/>
      <c r="EK297"/>
      <c r="EL297"/>
      <c r="EM297"/>
      <c r="EN297"/>
      <c r="EO297"/>
      <c r="EP297"/>
      <c r="EQ297"/>
      <c r="ER297"/>
      <c r="ES297"/>
      <c r="ET297"/>
      <c r="EU297"/>
      <c r="EV297"/>
      <c r="EW297"/>
      <c r="EX297"/>
      <c r="EY297"/>
      <c r="EZ297"/>
      <c r="FA297"/>
      <c r="FB297"/>
      <c r="FC297"/>
      <c r="FD297"/>
      <c r="FE297"/>
      <c r="FF297"/>
      <c r="FG297"/>
      <c r="FH297"/>
      <c r="FI297"/>
      <c r="FJ297"/>
      <c r="FK297"/>
      <c r="FL297"/>
      <c r="FM297"/>
      <c r="FN297"/>
      <c r="FO297"/>
      <c r="FP297"/>
      <c r="FQ297"/>
      <c r="FR297"/>
      <c r="FS297"/>
      <c r="FT297"/>
      <c r="FU297"/>
      <c r="FV297"/>
      <c r="FW297"/>
      <c r="FX297"/>
      <c r="FY297"/>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c r="JA297"/>
      <c r="JB297"/>
      <c r="JC297"/>
      <c r="JD297"/>
      <c r="JE297"/>
      <c r="JF297"/>
      <c r="JG297"/>
      <c r="JH297"/>
      <c r="JI297"/>
      <c r="JJ297"/>
      <c r="JK297"/>
      <c r="JL297"/>
      <c r="JM297"/>
      <c r="JN297"/>
      <c r="JO297"/>
      <c r="JP297"/>
      <c r="JQ297"/>
      <c r="JR297"/>
      <c r="JS297"/>
      <c r="JT297"/>
      <c r="JU297"/>
      <c r="JV297"/>
      <c r="JW297"/>
      <c r="JX297"/>
      <c r="JY297"/>
      <c r="JZ297"/>
      <c r="KA297"/>
      <c r="KB297"/>
      <c r="KC297"/>
      <c r="KD297"/>
      <c r="KE297"/>
      <c r="KF297"/>
      <c r="KG297"/>
      <c r="KH297"/>
      <c r="KI297"/>
      <c r="KJ297"/>
      <c r="KK297"/>
      <c r="KL297"/>
      <c r="KM297"/>
      <c r="KN297"/>
      <c r="KO297"/>
      <c r="KP297"/>
      <c r="KQ297"/>
      <c r="KR297"/>
      <c r="KS297"/>
    </row>
    <row r="298" spans="2:305" hidden="1" x14ac:dyDescent="0.35">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c r="CU298"/>
      <c r="CV298"/>
      <c r="CW298"/>
      <c r="CX298"/>
      <c r="CY298"/>
      <c r="CZ298"/>
      <c r="DA298"/>
      <c r="DB298"/>
      <c r="DC298"/>
      <c r="DD298"/>
      <c r="DE298"/>
      <c r="DF298"/>
      <c r="DG298"/>
      <c r="DH298"/>
      <c r="DI298"/>
      <c r="DJ298"/>
      <c r="DK298"/>
      <c r="DL298"/>
      <c r="DM298"/>
      <c r="DN298"/>
      <c r="DO298"/>
      <c r="DP298"/>
      <c r="DQ298"/>
      <c r="DR298"/>
      <c r="DS298"/>
      <c r="DT298"/>
      <c r="DU298"/>
      <c r="DV298"/>
      <c r="DW298"/>
      <c r="DX298"/>
      <c r="DY298"/>
      <c r="DZ298"/>
      <c r="EA298"/>
      <c r="EB298"/>
      <c r="EC298"/>
      <c r="ED298"/>
      <c r="EE298"/>
      <c r="EF298"/>
      <c r="EG298"/>
      <c r="EH298"/>
      <c r="EI298"/>
      <c r="EJ298"/>
      <c r="EK298"/>
      <c r="EL298"/>
      <c r="EM298"/>
      <c r="EN298"/>
      <c r="EO298"/>
      <c r="EP298"/>
      <c r="EQ298"/>
      <c r="ER298"/>
      <c r="ES298"/>
      <c r="ET298"/>
      <c r="EU298"/>
      <c r="EV298"/>
      <c r="EW298"/>
      <c r="EX298"/>
      <c r="EY298"/>
      <c r="EZ298"/>
      <c r="FA298"/>
      <c r="FB298"/>
      <c r="FC298"/>
      <c r="FD298"/>
      <c r="FE298"/>
      <c r="FF298"/>
      <c r="FG298"/>
      <c r="FH298"/>
      <c r="FI298"/>
      <c r="FJ298"/>
      <c r="FK298"/>
      <c r="FL298"/>
      <c r="FM298"/>
      <c r="FN298"/>
      <c r="FO298"/>
      <c r="FP298"/>
      <c r="FQ298"/>
      <c r="FR298"/>
      <c r="FS298"/>
      <c r="FT298"/>
      <c r="FU298"/>
      <c r="FV298"/>
      <c r="FW298"/>
      <c r="FX298"/>
      <c r="FY298"/>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c r="JA298"/>
      <c r="JB298"/>
      <c r="JC298"/>
      <c r="JD298"/>
      <c r="JE298"/>
      <c r="JF298"/>
      <c r="JG298"/>
      <c r="JH298"/>
      <c r="JI298"/>
      <c r="JJ298"/>
      <c r="JK298"/>
      <c r="JL298"/>
      <c r="JM298"/>
      <c r="JN298"/>
      <c r="JO298"/>
      <c r="JP298"/>
      <c r="JQ298"/>
      <c r="JR298"/>
      <c r="JS298"/>
      <c r="JT298"/>
      <c r="JU298"/>
      <c r="JV298"/>
      <c r="JW298"/>
      <c r="JX298"/>
      <c r="JY298"/>
      <c r="JZ298"/>
      <c r="KA298"/>
      <c r="KB298"/>
      <c r="KC298"/>
      <c r="KD298"/>
      <c r="KE298"/>
      <c r="KF298"/>
      <c r="KG298"/>
      <c r="KH298"/>
      <c r="KI298"/>
      <c r="KJ298"/>
      <c r="KK298"/>
      <c r="KL298"/>
      <c r="KM298"/>
      <c r="KN298"/>
      <c r="KO298"/>
      <c r="KP298"/>
      <c r="KQ298"/>
      <c r="KR298"/>
      <c r="KS298"/>
    </row>
    <row r="299" spans="2:305" hidden="1" x14ac:dyDescent="0.35">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c r="CU299"/>
      <c r="CV299"/>
      <c r="CW299"/>
      <c r="CX299"/>
      <c r="CY299"/>
      <c r="CZ299"/>
      <c r="DA299"/>
      <c r="DB299"/>
      <c r="DC299"/>
      <c r="DD299"/>
      <c r="DE299"/>
      <c r="DF299"/>
      <c r="DG299"/>
      <c r="DH299"/>
      <c r="DI299"/>
      <c r="DJ299"/>
      <c r="DK299"/>
      <c r="DL299"/>
      <c r="DM299"/>
      <c r="DN299"/>
      <c r="DO299"/>
      <c r="DP299"/>
      <c r="DQ299"/>
      <c r="DR299"/>
      <c r="DS299"/>
      <c r="DT299"/>
      <c r="DU299"/>
      <c r="DV299"/>
      <c r="DW299"/>
      <c r="DX299"/>
      <c r="DY299"/>
      <c r="DZ299"/>
      <c r="EA299"/>
      <c r="EB299"/>
      <c r="EC299"/>
      <c r="ED299"/>
      <c r="EE299"/>
      <c r="EF299"/>
      <c r="EG299"/>
      <c r="EH299"/>
      <c r="EI299"/>
      <c r="EJ299"/>
      <c r="EK299"/>
      <c r="EL299"/>
      <c r="EM299"/>
      <c r="EN299"/>
      <c r="EO299"/>
      <c r="EP299"/>
      <c r="EQ299"/>
      <c r="ER299"/>
      <c r="ES299"/>
      <c r="ET299"/>
      <c r="EU299"/>
      <c r="EV299"/>
      <c r="EW299"/>
      <c r="EX299"/>
      <c r="EY299"/>
      <c r="EZ299"/>
      <c r="FA299"/>
      <c r="FB299"/>
      <c r="FC299"/>
      <c r="FD299"/>
      <c r="FE299"/>
      <c r="FF299"/>
      <c r="FG299"/>
      <c r="FH299"/>
      <c r="FI299"/>
      <c r="FJ299"/>
      <c r="FK299"/>
      <c r="FL299"/>
      <c r="FM299"/>
      <c r="FN299"/>
      <c r="FO299"/>
      <c r="FP299"/>
      <c r="FQ299"/>
      <c r="FR299"/>
      <c r="FS299"/>
      <c r="FT299"/>
      <c r="FU299"/>
      <c r="FV299"/>
      <c r="FW299"/>
      <c r="FX299"/>
      <c r="FY299"/>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c r="JA299"/>
      <c r="JB299"/>
      <c r="JC299"/>
      <c r="JD299"/>
      <c r="JE299"/>
      <c r="JF299"/>
      <c r="JG299"/>
      <c r="JH299"/>
      <c r="JI299"/>
      <c r="JJ299"/>
      <c r="JK299"/>
      <c r="JL299"/>
      <c r="JM299"/>
      <c r="JN299"/>
      <c r="JO299"/>
      <c r="JP299"/>
      <c r="JQ299"/>
      <c r="JR299"/>
      <c r="JS299"/>
      <c r="JT299"/>
      <c r="JU299"/>
      <c r="JV299"/>
      <c r="JW299"/>
      <c r="JX299"/>
      <c r="JY299"/>
      <c r="JZ299"/>
      <c r="KA299"/>
      <c r="KB299"/>
      <c r="KC299"/>
      <c r="KD299"/>
      <c r="KE299"/>
      <c r="KF299"/>
      <c r="KG299"/>
      <c r="KH299"/>
      <c r="KI299"/>
      <c r="KJ299"/>
      <c r="KK299"/>
      <c r="KL299"/>
      <c r="KM299"/>
      <c r="KN299"/>
      <c r="KO299"/>
      <c r="KP299"/>
      <c r="KQ299"/>
      <c r="KR299"/>
      <c r="KS299"/>
    </row>
    <row r="300" spans="2:305" hidden="1" x14ac:dyDescent="0.35">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c r="CU300"/>
      <c r="CV300"/>
      <c r="CW300"/>
      <c r="CX300"/>
      <c r="CY300"/>
      <c r="CZ300"/>
      <c r="DA300"/>
      <c r="DB300"/>
      <c r="DC300"/>
      <c r="DD300"/>
      <c r="DE300"/>
      <c r="DF300"/>
      <c r="DG300"/>
      <c r="DH300"/>
      <c r="DI300"/>
      <c r="DJ300"/>
      <c r="DK300"/>
      <c r="DL300"/>
      <c r="DM300"/>
      <c r="DN300"/>
      <c r="DO300"/>
      <c r="DP300"/>
      <c r="DQ300"/>
      <c r="DR300"/>
      <c r="DS300"/>
      <c r="DT300"/>
      <c r="DU300"/>
      <c r="DV300"/>
      <c r="DW300"/>
      <c r="DX300"/>
      <c r="DY300"/>
      <c r="DZ300"/>
      <c r="EA300"/>
      <c r="EB300"/>
      <c r="EC300"/>
      <c r="ED300"/>
      <c r="EE300"/>
      <c r="EF300"/>
      <c r="EG300"/>
      <c r="EH300"/>
      <c r="EI300"/>
      <c r="EJ300"/>
      <c r="EK300"/>
      <c r="EL300"/>
      <c r="EM300"/>
      <c r="EN300"/>
      <c r="EO300"/>
      <c r="EP300"/>
      <c r="EQ300"/>
      <c r="ER300"/>
      <c r="ES300"/>
      <c r="ET300"/>
      <c r="EU300"/>
      <c r="EV300"/>
      <c r="EW300"/>
      <c r="EX300"/>
      <c r="EY300"/>
      <c r="EZ300"/>
      <c r="FA300"/>
      <c r="FB300"/>
      <c r="FC300"/>
      <c r="FD300"/>
      <c r="FE300"/>
      <c r="FF300"/>
      <c r="FG300"/>
      <c r="FH300"/>
      <c r="FI300"/>
      <c r="FJ300"/>
      <c r="FK300"/>
      <c r="FL300"/>
      <c r="FM300"/>
      <c r="FN300"/>
      <c r="FO300"/>
      <c r="FP300"/>
      <c r="FQ300"/>
      <c r="FR300"/>
      <c r="FS300"/>
      <c r="FT300"/>
      <c r="FU300"/>
      <c r="FV300"/>
      <c r="FW300"/>
      <c r="FX300"/>
      <c r="FY30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c r="JA300"/>
      <c r="JB300"/>
      <c r="JC300"/>
      <c r="JD300"/>
      <c r="JE300"/>
      <c r="JF300"/>
      <c r="JG300"/>
      <c r="JH300"/>
      <c r="JI300"/>
      <c r="JJ300"/>
      <c r="JK300"/>
      <c r="JL300"/>
      <c r="JM300"/>
      <c r="JN300"/>
      <c r="JO300"/>
      <c r="JP300"/>
      <c r="JQ300"/>
      <c r="JR300"/>
      <c r="JS300"/>
      <c r="JT300"/>
      <c r="JU300"/>
      <c r="JV300"/>
      <c r="JW300"/>
      <c r="JX300"/>
      <c r="JY300"/>
      <c r="JZ300"/>
      <c r="KA300"/>
      <c r="KB300"/>
      <c r="KC300"/>
      <c r="KD300"/>
      <c r="KE300"/>
      <c r="KF300"/>
      <c r="KG300"/>
      <c r="KH300"/>
      <c r="KI300"/>
      <c r="KJ300"/>
      <c r="KK300"/>
      <c r="KL300"/>
      <c r="KM300"/>
      <c r="KN300"/>
      <c r="KO300"/>
      <c r="KP300"/>
      <c r="KQ300"/>
      <c r="KR300"/>
      <c r="KS300"/>
    </row>
    <row r="301" spans="2:305" hidden="1" x14ac:dyDescent="0.35">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c r="CU301"/>
      <c r="CV301"/>
      <c r="CW301"/>
      <c r="CX301"/>
      <c r="CY301"/>
      <c r="CZ301"/>
      <c r="DA301"/>
      <c r="DB301"/>
      <c r="DC301"/>
      <c r="DD301"/>
      <c r="DE301"/>
      <c r="DF301"/>
      <c r="DG301"/>
      <c r="DH301"/>
      <c r="DI301"/>
      <c r="DJ301"/>
      <c r="DK301"/>
      <c r="DL301"/>
      <c r="DM301"/>
      <c r="DN301"/>
      <c r="DO301"/>
      <c r="DP301"/>
      <c r="DQ301"/>
      <c r="DR301"/>
      <c r="DS301"/>
      <c r="DT301"/>
      <c r="DU301"/>
      <c r="DV301"/>
      <c r="DW301"/>
      <c r="DX301"/>
      <c r="DY301"/>
      <c r="DZ301"/>
      <c r="EA301"/>
      <c r="EB301"/>
      <c r="EC301"/>
      <c r="ED301"/>
      <c r="EE301"/>
      <c r="EF301"/>
      <c r="EG301"/>
      <c r="EH301"/>
      <c r="EI301"/>
      <c r="EJ301"/>
      <c r="EK301"/>
      <c r="EL301"/>
      <c r="EM301"/>
      <c r="EN301"/>
      <c r="EO301"/>
      <c r="EP301"/>
      <c r="EQ301"/>
      <c r="ER301"/>
      <c r="ES301"/>
      <c r="ET301"/>
      <c r="EU301"/>
      <c r="EV301"/>
      <c r="EW301"/>
      <c r="EX301"/>
      <c r="EY301"/>
      <c r="EZ301"/>
      <c r="FA301"/>
      <c r="FB301"/>
      <c r="FC301"/>
      <c r="FD301"/>
      <c r="FE301"/>
      <c r="FF301"/>
      <c r="FG301"/>
      <c r="FH301"/>
      <c r="FI301"/>
      <c r="FJ301"/>
      <c r="FK301"/>
      <c r="FL301"/>
      <c r="FM301"/>
      <c r="FN301"/>
      <c r="FO301"/>
      <c r="FP301"/>
      <c r="FQ301"/>
      <c r="FR301"/>
      <c r="FS301"/>
      <c r="FT301"/>
      <c r="FU301"/>
      <c r="FV301"/>
      <c r="FW301"/>
      <c r="FX301"/>
      <c r="FY301"/>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c r="JA301"/>
      <c r="JB301"/>
      <c r="JC301"/>
      <c r="JD301"/>
      <c r="JE301"/>
      <c r="JF301"/>
      <c r="JG301"/>
      <c r="JH301"/>
      <c r="JI301"/>
      <c r="JJ301"/>
      <c r="JK301"/>
      <c r="JL301"/>
      <c r="JM301"/>
      <c r="JN301"/>
      <c r="JO301"/>
      <c r="JP301"/>
      <c r="JQ301"/>
      <c r="JR301"/>
      <c r="JS301"/>
      <c r="JT301"/>
      <c r="JU301"/>
      <c r="JV301"/>
      <c r="JW301"/>
      <c r="JX301"/>
      <c r="JY301"/>
      <c r="JZ301"/>
      <c r="KA301"/>
      <c r="KB301"/>
      <c r="KC301"/>
      <c r="KD301"/>
      <c r="KE301"/>
      <c r="KF301"/>
      <c r="KG301"/>
      <c r="KH301"/>
      <c r="KI301"/>
      <c r="KJ301"/>
      <c r="KK301"/>
      <c r="KL301"/>
      <c r="KM301"/>
      <c r="KN301"/>
      <c r="KO301"/>
      <c r="KP301"/>
      <c r="KQ301"/>
      <c r="KR301"/>
      <c r="KS301"/>
    </row>
    <row r="302" spans="2:305" hidden="1" x14ac:dyDescent="0.35">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c r="CU302"/>
      <c r="CV302"/>
      <c r="CW302"/>
      <c r="CX302"/>
      <c r="CY302"/>
      <c r="CZ302"/>
      <c r="DA302"/>
      <c r="DB302"/>
      <c r="DC302"/>
      <c r="DD302"/>
      <c r="DE302"/>
      <c r="DF302"/>
      <c r="DG302"/>
      <c r="DH302"/>
      <c r="DI302"/>
      <c r="DJ302"/>
      <c r="DK302"/>
      <c r="DL302"/>
      <c r="DM302"/>
      <c r="DN302"/>
      <c r="DO302"/>
      <c r="DP302"/>
      <c r="DQ302"/>
      <c r="DR302"/>
      <c r="DS302"/>
      <c r="DT302"/>
      <c r="DU302"/>
      <c r="DV302"/>
      <c r="DW302"/>
      <c r="DX302"/>
      <c r="DY302"/>
      <c r="DZ302"/>
      <c r="EA302"/>
      <c r="EB302"/>
      <c r="EC302"/>
      <c r="ED302"/>
      <c r="EE302"/>
      <c r="EF302"/>
      <c r="EG302"/>
      <c r="EH302"/>
      <c r="EI302"/>
      <c r="EJ302"/>
      <c r="EK302"/>
      <c r="EL302"/>
      <c r="EM302"/>
      <c r="EN302"/>
      <c r="EO302"/>
      <c r="EP302"/>
      <c r="EQ302"/>
      <c r="ER302"/>
      <c r="ES302"/>
      <c r="ET302"/>
      <c r="EU302"/>
      <c r="EV302"/>
      <c r="EW302"/>
      <c r="EX302"/>
      <c r="EY302"/>
      <c r="EZ302"/>
      <c r="FA302"/>
      <c r="FB302"/>
      <c r="FC302"/>
      <c r="FD302"/>
      <c r="FE302"/>
      <c r="FF302"/>
      <c r="FG302"/>
      <c r="FH302"/>
      <c r="FI302"/>
      <c r="FJ302"/>
      <c r="FK302"/>
      <c r="FL302"/>
      <c r="FM302"/>
      <c r="FN302"/>
      <c r="FO302"/>
      <c r="FP302"/>
      <c r="FQ302"/>
      <c r="FR302"/>
      <c r="FS302"/>
      <c r="FT302"/>
      <c r="FU302"/>
      <c r="FV302"/>
      <c r="FW302"/>
      <c r="FX302"/>
      <c r="FY302"/>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c r="JA302"/>
      <c r="JB302"/>
      <c r="JC302"/>
      <c r="JD302"/>
      <c r="JE302"/>
      <c r="JF302"/>
      <c r="JG302"/>
      <c r="JH302"/>
      <c r="JI302"/>
      <c r="JJ302"/>
      <c r="JK302"/>
      <c r="JL302"/>
      <c r="JM302"/>
      <c r="JN302"/>
      <c r="JO302"/>
      <c r="JP302"/>
      <c r="JQ302"/>
      <c r="JR302"/>
      <c r="JS302"/>
      <c r="JT302"/>
      <c r="JU302"/>
      <c r="JV302"/>
      <c r="JW302"/>
      <c r="JX302"/>
      <c r="JY302"/>
      <c r="JZ302"/>
      <c r="KA302"/>
      <c r="KB302"/>
      <c r="KC302"/>
      <c r="KD302"/>
      <c r="KE302"/>
      <c r="KF302"/>
      <c r="KG302"/>
      <c r="KH302"/>
      <c r="KI302"/>
      <c r="KJ302"/>
      <c r="KK302"/>
      <c r="KL302"/>
      <c r="KM302"/>
      <c r="KN302"/>
      <c r="KO302"/>
      <c r="KP302"/>
      <c r="KQ302"/>
      <c r="KR302"/>
      <c r="KS302"/>
    </row>
    <row r="303" spans="2:305" hidden="1" x14ac:dyDescent="0.35">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c r="CU303"/>
      <c r="CV303"/>
      <c r="CW303"/>
      <c r="CX303"/>
      <c r="CY303"/>
      <c r="CZ303"/>
      <c r="DA303"/>
      <c r="DB303"/>
      <c r="DC303"/>
      <c r="DD303"/>
      <c r="DE303"/>
      <c r="DF303"/>
      <c r="DG303"/>
      <c r="DH303"/>
      <c r="DI303"/>
      <c r="DJ303"/>
      <c r="DK303"/>
      <c r="DL303"/>
      <c r="DM303"/>
      <c r="DN303"/>
      <c r="DO303"/>
      <c r="DP303"/>
      <c r="DQ303"/>
      <c r="DR303"/>
      <c r="DS303"/>
      <c r="DT303"/>
      <c r="DU303"/>
      <c r="DV303"/>
      <c r="DW303"/>
      <c r="DX303"/>
      <c r="DY303"/>
      <c r="DZ303"/>
      <c r="EA303"/>
      <c r="EB303"/>
      <c r="EC303"/>
      <c r="ED303"/>
      <c r="EE303"/>
      <c r="EF303"/>
      <c r="EG303"/>
      <c r="EH303"/>
      <c r="EI303"/>
      <c r="EJ303"/>
      <c r="EK303"/>
      <c r="EL303"/>
      <c r="EM303"/>
      <c r="EN303"/>
      <c r="EO303"/>
      <c r="EP303"/>
      <c r="EQ303"/>
      <c r="ER303"/>
      <c r="ES303"/>
      <c r="ET303"/>
      <c r="EU303"/>
      <c r="EV303"/>
      <c r="EW303"/>
      <c r="EX303"/>
      <c r="EY303"/>
      <c r="EZ303"/>
      <c r="FA303"/>
      <c r="FB303"/>
      <c r="FC303"/>
      <c r="FD303"/>
      <c r="FE303"/>
      <c r="FF303"/>
      <c r="FG303"/>
      <c r="FH303"/>
      <c r="FI303"/>
      <c r="FJ303"/>
      <c r="FK303"/>
      <c r="FL303"/>
      <c r="FM303"/>
      <c r="FN303"/>
      <c r="FO303"/>
      <c r="FP303"/>
      <c r="FQ303"/>
      <c r="FR303"/>
      <c r="FS303"/>
      <c r="FT303"/>
      <c r="FU303"/>
      <c r="FV303"/>
      <c r="FW303"/>
      <c r="FX303"/>
      <c r="FY303"/>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c r="JA303"/>
      <c r="JB303"/>
      <c r="JC303"/>
      <c r="JD303"/>
      <c r="JE303"/>
      <c r="JF303"/>
      <c r="JG303"/>
      <c r="JH303"/>
      <c r="JI303"/>
      <c r="JJ303"/>
      <c r="JK303"/>
      <c r="JL303"/>
      <c r="JM303"/>
      <c r="JN303"/>
      <c r="JO303"/>
      <c r="JP303"/>
      <c r="JQ303"/>
      <c r="JR303"/>
      <c r="JS303"/>
      <c r="JT303"/>
      <c r="JU303"/>
      <c r="JV303"/>
      <c r="JW303"/>
      <c r="JX303"/>
      <c r="JY303"/>
      <c r="JZ303"/>
      <c r="KA303"/>
      <c r="KB303"/>
      <c r="KC303"/>
      <c r="KD303"/>
      <c r="KE303"/>
      <c r="KF303"/>
      <c r="KG303"/>
      <c r="KH303"/>
      <c r="KI303"/>
      <c r="KJ303"/>
      <c r="KK303"/>
      <c r="KL303"/>
      <c r="KM303"/>
      <c r="KN303"/>
      <c r="KO303"/>
      <c r="KP303"/>
      <c r="KQ303"/>
      <c r="KR303"/>
      <c r="KS303"/>
    </row>
    <row r="304" spans="2:305" hidden="1" x14ac:dyDescent="0.35">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c r="CU304"/>
      <c r="CV304"/>
      <c r="CW304"/>
      <c r="CX304"/>
      <c r="CY304"/>
      <c r="CZ304"/>
      <c r="DA304"/>
      <c r="DB304"/>
      <c r="DC304"/>
      <c r="DD304"/>
      <c r="DE304"/>
      <c r="DF304"/>
      <c r="DG304"/>
      <c r="DH304"/>
      <c r="DI304"/>
      <c r="DJ304"/>
      <c r="DK304"/>
      <c r="DL304"/>
      <c r="DM304"/>
      <c r="DN304"/>
      <c r="DO304"/>
      <c r="DP304"/>
      <c r="DQ304"/>
      <c r="DR304"/>
      <c r="DS304"/>
      <c r="DT304"/>
      <c r="DU304"/>
      <c r="DV304"/>
      <c r="DW304"/>
      <c r="DX304"/>
      <c r="DY304"/>
      <c r="DZ304"/>
      <c r="EA304"/>
      <c r="EB304"/>
      <c r="EC304"/>
      <c r="ED304"/>
      <c r="EE304"/>
      <c r="EF304"/>
      <c r="EG304"/>
      <c r="EH304"/>
      <c r="EI304"/>
      <c r="EJ304"/>
      <c r="EK304"/>
      <c r="EL304"/>
      <c r="EM304"/>
      <c r="EN304"/>
      <c r="EO304"/>
      <c r="EP304"/>
      <c r="EQ304"/>
      <c r="ER304"/>
      <c r="ES304"/>
      <c r="ET304"/>
      <c r="EU304"/>
      <c r="EV304"/>
      <c r="EW304"/>
      <c r="EX304"/>
      <c r="EY304"/>
      <c r="EZ304"/>
      <c r="FA304"/>
      <c r="FB304"/>
      <c r="FC304"/>
      <c r="FD304"/>
      <c r="FE304"/>
      <c r="FF304"/>
      <c r="FG304"/>
      <c r="FH304"/>
      <c r="FI304"/>
      <c r="FJ304"/>
      <c r="FK304"/>
      <c r="FL304"/>
      <c r="FM304"/>
      <c r="FN304"/>
      <c r="FO304"/>
      <c r="FP304"/>
      <c r="FQ304"/>
      <c r="FR304"/>
      <c r="FS304"/>
      <c r="FT304"/>
      <c r="FU304"/>
      <c r="FV304"/>
      <c r="FW304"/>
      <c r="FX304"/>
      <c r="FY304"/>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c r="JA304"/>
      <c r="JB304"/>
      <c r="JC304"/>
      <c r="JD304"/>
      <c r="JE304"/>
      <c r="JF304"/>
      <c r="JG304"/>
      <c r="JH304"/>
      <c r="JI304"/>
      <c r="JJ304"/>
      <c r="JK304"/>
      <c r="JL304"/>
      <c r="JM304"/>
      <c r="JN304"/>
      <c r="JO304"/>
      <c r="JP304"/>
      <c r="JQ304"/>
      <c r="JR304"/>
      <c r="JS304"/>
      <c r="JT304"/>
      <c r="JU304"/>
      <c r="JV304"/>
      <c r="JW304"/>
      <c r="JX304"/>
      <c r="JY304"/>
      <c r="JZ304"/>
      <c r="KA304"/>
      <c r="KB304"/>
      <c r="KC304"/>
      <c r="KD304"/>
      <c r="KE304"/>
      <c r="KF304"/>
      <c r="KG304"/>
      <c r="KH304"/>
      <c r="KI304"/>
      <c r="KJ304"/>
      <c r="KK304"/>
      <c r="KL304"/>
      <c r="KM304"/>
      <c r="KN304"/>
      <c r="KO304"/>
      <c r="KP304"/>
      <c r="KQ304"/>
      <c r="KR304"/>
      <c r="KS304"/>
    </row>
    <row r="305" spans="2:305" hidden="1" x14ac:dyDescent="0.3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c r="CU305"/>
      <c r="CV305"/>
      <c r="CW305"/>
      <c r="CX305"/>
      <c r="CY305"/>
      <c r="CZ305"/>
      <c r="DA305"/>
      <c r="DB305"/>
      <c r="DC305"/>
      <c r="DD305"/>
      <c r="DE305"/>
      <c r="DF305"/>
      <c r="DG305"/>
      <c r="DH305"/>
      <c r="DI305"/>
      <c r="DJ305"/>
      <c r="DK305"/>
      <c r="DL305"/>
      <c r="DM305"/>
      <c r="DN305"/>
      <c r="DO305"/>
      <c r="DP305"/>
      <c r="DQ305"/>
      <c r="DR305"/>
      <c r="DS305"/>
      <c r="DT305"/>
      <c r="DU305"/>
      <c r="DV305"/>
      <c r="DW305"/>
      <c r="DX305"/>
      <c r="DY305"/>
      <c r="DZ305"/>
      <c r="EA305"/>
      <c r="EB305"/>
      <c r="EC305"/>
      <c r="ED305"/>
      <c r="EE305"/>
      <c r="EF305"/>
      <c r="EG305"/>
      <c r="EH305"/>
      <c r="EI305"/>
      <c r="EJ305"/>
      <c r="EK305"/>
      <c r="EL305"/>
      <c r="EM305"/>
      <c r="EN305"/>
      <c r="EO305"/>
      <c r="EP305"/>
      <c r="EQ305"/>
      <c r="ER305"/>
      <c r="ES305"/>
      <c r="ET305"/>
      <c r="EU305"/>
      <c r="EV305"/>
      <c r="EW305"/>
      <c r="EX305"/>
      <c r="EY305"/>
      <c r="EZ305"/>
      <c r="FA305"/>
      <c r="FB305"/>
      <c r="FC305"/>
      <c r="FD305"/>
      <c r="FE305"/>
      <c r="FF305"/>
      <c r="FG305"/>
      <c r="FH305"/>
      <c r="FI305"/>
      <c r="FJ305"/>
      <c r="FK305"/>
      <c r="FL305"/>
      <c r="FM305"/>
      <c r="FN305"/>
      <c r="FO305"/>
      <c r="FP305"/>
      <c r="FQ305"/>
      <c r="FR305"/>
      <c r="FS305"/>
      <c r="FT305"/>
      <c r="FU305"/>
      <c r="FV305"/>
      <c r="FW305"/>
      <c r="FX305"/>
      <c r="FY305"/>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c r="JA305"/>
      <c r="JB305"/>
      <c r="JC305"/>
      <c r="JD305"/>
      <c r="JE305"/>
      <c r="JF305"/>
      <c r="JG305"/>
      <c r="JH305"/>
      <c r="JI305"/>
      <c r="JJ305"/>
      <c r="JK305"/>
      <c r="JL305"/>
      <c r="JM305"/>
      <c r="JN305"/>
      <c r="JO305"/>
      <c r="JP305"/>
      <c r="JQ305"/>
      <c r="JR305"/>
      <c r="JS305"/>
      <c r="JT305"/>
      <c r="JU305"/>
      <c r="JV305"/>
      <c r="JW305"/>
      <c r="JX305"/>
      <c r="JY305"/>
      <c r="JZ305"/>
      <c r="KA305"/>
      <c r="KB305"/>
      <c r="KC305"/>
      <c r="KD305"/>
      <c r="KE305"/>
      <c r="KF305"/>
      <c r="KG305"/>
      <c r="KH305"/>
      <c r="KI305"/>
      <c r="KJ305"/>
      <c r="KK305"/>
      <c r="KL305"/>
      <c r="KM305"/>
      <c r="KN305"/>
      <c r="KO305"/>
      <c r="KP305"/>
      <c r="KQ305"/>
      <c r="KR305"/>
      <c r="KS305"/>
    </row>
    <row r="306" spans="2:305" hidden="1" x14ac:dyDescent="0.35">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c r="CU306"/>
      <c r="CV306"/>
      <c r="CW306"/>
      <c r="CX306"/>
      <c r="CY306"/>
      <c r="CZ306"/>
      <c r="DA306"/>
      <c r="DB306"/>
      <c r="DC306"/>
      <c r="DD306"/>
      <c r="DE306"/>
      <c r="DF306"/>
      <c r="DG306"/>
      <c r="DH306"/>
      <c r="DI306"/>
      <c r="DJ306"/>
      <c r="DK306"/>
      <c r="DL306"/>
      <c r="DM306"/>
      <c r="DN306"/>
      <c r="DO306"/>
      <c r="DP306"/>
      <c r="DQ306"/>
      <c r="DR306"/>
      <c r="DS306"/>
      <c r="DT306"/>
      <c r="DU306"/>
      <c r="DV306"/>
      <c r="DW306"/>
      <c r="DX306"/>
      <c r="DY306"/>
      <c r="DZ306"/>
      <c r="EA306"/>
      <c r="EB306"/>
      <c r="EC306"/>
      <c r="ED306"/>
      <c r="EE306"/>
      <c r="EF306"/>
      <c r="EG306"/>
      <c r="EH306"/>
      <c r="EI306"/>
      <c r="EJ306"/>
      <c r="EK306"/>
      <c r="EL306"/>
      <c r="EM306"/>
      <c r="EN306"/>
      <c r="EO306"/>
      <c r="EP306"/>
      <c r="EQ306"/>
      <c r="ER306"/>
      <c r="ES306"/>
      <c r="ET306"/>
      <c r="EU306"/>
      <c r="EV306"/>
      <c r="EW306"/>
      <c r="EX306"/>
      <c r="EY306"/>
      <c r="EZ306"/>
      <c r="FA306"/>
      <c r="FB306"/>
      <c r="FC306"/>
      <c r="FD306"/>
      <c r="FE306"/>
      <c r="FF306"/>
      <c r="FG306"/>
      <c r="FH306"/>
      <c r="FI306"/>
      <c r="FJ306"/>
      <c r="FK306"/>
      <c r="FL306"/>
      <c r="FM306"/>
      <c r="FN306"/>
      <c r="FO306"/>
      <c r="FP306"/>
      <c r="FQ306"/>
      <c r="FR306"/>
      <c r="FS306"/>
      <c r="FT306"/>
      <c r="FU306"/>
      <c r="FV306"/>
      <c r="FW306"/>
      <c r="FX306"/>
      <c r="FY306"/>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c r="JA306"/>
      <c r="JB306"/>
      <c r="JC306"/>
      <c r="JD306"/>
      <c r="JE306"/>
      <c r="JF306"/>
      <c r="JG306"/>
      <c r="JH306"/>
      <c r="JI306"/>
      <c r="JJ306"/>
      <c r="JK306"/>
      <c r="JL306"/>
      <c r="JM306"/>
      <c r="JN306"/>
      <c r="JO306"/>
      <c r="JP306"/>
      <c r="JQ306"/>
      <c r="JR306"/>
      <c r="JS306"/>
      <c r="JT306"/>
      <c r="JU306"/>
      <c r="JV306"/>
      <c r="JW306"/>
      <c r="JX306"/>
      <c r="JY306"/>
      <c r="JZ306"/>
      <c r="KA306"/>
      <c r="KB306"/>
      <c r="KC306"/>
      <c r="KD306"/>
      <c r="KE306"/>
      <c r="KF306"/>
      <c r="KG306"/>
      <c r="KH306"/>
      <c r="KI306"/>
      <c r="KJ306"/>
      <c r="KK306"/>
      <c r="KL306"/>
      <c r="KM306"/>
      <c r="KN306"/>
      <c r="KO306"/>
      <c r="KP306"/>
      <c r="KQ306"/>
      <c r="KR306"/>
      <c r="KS306"/>
    </row>
    <row r="307" spans="2:305" hidden="1" x14ac:dyDescent="0.35">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c r="CU307"/>
      <c r="CV307"/>
      <c r="CW307"/>
      <c r="CX307"/>
      <c r="CY307"/>
      <c r="CZ307"/>
      <c r="DA307"/>
      <c r="DB307"/>
      <c r="DC307"/>
      <c r="DD307"/>
      <c r="DE307"/>
      <c r="DF307"/>
      <c r="DG307"/>
      <c r="DH307"/>
      <c r="DI307"/>
      <c r="DJ307"/>
      <c r="DK307"/>
      <c r="DL307"/>
      <c r="DM307"/>
      <c r="DN307"/>
      <c r="DO307"/>
      <c r="DP307"/>
      <c r="DQ307"/>
      <c r="DR307"/>
      <c r="DS307"/>
      <c r="DT307"/>
      <c r="DU307"/>
      <c r="DV307"/>
      <c r="DW307"/>
      <c r="DX307"/>
      <c r="DY307"/>
      <c r="DZ307"/>
      <c r="EA307"/>
      <c r="EB307"/>
      <c r="EC307"/>
      <c r="ED307"/>
      <c r="EE307"/>
      <c r="EF307"/>
      <c r="EG307"/>
      <c r="EH307"/>
      <c r="EI307"/>
      <c r="EJ307"/>
      <c r="EK307"/>
      <c r="EL307"/>
      <c r="EM307"/>
      <c r="EN307"/>
      <c r="EO307"/>
      <c r="EP307"/>
      <c r="EQ307"/>
      <c r="ER307"/>
      <c r="ES307"/>
      <c r="ET307"/>
      <c r="EU307"/>
      <c r="EV307"/>
      <c r="EW307"/>
      <c r="EX307"/>
      <c r="EY307"/>
      <c r="EZ307"/>
      <c r="FA307"/>
      <c r="FB307"/>
      <c r="FC307"/>
      <c r="FD307"/>
      <c r="FE307"/>
      <c r="FF307"/>
      <c r="FG307"/>
      <c r="FH307"/>
      <c r="FI307"/>
      <c r="FJ307"/>
      <c r="FK307"/>
      <c r="FL307"/>
      <c r="FM307"/>
      <c r="FN307"/>
      <c r="FO307"/>
      <c r="FP307"/>
      <c r="FQ307"/>
      <c r="FR307"/>
      <c r="FS307"/>
      <c r="FT307"/>
      <c r="FU307"/>
      <c r="FV307"/>
      <c r="FW307"/>
      <c r="FX307"/>
      <c r="FY307"/>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c r="JA307"/>
      <c r="JB307"/>
      <c r="JC307"/>
      <c r="JD307"/>
      <c r="JE307"/>
      <c r="JF307"/>
      <c r="JG307"/>
      <c r="JH307"/>
      <c r="JI307"/>
      <c r="JJ307"/>
      <c r="JK307"/>
      <c r="JL307"/>
      <c r="JM307"/>
      <c r="JN307"/>
      <c r="JO307"/>
      <c r="JP307"/>
      <c r="JQ307"/>
      <c r="JR307"/>
      <c r="JS307"/>
      <c r="JT307"/>
      <c r="JU307"/>
      <c r="JV307"/>
      <c r="JW307"/>
      <c r="JX307"/>
      <c r="JY307"/>
      <c r="JZ307"/>
      <c r="KA307"/>
      <c r="KB307"/>
      <c r="KC307"/>
      <c r="KD307"/>
      <c r="KE307"/>
      <c r="KF307"/>
      <c r="KG307"/>
      <c r="KH307"/>
      <c r="KI307"/>
      <c r="KJ307"/>
      <c r="KK307"/>
      <c r="KL307"/>
      <c r="KM307"/>
      <c r="KN307"/>
      <c r="KO307"/>
      <c r="KP307"/>
      <c r="KQ307"/>
      <c r="KR307"/>
      <c r="KS307"/>
    </row>
    <row r="308" spans="2:305" hidden="1" x14ac:dyDescent="0.35">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c r="CU308"/>
      <c r="CV308"/>
      <c r="CW308"/>
      <c r="CX308"/>
      <c r="CY308"/>
      <c r="CZ308"/>
      <c r="DA308"/>
      <c r="DB308"/>
      <c r="DC308"/>
      <c r="DD308"/>
      <c r="DE308"/>
      <c r="DF308"/>
      <c r="DG308"/>
      <c r="DH308"/>
      <c r="DI308"/>
      <c r="DJ308"/>
      <c r="DK308"/>
      <c r="DL308"/>
      <c r="DM308"/>
      <c r="DN308"/>
      <c r="DO308"/>
      <c r="DP308"/>
      <c r="DQ308"/>
      <c r="DR308"/>
      <c r="DS308"/>
      <c r="DT308"/>
      <c r="DU308"/>
      <c r="DV308"/>
      <c r="DW308"/>
      <c r="DX308"/>
      <c r="DY308"/>
      <c r="DZ308"/>
      <c r="EA308"/>
      <c r="EB308"/>
      <c r="EC308"/>
      <c r="ED308"/>
      <c r="EE308"/>
      <c r="EF308"/>
      <c r="EG308"/>
      <c r="EH308"/>
      <c r="EI308"/>
      <c r="EJ308"/>
      <c r="EK308"/>
      <c r="EL308"/>
      <c r="EM308"/>
      <c r="EN308"/>
      <c r="EO308"/>
      <c r="EP308"/>
      <c r="EQ308"/>
      <c r="ER308"/>
      <c r="ES308"/>
      <c r="ET308"/>
      <c r="EU308"/>
      <c r="EV308"/>
      <c r="EW308"/>
      <c r="EX308"/>
      <c r="EY308"/>
      <c r="EZ308"/>
      <c r="FA308"/>
      <c r="FB308"/>
      <c r="FC308"/>
      <c r="FD308"/>
      <c r="FE308"/>
      <c r="FF308"/>
      <c r="FG308"/>
      <c r="FH308"/>
      <c r="FI308"/>
      <c r="FJ308"/>
      <c r="FK308"/>
      <c r="FL308"/>
      <c r="FM308"/>
      <c r="FN308"/>
      <c r="FO308"/>
      <c r="FP308"/>
      <c r="FQ308"/>
      <c r="FR308"/>
      <c r="FS308"/>
      <c r="FT308"/>
      <c r="FU308"/>
      <c r="FV308"/>
      <c r="FW308"/>
      <c r="FX308"/>
      <c r="FY308"/>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c r="JA308"/>
      <c r="JB308"/>
      <c r="JC308"/>
      <c r="JD308"/>
      <c r="JE308"/>
      <c r="JF308"/>
      <c r="JG308"/>
      <c r="JH308"/>
      <c r="JI308"/>
      <c r="JJ308"/>
      <c r="JK308"/>
      <c r="JL308"/>
      <c r="JM308"/>
      <c r="JN308"/>
      <c r="JO308"/>
      <c r="JP308"/>
      <c r="JQ308"/>
      <c r="JR308"/>
      <c r="JS308"/>
      <c r="JT308"/>
      <c r="JU308"/>
      <c r="JV308"/>
      <c r="JW308"/>
      <c r="JX308"/>
      <c r="JY308"/>
      <c r="JZ308"/>
      <c r="KA308"/>
      <c r="KB308"/>
      <c r="KC308"/>
      <c r="KD308"/>
      <c r="KE308"/>
      <c r="KF308"/>
      <c r="KG308"/>
      <c r="KH308"/>
      <c r="KI308"/>
      <c r="KJ308"/>
      <c r="KK308"/>
      <c r="KL308"/>
      <c r="KM308"/>
      <c r="KN308"/>
      <c r="KO308"/>
      <c r="KP308"/>
      <c r="KQ308"/>
      <c r="KR308"/>
      <c r="KS308"/>
    </row>
    <row r="309" spans="2:305" hidden="1" x14ac:dyDescent="0.35">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row>
    <row r="310" spans="2:305" hidden="1" x14ac:dyDescent="0.35">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c r="CU310"/>
      <c r="CV310"/>
      <c r="CW310"/>
      <c r="CX310"/>
      <c r="CY310"/>
      <c r="CZ310"/>
      <c r="DA310"/>
      <c r="DB310"/>
      <c r="DC310"/>
      <c r="DD310"/>
      <c r="DE310"/>
      <c r="DF310"/>
      <c r="DG310"/>
      <c r="DH310"/>
      <c r="DI310"/>
      <c r="DJ310"/>
      <c r="DK310"/>
      <c r="DL310"/>
      <c r="DM310"/>
      <c r="DN310"/>
      <c r="DO310"/>
      <c r="DP310"/>
      <c r="DQ310"/>
      <c r="DR310"/>
      <c r="DS310"/>
      <c r="DT310"/>
      <c r="DU310"/>
      <c r="DV310"/>
      <c r="DW310"/>
      <c r="DX310"/>
      <c r="DY310"/>
      <c r="DZ310"/>
      <c r="EA310"/>
      <c r="EB310"/>
      <c r="EC310"/>
      <c r="ED310"/>
      <c r="EE310"/>
      <c r="EF310"/>
      <c r="EG310"/>
      <c r="EH310"/>
      <c r="EI310"/>
      <c r="EJ310"/>
      <c r="EK310"/>
      <c r="EL310"/>
      <c r="EM310"/>
      <c r="EN310"/>
      <c r="EO310"/>
      <c r="EP310"/>
      <c r="EQ310"/>
      <c r="ER310"/>
      <c r="ES310"/>
      <c r="ET310"/>
      <c r="EU310"/>
      <c r="EV310"/>
      <c r="EW310"/>
      <c r="EX310"/>
      <c r="EY310"/>
      <c r="EZ310"/>
      <c r="FA310"/>
      <c r="FB310"/>
      <c r="FC310"/>
      <c r="FD310"/>
      <c r="FE310"/>
      <c r="FF310"/>
      <c r="FG310"/>
      <c r="FH310"/>
      <c r="FI310"/>
      <c r="FJ310"/>
      <c r="FK310"/>
      <c r="FL310"/>
      <c r="FM310"/>
      <c r="FN310"/>
      <c r="FO310"/>
      <c r="FP310"/>
      <c r="FQ310"/>
      <c r="FR310"/>
      <c r="FS310"/>
      <c r="FT310"/>
      <c r="FU310"/>
      <c r="FV310"/>
      <c r="FW310"/>
      <c r="FX310"/>
      <c r="FY310"/>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c r="JA310"/>
      <c r="JB310"/>
      <c r="JC310"/>
      <c r="JD310"/>
      <c r="JE310"/>
      <c r="JF310"/>
      <c r="JG310"/>
      <c r="JH310"/>
      <c r="JI310"/>
      <c r="JJ310"/>
      <c r="JK310"/>
      <c r="JL310"/>
      <c r="JM310"/>
      <c r="JN310"/>
      <c r="JO310"/>
      <c r="JP310"/>
      <c r="JQ310"/>
      <c r="JR310"/>
      <c r="JS310"/>
      <c r="JT310"/>
      <c r="JU310"/>
      <c r="JV310"/>
      <c r="JW310"/>
      <c r="JX310"/>
      <c r="JY310"/>
      <c r="JZ310"/>
      <c r="KA310"/>
      <c r="KB310"/>
      <c r="KC310"/>
      <c r="KD310"/>
      <c r="KE310"/>
      <c r="KF310"/>
      <c r="KG310"/>
      <c r="KH310"/>
      <c r="KI310"/>
      <c r="KJ310"/>
      <c r="KK310"/>
      <c r="KL310"/>
      <c r="KM310"/>
      <c r="KN310"/>
      <c r="KO310"/>
      <c r="KP310"/>
      <c r="KQ310"/>
      <c r="KR310"/>
      <c r="KS310"/>
    </row>
    <row r="311" spans="2:305" hidden="1" x14ac:dyDescent="0.35">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c r="CU311"/>
      <c r="CV311"/>
      <c r="CW311"/>
      <c r="CX311"/>
      <c r="CY311"/>
      <c r="CZ311"/>
      <c r="DA311"/>
      <c r="DB311"/>
      <c r="DC311"/>
      <c r="DD311"/>
      <c r="DE311"/>
      <c r="DF311"/>
      <c r="DG311"/>
      <c r="DH311"/>
      <c r="DI311"/>
      <c r="DJ311"/>
      <c r="DK311"/>
      <c r="DL311"/>
      <c r="DM311"/>
      <c r="DN311"/>
      <c r="DO311"/>
      <c r="DP311"/>
      <c r="DQ311"/>
      <c r="DR311"/>
      <c r="DS311"/>
      <c r="DT311"/>
      <c r="DU311"/>
      <c r="DV311"/>
      <c r="DW311"/>
      <c r="DX311"/>
      <c r="DY311"/>
      <c r="DZ311"/>
      <c r="EA311"/>
      <c r="EB311"/>
      <c r="EC311"/>
      <c r="ED311"/>
      <c r="EE311"/>
      <c r="EF311"/>
      <c r="EG311"/>
      <c r="EH311"/>
      <c r="EI311"/>
      <c r="EJ311"/>
      <c r="EK311"/>
      <c r="EL311"/>
      <c r="EM311"/>
      <c r="EN311"/>
      <c r="EO311"/>
      <c r="EP311"/>
      <c r="EQ311"/>
      <c r="ER311"/>
      <c r="ES311"/>
      <c r="ET311"/>
      <c r="EU311"/>
      <c r="EV311"/>
      <c r="EW311"/>
      <c r="EX311"/>
      <c r="EY311"/>
      <c r="EZ311"/>
      <c r="FA311"/>
      <c r="FB311"/>
      <c r="FC311"/>
      <c r="FD311"/>
      <c r="FE311"/>
      <c r="FF311"/>
      <c r="FG311"/>
      <c r="FH311"/>
      <c r="FI311"/>
      <c r="FJ311"/>
      <c r="FK311"/>
      <c r="FL311"/>
      <c r="FM311"/>
      <c r="FN311"/>
      <c r="FO311"/>
      <c r="FP311"/>
      <c r="FQ311"/>
      <c r="FR311"/>
      <c r="FS311"/>
      <c r="FT311"/>
      <c r="FU311"/>
      <c r="FV311"/>
      <c r="FW311"/>
      <c r="FX311"/>
      <c r="FY311"/>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c r="JA311"/>
      <c r="JB311"/>
      <c r="JC311"/>
      <c r="JD311"/>
      <c r="JE311"/>
      <c r="JF311"/>
      <c r="JG311"/>
      <c r="JH311"/>
      <c r="JI311"/>
      <c r="JJ311"/>
      <c r="JK311"/>
      <c r="JL311"/>
      <c r="JM311"/>
      <c r="JN311"/>
      <c r="JO311"/>
      <c r="JP311"/>
      <c r="JQ311"/>
      <c r="JR311"/>
      <c r="JS311"/>
      <c r="JT311"/>
      <c r="JU311"/>
      <c r="JV311"/>
      <c r="JW311"/>
      <c r="JX311"/>
      <c r="JY311"/>
      <c r="JZ311"/>
      <c r="KA311"/>
      <c r="KB311"/>
      <c r="KC311"/>
      <c r="KD311"/>
      <c r="KE311"/>
      <c r="KF311"/>
      <c r="KG311"/>
      <c r="KH311"/>
      <c r="KI311"/>
      <c r="KJ311"/>
      <c r="KK311"/>
      <c r="KL311"/>
      <c r="KM311"/>
      <c r="KN311"/>
      <c r="KO311"/>
      <c r="KP311"/>
      <c r="KQ311"/>
      <c r="KR311"/>
      <c r="KS311"/>
    </row>
    <row r="312" spans="2:305" hidden="1" x14ac:dyDescent="0.35">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c r="CU312"/>
      <c r="CV312"/>
      <c r="CW312"/>
      <c r="CX312"/>
      <c r="CY312"/>
      <c r="CZ312"/>
      <c r="DA312"/>
      <c r="DB312"/>
      <c r="DC312"/>
      <c r="DD312"/>
      <c r="DE312"/>
      <c r="DF312"/>
      <c r="DG312"/>
      <c r="DH312"/>
      <c r="DI312"/>
      <c r="DJ312"/>
      <c r="DK312"/>
      <c r="DL312"/>
      <c r="DM312"/>
      <c r="DN312"/>
      <c r="DO312"/>
      <c r="DP312"/>
      <c r="DQ312"/>
      <c r="DR312"/>
      <c r="DS312"/>
      <c r="DT312"/>
      <c r="DU312"/>
      <c r="DV312"/>
      <c r="DW312"/>
      <c r="DX312"/>
      <c r="DY312"/>
      <c r="DZ312"/>
      <c r="EA312"/>
      <c r="EB312"/>
      <c r="EC312"/>
      <c r="ED312"/>
      <c r="EE312"/>
      <c r="EF312"/>
      <c r="EG312"/>
      <c r="EH312"/>
      <c r="EI312"/>
      <c r="EJ312"/>
      <c r="EK312"/>
      <c r="EL312"/>
      <c r="EM312"/>
      <c r="EN312"/>
      <c r="EO312"/>
      <c r="EP312"/>
      <c r="EQ312"/>
      <c r="ER312"/>
      <c r="ES312"/>
      <c r="ET312"/>
      <c r="EU312"/>
      <c r="EV312"/>
      <c r="EW312"/>
      <c r="EX312"/>
      <c r="EY312"/>
      <c r="EZ312"/>
      <c r="FA312"/>
      <c r="FB312"/>
      <c r="FC312"/>
      <c r="FD312"/>
      <c r="FE312"/>
      <c r="FF312"/>
      <c r="FG312"/>
      <c r="FH312"/>
      <c r="FI312"/>
      <c r="FJ312"/>
      <c r="FK312"/>
      <c r="FL312"/>
      <c r="FM312"/>
      <c r="FN312"/>
      <c r="FO312"/>
      <c r="FP312"/>
      <c r="FQ312"/>
      <c r="FR312"/>
      <c r="FS312"/>
      <c r="FT312"/>
      <c r="FU312"/>
      <c r="FV312"/>
      <c r="FW312"/>
      <c r="FX312"/>
      <c r="FY312"/>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c r="JA312"/>
      <c r="JB312"/>
      <c r="JC312"/>
      <c r="JD312"/>
      <c r="JE312"/>
      <c r="JF312"/>
      <c r="JG312"/>
      <c r="JH312"/>
      <c r="JI312"/>
      <c r="JJ312"/>
      <c r="JK312"/>
      <c r="JL312"/>
      <c r="JM312"/>
      <c r="JN312"/>
      <c r="JO312"/>
      <c r="JP312"/>
      <c r="JQ312"/>
      <c r="JR312"/>
      <c r="JS312"/>
      <c r="JT312"/>
      <c r="JU312"/>
      <c r="JV312"/>
      <c r="JW312"/>
      <c r="JX312"/>
      <c r="JY312"/>
      <c r="JZ312"/>
      <c r="KA312"/>
      <c r="KB312"/>
      <c r="KC312"/>
      <c r="KD312"/>
      <c r="KE312"/>
      <c r="KF312"/>
      <c r="KG312"/>
      <c r="KH312"/>
      <c r="KI312"/>
      <c r="KJ312"/>
      <c r="KK312"/>
      <c r="KL312"/>
      <c r="KM312"/>
      <c r="KN312"/>
      <c r="KO312"/>
      <c r="KP312"/>
      <c r="KQ312"/>
      <c r="KR312"/>
      <c r="KS312"/>
    </row>
    <row r="313" spans="2:305" hidden="1" x14ac:dyDescent="0.35">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c r="CU313"/>
      <c r="CV313"/>
      <c r="CW313"/>
      <c r="CX313"/>
      <c r="CY313"/>
      <c r="CZ313"/>
      <c r="DA313"/>
      <c r="DB313"/>
      <c r="DC313"/>
      <c r="DD313"/>
      <c r="DE313"/>
      <c r="DF313"/>
      <c r="DG313"/>
      <c r="DH313"/>
      <c r="DI313"/>
      <c r="DJ313"/>
      <c r="DK313"/>
      <c r="DL313"/>
      <c r="DM313"/>
      <c r="DN313"/>
      <c r="DO313"/>
      <c r="DP313"/>
      <c r="DQ313"/>
      <c r="DR313"/>
      <c r="DS313"/>
      <c r="DT313"/>
      <c r="DU313"/>
      <c r="DV313"/>
      <c r="DW313"/>
      <c r="DX313"/>
      <c r="DY313"/>
      <c r="DZ313"/>
      <c r="EA313"/>
      <c r="EB313"/>
      <c r="EC313"/>
      <c r="ED313"/>
      <c r="EE313"/>
      <c r="EF313"/>
      <c r="EG313"/>
      <c r="EH313"/>
      <c r="EI313"/>
      <c r="EJ313"/>
      <c r="EK313"/>
      <c r="EL313"/>
      <c r="EM313"/>
      <c r="EN313"/>
      <c r="EO313"/>
      <c r="EP313"/>
      <c r="EQ313"/>
      <c r="ER313"/>
      <c r="ES313"/>
      <c r="ET313"/>
      <c r="EU313"/>
      <c r="EV313"/>
      <c r="EW313"/>
      <c r="EX313"/>
      <c r="EY313"/>
      <c r="EZ313"/>
      <c r="FA313"/>
      <c r="FB313"/>
      <c r="FC313"/>
      <c r="FD313"/>
      <c r="FE313"/>
      <c r="FF313"/>
      <c r="FG313"/>
      <c r="FH313"/>
      <c r="FI313"/>
      <c r="FJ313"/>
      <c r="FK313"/>
      <c r="FL313"/>
      <c r="FM313"/>
      <c r="FN313"/>
      <c r="FO313"/>
      <c r="FP313"/>
      <c r="FQ313"/>
      <c r="FR313"/>
      <c r="FS313"/>
      <c r="FT313"/>
      <c r="FU313"/>
      <c r="FV313"/>
      <c r="FW313"/>
      <c r="FX313"/>
      <c r="FY313"/>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c r="JA313"/>
      <c r="JB313"/>
      <c r="JC313"/>
      <c r="JD313"/>
      <c r="JE313"/>
      <c r="JF313"/>
      <c r="JG313"/>
      <c r="JH313"/>
      <c r="JI313"/>
      <c r="JJ313"/>
      <c r="JK313"/>
      <c r="JL313"/>
      <c r="JM313"/>
      <c r="JN313"/>
      <c r="JO313"/>
      <c r="JP313"/>
      <c r="JQ313"/>
      <c r="JR313"/>
      <c r="JS313"/>
      <c r="JT313"/>
      <c r="JU313"/>
      <c r="JV313"/>
      <c r="JW313"/>
      <c r="JX313"/>
      <c r="JY313"/>
      <c r="JZ313"/>
      <c r="KA313"/>
      <c r="KB313"/>
      <c r="KC313"/>
      <c r="KD313"/>
      <c r="KE313"/>
      <c r="KF313"/>
      <c r="KG313"/>
      <c r="KH313"/>
      <c r="KI313"/>
      <c r="KJ313"/>
      <c r="KK313"/>
      <c r="KL313"/>
      <c r="KM313"/>
      <c r="KN313"/>
      <c r="KO313"/>
      <c r="KP313"/>
      <c r="KQ313"/>
      <c r="KR313"/>
      <c r="KS313"/>
    </row>
    <row r="314" spans="2:305" hidden="1" x14ac:dyDescent="0.35">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c r="CU314"/>
      <c r="CV314"/>
      <c r="CW314"/>
      <c r="CX314"/>
      <c r="CY314"/>
      <c r="CZ314"/>
      <c r="DA314"/>
      <c r="DB314"/>
      <c r="DC314"/>
      <c r="DD314"/>
      <c r="DE314"/>
      <c r="DF314"/>
      <c r="DG314"/>
      <c r="DH314"/>
      <c r="DI314"/>
      <c r="DJ314"/>
      <c r="DK314"/>
      <c r="DL314"/>
      <c r="DM314"/>
      <c r="DN314"/>
      <c r="DO314"/>
      <c r="DP314"/>
      <c r="DQ314"/>
      <c r="DR314"/>
      <c r="DS314"/>
      <c r="DT314"/>
      <c r="DU314"/>
      <c r="DV314"/>
      <c r="DW314"/>
      <c r="DX314"/>
      <c r="DY314"/>
      <c r="DZ314"/>
      <c r="EA314"/>
      <c r="EB314"/>
      <c r="EC314"/>
      <c r="ED314"/>
      <c r="EE314"/>
      <c r="EF314"/>
      <c r="EG314"/>
      <c r="EH314"/>
      <c r="EI314"/>
      <c r="EJ314"/>
      <c r="EK314"/>
      <c r="EL314"/>
      <c r="EM314"/>
      <c r="EN314"/>
      <c r="EO314"/>
      <c r="EP314"/>
      <c r="EQ314"/>
      <c r="ER314"/>
      <c r="ES314"/>
      <c r="ET314"/>
      <c r="EU314"/>
      <c r="EV314"/>
      <c r="EW314"/>
      <c r="EX314"/>
      <c r="EY314"/>
      <c r="EZ314"/>
      <c r="FA314"/>
      <c r="FB314"/>
      <c r="FC314"/>
      <c r="FD314"/>
      <c r="FE314"/>
      <c r="FF314"/>
      <c r="FG314"/>
      <c r="FH314"/>
      <c r="FI314"/>
      <c r="FJ314"/>
      <c r="FK314"/>
      <c r="FL314"/>
      <c r="FM314"/>
      <c r="FN314"/>
      <c r="FO314"/>
      <c r="FP314"/>
      <c r="FQ314"/>
      <c r="FR314"/>
      <c r="FS314"/>
      <c r="FT314"/>
      <c r="FU314"/>
      <c r="FV314"/>
      <c r="FW314"/>
      <c r="FX314"/>
      <c r="FY314"/>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c r="JA314"/>
      <c r="JB314"/>
      <c r="JC314"/>
      <c r="JD314"/>
      <c r="JE314"/>
      <c r="JF314"/>
      <c r="JG314"/>
      <c r="JH314"/>
      <c r="JI314"/>
      <c r="JJ314"/>
      <c r="JK314"/>
      <c r="JL314"/>
      <c r="JM314"/>
      <c r="JN314"/>
      <c r="JO314"/>
      <c r="JP314"/>
      <c r="JQ314"/>
      <c r="JR314"/>
      <c r="JS314"/>
      <c r="JT314"/>
      <c r="JU314"/>
      <c r="JV314"/>
      <c r="JW314"/>
      <c r="JX314"/>
      <c r="JY314"/>
      <c r="JZ314"/>
      <c r="KA314"/>
      <c r="KB314"/>
      <c r="KC314"/>
      <c r="KD314"/>
      <c r="KE314"/>
      <c r="KF314"/>
      <c r="KG314"/>
      <c r="KH314"/>
      <c r="KI314"/>
      <c r="KJ314"/>
      <c r="KK314"/>
      <c r="KL314"/>
      <c r="KM314"/>
      <c r="KN314"/>
      <c r="KO314"/>
      <c r="KP314"/>
      <c r="KQ314"/>
      <c r="KR314"/>
      <c r="KS314"/>
    </row>
    <row r="315" spans="2:305" hidden="1" x14ac:dyDescent="0.3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c r="CU315"/>
      <c r="CV315"/>
      <c r="CW315"/>
      <c r="CX315"/>
      <c r="CY315"/>
      <c r="CZ315"/>
      <c r="DA315"/>
      <c r="DB315"/>
      <c r="DC315"/>
      <c r="DD315"/>
      <c r="DE315"/>
      <c r="DF315"/>
      <c r="DG315"/>
      <c r="DH315"/>
      <c r="DI315"/>
      <c r="DJ315"/>
      <c r="DK315"/>
      <c r="DL315"/>
      <c r="DM315"/>
      <c r="DN315"/>
      <c r="DO315"/>
      <c r="DP315"/>
      <c r="DQ315"/>
      <c r="DR315"/>
      <c r="DS315"/>
      <c r="DT315"/>
      <c r="DU315"/>
      <c r="DV315"/>
      <c r="DW315"/>
      <c r="DX315"/>
      <c r="DY315"/>
      <c r="DZ315"/>
      <c r="EA315"/>
      <c r="EB315"/>
      <c r="EC315"/>
      <c r="ED315"/>
      <c r="EE315"/>
      <c r="EF315"/>
      <c r="EG315"/>
      <c r="EH315"/>
      <c r="EI315"/>
      <c r="EJ315"/>
      <c r="EK315"/>
      <c r="EL315"/>
      <c r="EM315"/>
      <c r="EN315"/>
      <c r="EO315"/>
      <c r="EP315"/>
      <c r="EQ315"/>
      <c r="ER315"/>
      <c r="ES315"/>
      <c r="ET315"/>
      <c r="EU315"/>
      <c r="EV315"/>
      <c r="EW315"/>
      <c r="EX315"/>
      <c r="EY315"/>
      <c r="EZ315"/>
      <c r="FA315"/>
      <c r="FB315"/>
      <c r="FC315"/>
      <c r="FD315"/>
      <c r="FE315"/>
      <c r="FF315"/>
      <c r="FG315"/>
      <c r="FH315"/>
      <c r="FI315"/>
      <c r="FJ315"/>
      <c r="FK315"/>
      <c r="FL315"/>
      <c r="FM315"/>
      <c r="FN315"/>
      <c r="FO315"/>
      <c r="FP315"/>
      <c r="FQ315"/>
      <c r="FR315"/>
      <c r="FS315"/>
      <c r="FT315"/>
      <c r="FU315"/>
      <c r="FV315"/>
      <c r="FW315"/>
      <c r="FX315"/>
      <c r="FY315"/>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c r="JA315"/>
      <c r="JB315"/>
      <c r="JC315"/>
      <c r="JD315"/>
      <c r="JE315"/>
      <c r="JF315"/>
      <c r="JG315"/>
      <c r="JH315"/>
      <c r="JI315"/>
      <c r="JJ315"/>
      <c r="JK315"/>
      <c r="JL315"/>
      <c r="JM315"/>
      <c r="JN315"/>
      <c r="JO315"/>
      <c r="JP315"/>
      <c r="JQ315"/>
      <c r="JR315"/>
      <c r="JS315"/>
      <c r="JT315"/>
      <c r="JU315"/>
      <c r="JV315"/>
      <c r="JW315"/>
      <c r="JX315"/>
      <c r="JY315"/>
      <c r="JZ315"/>
      <c r="KA315"/>
      <c r="KB315"/>
      <c r="KC315"/>
      <c r="KD315"/>
      <c r="KE315"/>
      <c r="KF315"/>
      <c r="KG315"/>
      <c r="KH315"/>
      <c r="KI315"/>
      <c r="KJ315"/>
      <c r="KK315"/>
      <c r="KL315"/>
      <c r="KM315"/>
      <c r="KN315"/>
      <c r="KO315"/>
      <c r="KP315"/>
      <c r="KQ315"/>
      <c r="KR315"/>
      <c r="KS315"/>
    </row>
    <row r="316" spans="2:305" hidden="1" x14ac:dyDescent="0.35">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c r="CU316"/>
      <c r="CV316"/>
      <c r="CW316"/>
      <c r="CX316"/>
      <c r="CY316"/>
      <c r="CZ316"/>
      <c r="DA316"/>
      <c r="DB316"/>
      <c r="DC316"/>
      <c r="DD316"/>
      <c r="DE316"/>
      <c r="DF316"/>
      <c r="DG316"/>
      <c r="DH316"/>
      <c r="DI316"/>
      <c r="DJ316"/>
      <c r="DK316"/>
      <c r="DL316"/>
      <c r="DM316"/>
      <c r="DN316"/>
      <c r="DO316"/>
      <c r="DP316"/>
      <c r="DQ316"/>
      <c r="DR316"/>
      <c r="DS316"/>
      <c r="DT316"/>
      <c r="DU316"/>
      <c r="DV316"/>
      <c r="DW316"/>
      <c r="DX316"/>
      <c r="DY316"/>
      <c r="DZ316"/>
      <c r="EA316"/>
      <c r="EB316"/>
      <c r="EC316"/>
      <c r="ED316"/>
      <c r="EE316"/>
      <c r="EF316"/>
      <c r="EG316"/>
      <c r="EH316"/>
      <c r="EI316"/>
      <c r="EJ316"/>
      <c r="EK316"/>
      <c r="EL316"/>
      <c r="EM316"/>
      <c r="EN316"/>
      <c r="EO316"/>
      <c r="EP316"/>
      <c r="EQ316"/>
      <c r="ER316"/>
      <c r="ES316"/>
      <c r="ET316"/>
      <c r="EU316"/>
      <c r="EV316"/>
      <c r="EW316"/>
      <c r="EX316"/>
      <c r="EY316"/>
      <c r="EZ316"/>
      <c r="FA316"/>
      <c r="FB316"/>
      <c r="FC316"/>
      <c r="FD316"/>
      <c r="FE316"/>
      <c r="FF316"/>
      <c r="FG316"/>
      <c r="FH316"/>
      <c r="FI316"/>
      <c r="FJ316"/>
      <c r="FK316"/>
      <c r="FL316"/>
      <c r="FM316"/>
      <c r="FN316"/>
      <c r="FO316"/>
      <c r="FP316"/>
      <c r="FQ316"/>
      <c r="FR316"/>
      <c r="FS316"/>
      <c r="FT316"/>
      <c r="FU316"/>
      <c r="FV316"/>
      <c r="FW316"/>
      <c r="FX316"/>
      <c r="FY31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c r="JA316"/>
      <c r="JB316"/>
      <c r="JC316"/>
      <c r="JD316"/>
      <c r="JE316"/>
      <c r="JF316"/>
      <c r="JG316"/>
      <c r="JH316"/>
      <c r="JI316"/>
      <c r="JJ316"/>
      <c r="JK316"/>
      <c r="JL316"/>
      <c r="JM316"/>
      <c r="JN316"/>
      <c r="JO316"/>
      <c r="JP316"/>
      <c r="JQ316"/>
      <c r="JR316"/>
      <c r="JS316"/>
      <c r="JT316"/>
      <c r="JU316"/>
      <c r="JV316"/>
      <c r="JW316"/>
      <c r="JX316"/>
      <c r="JY316"/>
      <c r="JZ316"/>
      <c r="KA316"/>
      <c r="KB316"/>
      <c r="KC316"/>
      <c r="KD316"/>
      <c r="KE316"/>
      <c r="KF316"/>
      <c r="KG316"/>
      <c r="KH316"/>
      <c r="KI316"/>
      <c r="KJ316"/>
      <c r="KK316"/>
      <c r="KL316"/>
      <c r="KM316"/>
      <c r="KN316"/>
      <c r="KO316"/>
      <c r="KP316"/>
      <c r="KQ316"/>
      <c r="KR316"/>
      <c r="KS316"/>
    </row>
    <row r="317" spans="2:305" hidden="1" x14ac:dyDescent="0.35">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c r="CU317"/>
      <c r="CV317"/>
      <c r="CW317"/>
      <c r="CX317"/>
      <c r="CY317"/>
      <c r="CZ317"/>
      <c r="DA317"/>
      <c r="DB317"/>
      <c r="DC317"/>
      <c r="DD317"/>
      <c r="DE317"/>
      <c r="DF317"/>
      <c r="DG317"/>
      <c r="DH317"/>
      <c r="DI317"/>
      <c r="DJ317"/>
      <c r="DK317"/>
      <c r="DL317"/>
      <c r="DM317"/>
      <c r="DN317"/>
      <c r="DO317"/>
      <c r="DP317"/>
      <c r="DQ317"/>
      <c r="DR317"/>
      <c r="DS317"/>
      <c r="DT317"/>
      <c r="DU317"/>
      <c r="DV317"/>
      <c r="DW317"/>
      <c r="DX317"/>
      <c r="DY317"/>
      <c r="DZ317"/>
      <c r="EA317"/>
      <c r="EB317"/>
      <c r="EC317"/>
      <c r="ED317"/>
      <c r="EE317"/>
      <c r="EF317"/>
      <c r="EG317"/>
      <c r="EH317"/>
      <c r="EI317"/>
      <c r="EJ317"/>
      <c r="EK317"/>
      <c r="EL317"/>
      <c r="EM317"/>
      <c r="EN317"/>
      <c r="EO317"/>
      <c r="EP317"/>
      <c r="EQ317"/>
      <c r="ER317"/>
      <c r="ES317"/>
      <c r="ET317"/>
      <c r="EU317"/>
      <c r="EV317"/>
      <c r="EW317"/>
      <c r="EX317"/>
      <c r="EY317"/>
      <c r="EZ317"/>
      <c r="FA317"/>
      <c r="FB317"/>
      <c r="FC317"/>
      <c r="FD317"/>
      <c r="FE317"/>
      <c r="FF317"/>
      <c r="FG317"/>
      <c r="FH317"/>
      <c r="FI317"/>
      <c r="FJ317"/>
      <c r="FK317"/>
      <c r="FL317"/>
      <c r="FM317"/>
      <c r="FN317"/>
      <c r="FO317"/>
      <c r="FP317"/>
      <c r="FQ317"/>
      <c r="FR317"/>
      <c r="FS317"/>
      <c r="FT317"/>
      <c r="FU317"/>
      <c r="FV317"/>
      <c r="FW317"/>
      <c r="FX317"/>
      <c r="FY317"/>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c r="JA317"/>
      <c r="JB317"/>
      <c r="JC317"/>
      <c r="JD317"/>
      <c r="JE317"/>
      <c r="JF317"/>
      <c r="JG317"/>
      <c r="JH317"/>
      <c r="JI317"/>
      <c r="JJ317"/>
      <c r="JK317"/>
      <c r="JL317"/>
      <c r="JM317"/>
      <c r="JN317"/>
      <c r="JO317"/>
      <c r="JP317"/>
      <c r="JQ317"/>
      <c r="JR317"/>
      <c r="JS317"/>
      <c r="JT317"/>
      <c r="JU317"/>
      <c r="JV317"/>
      <c r="JW317"/>
      <c r="JX317"/>
      <c r="JY317"/>
      <c r="JZ317"/>
      <c r="KA317"/>
      <c r="KB317"/>
      <c r="KC317"/>
      <c r="KD317"/>
      <c r="KE317"/>
      <c r="KF317"/>
      <c r="KG317"/>
      <c r="KH317"/>
      <c r="KI317"/>
      <c r="KJ317"/>
      <c r="KK317"/>
      <c r="KL317"/>
      <c r="KM317"/>
      <c r="KN317"/>
      <c r="KO317"/>
      <c r="KP317"/>
      <c r="KQ317"/>
      <c r="KR317"/>
      <c r="KS317"/>
    </row>
    <row r="318" spans="2:305" hidden="1" x14ac:dyDescent="0.35">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c r="CU318"/>
      <c r="CV318"/>
      <c r="CW318"/>
      <c r="CX318"/>
      <c r="CY318"/>
      <c r="CZ318"/>
      <c r="DA318"/>
      <c r="DB318"/>
      <c r="DC318"/>
      <c r="DD318"/>
      <c r="DE318"/>
      <c r="DF318"/>
      <c r="DG318"/>
      <c r="DH318"/>
      <c r="DI318"/>
      <c r="DJ318"/>
      <c r="DK318"/>
      <c r="DL318"/>
      <c r="DM318"/>
      <c r="DN318"/>
      <c r="DO318"/>
      <c r="DP318"/>
      <c r="DQ318"/>
      <c r="DR318"/>
      <c r="DS318"/>
      <c r="DT318"/>
      <c r="DU318"/>
      <c r="DV318"/>
      <c r="DW318"/>
      <c r="DX318"/>
      <c r="DY318"/>
      <c r="DZ318"/>
      <c r="EA318"/>
      <c r="EB318"/>
      <c r="EC318"/>
      <c r="ED318"/>
      <c r="EE318"/>
      <c r="EF318"/>
      <c r="EG318"/>
      <c r="EH318"/>
      <c r="EI318"/>
      <c r="EJ318"/>
      <c r="EK318"/>
      <c r="EL318"/>
      <c r="EM318"/>
      <c r="EN318"/>
      <c r="EO318"/>
      <c r="EP318"/>
      <c r="EQ318"/>
      <c r="ER318"/>
      <c r="ES318"/>
      <c r="ET318"/>
      <c r="EU318"/>
      <c r="EV318"/>
      <c r="EW318"/>
      <c r="EX318"/>
      <c r="EY318"/>
      <c r="EZ318"/>
      <c r="FA318"/>
      <c r="FB318"/>
      <c r="FC318"/>
      <c r="FD318"/>
      <c r="FE318"/>
      <c r="FF318"/>
      <c r="FG318"/>
      <c r="FH318"/>
      <c r="FI318"/>
      <c r="FJ318"/>
      <c r="FK318"/>
      <c r="FL318"/>
      <c r="FM318"/>
      <c r="FN318"/>
      <c r="FO318"/>
      <c r="FP318"/>
      <c r="FQ318"/>
      <c r="FR318"/>
      <c r="FS318"/>
      <c r="FT318"/>
      <c r="FU318"/>
      <c r="FV318"/>
      <c r="FW318"/>
      <c r="FX318"/>
      <c r="FY318"/>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c r="JA318"/>
      <c r="JB318"/>
      <c r="JC318"/>
      <c r="JD318"/>
      <c r="JE318"/>
      <c r="JF318"/>
      <c r="JG318"/>
      <c r="JH318"/>
      <c r="JI318"/>
      <c r="JJ318"/>
      <c r="JK318"/>
      <c r="JL318"/>
      <c r="JM318"/>
      <c r="JN318"/>
      <c r="JO318"/>
      <c r="JP318"/>
      <c r="JQ318"/>
      <c r="JR318"/>
      <c r="JS318"/>
      <c r="JT318"/>
      <c r="JU318"/>
      <c r="JV318"/>
      <c r="JW318"/>
      <c r="JX318"/>
      <c r="JY318"/>
      <c r="JZ318"/>
      <c r="KA318"/>
      <c r="KB318"/>
      <c r="KC318"/>
      <c r="KD318"/>
      <c r="KE318"/>
      <c r="KF318"/>
      <c r="KG318"/>
      <c r="KH318"/>
      <c r="KI318"/>
      <c r="KJ318"/>
      <c r="KK318"/>
      <c r="KL318"/>
      <c r="KM318"/>
      <c r="KN318"/>
      <c r="KO318"/>
      <c r="KP318"/>
      <c r="KQ318"/>
      <c r="KR318"/>
      <c r="KS318"/>
    </row>
    <row r="319" spans="2:305" hidden="1" x14ac:dyDescent="0.35">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c r="AS319"/>
      <c r="AT319"/>
      <c r="AU319"/>
      <c r="AV319"/>
      <c r="AW319"/>
      <c r="AX319"/>
      <c r="AY319"/>
      <c r="AZ319"/>
      <c r="BA319"/>
      <c r="BB319"/>
      <c r="BC319"/>
      <c r="BD319"/>
      <c r="BE319"/>
      <c r="BF319"/>
      <c r="BG319"/>
      <c r="BH319"/>
      <c r="BI319"/>
      <c r="BJ319"/>
      <c r="BK319"/>
      <c r="BL319"/>
      <c r="BM319"/>
      <c r="BN319"/>
      <c r="BO319"/>
      <c r="BP319"/>
      <c r="BQ319"/>
      <c r="BR319"/>
      <c r="BS319"/>
      <c r="BT319"/>
      <c r="BU319"/>
      <c r="BV319"/>
      <c r="BW319"/>
      <c r="BX319"/>
      <c r="BY319"/>
      <c r="BZ319"/>
      <c r="CA319"/>
      <c r="CB319"/>
      <c r="CC319"/>
      <c r="CD319"/>
      <c r="CE319"/>
      <c r="CF319"/>
      <c r="CG319"/>
      <c r="CH319"/>
      <c r="CI319"/>
      <c r="CJ319"/>
      <c r="CK319"/>
      <c r="CL319"/>
      <c r="CM319"/>
      <c r="CN319"/>
      <c r="CO319"/>
      <c r="CP319"/>
      <c r="CQ319"/>
      <c r="CR319"/>
      <c r="CS319"/>
      <c r="CT319"/>
      <c r="CU319"/>
      <c r="CV319"/>
      <c r="CW319"/>
      <c r="CX319"/>
      <c r="CY319"/>
      <c r="CZ319"/>
      <c r="DA319"/>
      <c r="DB319"/>
      <c r="DC319"/>
      <c r="DD319"/>
      <c r="DE319"/>
      <c r="DF319"/>
      <c r="DG319"/>
      <c r="DH319"/>
      <c r="DI319"/>
      <c r="DJ319"/>
      <c r="DK319"/>
      <c r="DL319"/>
      <c r="DM319"/>
      <c r="DN319"/>
      <c r="DO319"/>
      <c r="DP319"/>
      <c r="DQ319"/>
      <c r="DR319"/>
      <c r="DS319"/>
      <c r="DT319"/>
      <c r="DU319"/>
      <c r="DV319"/>
      <c r="DW319"/>
      <c r="DX319"/>
      <c r="DY319"/>
      <c r="DZ319"/>
      <c r="EA319"/>
      <c r="EB319"/>
      <c r="EC319"/>
      <c r="ED319"/>
      <c r="EE319"/>
      <c r="EF319"/>
      <c r="EG319"/>
      <c r="EH319"/>
      <c r="EI319"/>
      <c r="EJ319"/>
      <c r="EK319"/>
      <c r="EL319"/>
      <c r="EM319"/>
      <c r="EN319"/>
      <c r="EO319"/>
      <c r="EP319"/>
      <c r="EQ319"/>
      <c r="ER319"/>
      <c r="ES319"/>
      <c r="ET319"/>
      <c r="EU319"/>
      <c r="EV319"/>
      <c r="EW319"/>
      <c r="EX319"/>
      <c r="EY319"/>
      <c r="EZ319"/>
      <c r="FA319"/>
      <c r="FB319"/>
      <c r="FC319"/>
      <c r="FD319"/>
      <c r="FE319"/>
      <c r="FF319"/>
      <c r="FG319"/>
      <c r="FH319"/>
      <c r="FI319"/>
      <c r="FJ319"/>
      <c r="FK319"/>
      <c r="FL319"/>
      <c r="FM319"/>
      <c r="FN319"/>
      <c r="FO319"/>
      <c r="FP319"/>
      <c r="FQ319"/>
      <c r="FR319"/>
      <c r="FS319"/>
      <c r="FT319"/>
      <c r="FU319"/>
      <c r="FV319"/>
      <c r="FW319"/>
      <c r="FX319"/>
      <c r="FY319"/>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c r="JA319"/>
      <c r="JB319"/>
      <c r="JC319"/>
      <c r="JD319"/>
      <c r="JE319"/>
      <c r="JF319"/>
      <c r="JG319"/>
      <c r="JH319"/>
      <c r="JI319"/>
      <c r="JJ319"/>
      <c r="JK319"/>
      <c r="JL319"/>
      <c r="JM319"/>
      <c r="JN319"/>
      <c r="JO319"/>
      <c r="JP319"/>
      <c r="JQ319"/>
      <c r="JR319"/>
      <c r="JS319"/>
      <c r="JT319"/>
      <c r="JU319"/>
      <c r="JV319"/>
      <c r="JW319"/>
      <c r="JX319"/>
      <c r="JY319"/>
      <c r="JZ319"/>
      <c r="KA319"/>
      <c r="KB319"/>
      <c r="KC319"/>
      <c r="KD319"/>
      <c r="KE319"/>
      <c r="KF319"/>
      <c r="KG319"/>
      <c r="KH319"/>
      <c r="KI319"/>
      <c r="KJ319"/>
      <c r="KK319"/>
      <c r="KL319"/>
      <c r="KM319"/>
      <c r="KN319"/>
      <c r="KO319"/>
      <c r="KP319"/>
      <c r="KQ319"/>
      <c r="KR319"/>
      <c r="KS319"/>
    </row>
    <row r="320" spans="2:305" hidden="1" x14ac:dyDescent="0.35">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c r="AS320"/>
      <c r="AT320"/>
      <c r="AU320"/>
      <c r="AV320"/>
      <c r="AW320"/>
      <c r="AX320"/>
      <c r="AY320"/>
      <c r="AZ320"/>
      <c r="BA320"/>
      <c r="BB320"/>
      <c r="BC320"/>
      <c r="BD320"/>
      <c r="BE320"/>
      <c r="BF320"/>
      <c r="BG320"/>
      <c r="BH320"/>
      <c r="BI320"/>
      <c r="BJ320"/>
      <c r="BK320"/>
      <c r="BL320"/>
      <c r="BM320"/>
      <c r="BN320"/>
      <c r="BO320"/>
      <c r="BP320"/>
      <c r="BQ320"/>
      <c r="BR320"/>
      <c r="BS320"/>
      <c r="BT320"/>
      <c r="BU320"/>
      <c r="BV320"/>
      <c r="BW320"/>
      <c r="BX320"/>
      <c r="BY320"/>
      <c r="BZ320"/>
      <c r="CA320"/>
      <c r="CB320"/>
      <c r="CC320"/>
      <c r="CD320"/>
      <c r="CE320"/>
      <c r="CF320"/>
      <c r="CG320"/>
      <c r="CH320"/>
      <c r="CI320"/>
      <c r="CJ320"/>
      <c r="CK320"/>
      <c r="CL320"/>
      <c r="CM320"/>
      <c r="CN320"/>
      <c r="CO320"/>
      <c r="CP320"/>
      <c r="CQ320"/>
      <c r="CR320"/>
      <c r="CS320"/>
      <c r="CT320"/>
      <c r="CU320"/>
      <c r="CV320"/>
      <c r="CW320"/>
      <c r="CX320"/>
      <c r="CY320"/>
      <c r="CZ320"/>
      <c r="DA320"/>
      <c r="DB320"/>
      <c r="DC320"/>
      <c r="DD320"/>
      <c r="DE320"/>
      <c r="DF320"/>
      <c r="DG320"/>
      <c r="DH320"/>
      <c r="DI320"/>
      <c r="DJ320"/>
      <c r="DK320"/>
      <c r="DL320"/>
      <c r="DM320"/>
      <c r="DN320"/>
      <c r="DO320"/>
      <c r="DP320"/>
      <c r="DQ320"/>
      <c r="DR320"/>
      <c r="DS320"/>
      <c r="DT320"/>
      <c r="DU320"/>
      <c r="DV320"/>
      <c r="DW320"/>
      <c r="DX320"/>
      <c r="DY320"/>
      <c r="DZ320"/>
      <c r="EA320"/>
      <c r="EB320"/>
      <c r="EC320"/>
      <c r="ED320"/>
      <c r="EE320"/>
      <c r="EF320"/>
      <c r="EG320"/>
      <c r="EH320"/>
      <c r="EI320"/>
      <c r="EJ320"/>
      <c r="EK320"/>
      <c r="EL320"/>
      <c r="EM320"/>
      <c r="EN320"/>
      <c r="EO320"/>
      <c r="EP320"/>
      <c r="EQ320"/>
      <c r="ER320"/>
      <c r="ES320"/>
      <c r="ET320"/>
      <c r="EU320"/>
      <c r="EV320"/>
      <c r="EW320"/>
      <c r="EX320"/>
      <c r="EY320"/>
      <c r="EZ320"/>
      <c r="FA320"/>
      <c r="FB320"/>
      <c r="FC320"/>
      <c r="FD320"/>
      <c r="FE320"/>
      <c r="FF320"/>
      <c r="FG320"/>
      <c r="FH320"/>
      <c r="FI320"/>
      <c r="FJ320"/>
      <c r="FK320"/>
      <c r="FL320"/>
      <c r="FM320"/>
      <c r="FN320"/>
      <c r="FO320"/>
      <c r="FP320"/>
      <c r="FQ320"/>
      <c r="FR320"/>
      <c r="FS320"/>
      <c r="FT320"/>
      <c r="FU320"/>
      <c r="FV320"/>
      <c r="FW320"/>
      <c r="FX320"/>
      <c r="FY320"/>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c r="JA320"/>
      <c r="JB320"/>
      <c r="JC320"/>
      <c r="JD320"/>
      <c r="JE320"/>
      <c r="JF320"/>
      <c r="JG320"/>
      <c r="JH320"/>
      <c r="JI320"/>
      <c r="JJ320"/>
      <c r="JK320"/>
      <c r="JL320"/>
      <c r="JM320"/>
      <c r="JN320"/>
      <c r="JO320"/>
      <c r="JP320"/>
      <c r="JQ320"/>
      <c r="JR320"/>
      <c r="JS320"/>
      <c r="JT320"/>
      <c r="JU320"/>
      <c r="JV320"/>
      <c r="JW320"/>
      <c r="JX320"/>
      <c r="JY320"/>
      <c r="JZ320"/>
      <c r="KA320"/>
      <c r="KB320"/>
      <c r="KC320"/>
      <c r="KD320"/>
      <c r="KE320"/>
      <c r="KF320"/>
      <c r="KG320"/>
      <c r="KH320"/>
      <c r="KI320"/>
      <c r="KJ320"/>
      <c r="KK320"/>
      <c r="KL320"/>
      <c r="KM320"/>
      <c r="KN320"/>
      <c r="KO320"/>
      <c r="KP320"/>
      <c r="KQ320"/>
      <c r="KR320"/>
      <c r="KS320"/>
    </row>
    <row r="321" spans="2:306" hidden="1" x14ac:dyDescent="0.35">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c r="AS321"/>
      <c r="AT321"/>
      <c r="AU321"/>
      <c r="AV321"/>
      <c r="AW321"/>
      <c r="AX321"/>
      <c r="AY321"/>
      <c r="AZ321"/>
      <c r="BA321"/>
      <c r="BB321"/>
      <c r="BC321"/>
      <c r="BD321"/>
      <c r="BE321"/>
      <c r="BF321"/>
      <c r="BG321"/>
      <c r="BH321"/>
      <c r="BI321"/>
      <c r="BJ321"/>
      <c r="BK321"/>
      <c r="BL321"/>
      <c r="BM321"/>
      <c r="BN321"/>
      <c r="BO321"/>
      <c r="BP321"/>
      <c r="BQ321"/>
      <c r="BR321"/>
      <c r="BS321"/>
      <c r="BT321"/>
      <c r="BU321"/>
      <c r="BV321"/>
      <c r="BW321"/>
      <c r="BX321"/>
      <c r="BY321"/>
      <c r="BZ321"/>
      <c r="CA321"/>
      <c r="CB321"/>
      <c r="CC321"/>
      <c r="CD321"/>
      <c r="CE321"/>
      <c r="CF321"/>
      <c r="CG321"/>
      <c r="CH321"/>
      <c r="CI321"/>
      <c r="CJ321"/>
      <c r="CK321"/>
      <c r="CL321"/>
      <c r="CM321"/>
      <c r="CN321"/>
      <c r="CO321"/>
      <c r="CP321"/>
      <c r="CQ321"/>
      <c r="CR321"/>
      <c r="CS321"/>
      <c r="CT321"/>
      <c r="CU321"/>
      <c r="CV321"/>
      <c r="CW321"/>
      <c r="CX321"/>
      <c r="CY321"/>
      <c r="CZ321"/>
      <c r="DA321"/>
      <c r="DB321"/>
      <c r="DC321"/>
      <c r="DD321"/>
      <c r="DE321"/>
      <c r="DF321"/>
      <c r="DG321"/>
      <c r="DH321"/>
      <c r="DI321"/>
      <c r="DJ321"/>
      <c r="DK321"/>
      <c r="DL321"/>
      <c r="DM321"/>
      <c r="DN321"/>
      <c r="DO321"/>
      <c r="DP321"/>
      <c r="DQ321"/>
      <c r="DR321"/>
      <c r="DS321"/>
      <c r="DT321"/>
      <c r="DU321"/>
      <c r="DV321"/>
      <c r="DW321"/>
      <c r="DX321"/>
      <c r="DY321"/>
      <c r="DZ321"/>
      <c r="EA321"/>
      <c r="EB321"/>
      <c r="EC321"/>
      <c r="ED321"/>
      <c r="EE321"/>
      <c r="EF321"/>
      <c r="EG321"/>
      <c r="EH321"/>
      <c r="EI321"/>
      <c r="EJ321"/>
      <c r="EK321"/>
      <c r="EL321"/>
      <c r="EM321"/>
      <c r="EN321"/>
      <c r="EO321"/>
      <c r="EP321"/>
      <c r="EQ321"/>
      <c r="ER321"/>
      <c r="ES321"/>
      <c r="ET321"/>
      <c r="EU321"/>
      <c r="EV321"/>
      <c r="EW321"/>
      <c r="EX321"/>
      <c r="EY321"/>
      <c r="EZ321"/>
      <c r="FA321"/>
      <c r="FB321"/>
      <c r="FC321"/>
      <c r="FD321"/>
      <c r="FE321"/>
      <c r="FF321"/>
      <c r="FG321"/>
      <c r="FH321"/>
      <c r="FI321"/>
      <c r="FJ321"/>
      <c r="FK321"/>
      <c r="FL321"/>
      <c r="FM321"/>
      <c r="FN321"/>
      <c r="FO321"/>
      <c r="FP321"/>
      <c r="FQ321"/>
      <c r="FR321"/>
      <c r="FS321"/>
      <c r="FT321"/>
      <c r="FU321"/>
      <c r="FV321"/>
      <c r="FW321"/>
      <c r="FX321"/>
      <c r="FY321"/>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c r="JA321"/>
      <c r="JB321"/>
      <c r="JC321"/>
      <c r="JD321"/>
      <c r="JE321"/>
      <c r="JF321"/>
      <c r="JG321"/>
      <c r="JH321"/>
      <c r="JI321"/>
      <c r="JJ321"/>
      <c r="JK321"/>
      <c r="JL321"/>
      <c r="JM321"/>
      <c r="JN321"/>
      <c r="JO321"/>
      <c r="JP321"/>
      <c r="JQ321"/>
      <c r="JR321"/>
      <c r="JS321"/>
      <c r="JT321"/>
      <c r="JU321"/>
      <c r="JV321"/>
      <c r="JW321"/>
      <c r="JX321"/>
      <c r="JY321"/>
      <c r="JZ321"/>
      <c r="KA321"/>
      <c r="KB321"/>
      <c r="KC321"/>
      <c r="KD321"/>
      <c r="KE321"/>
      <c r="KF321"/>
      <c r="KG321"/>
      <c r="KH321"/>
      <c r="KI321"/>
      <c r="KJ321"/>
      <c r="KK321"/>
      <c r="KL321"/>
      <c r="KM321"/>
      <c r="KN321"/>
      <c r="KO321"/>
      <c r="KP321"/>
      <c r="KQ321"/>
      <c r="KR321"/>
      <c r="KS321"/>
    </row>
    <row r="322" spans="2:306" hidden="1" x14ac:dyDescent="0.35">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c r="AS322"/>
      <c r="AT322"/>
      <c r="AU322"/>
      <c r="AV322"/>
      <c r="AW322"/>
      <c r="AX322"/>
      <c r="AY322"/>
      <c r="AZ322"/>
      <c r="BA322"/>
      <c r="BB322"/>
      <c r="BC322"/>
      <c r="BD322"/>
      <c r="BE322"/>
      <c r="BF322"/>
      <c r="BG322"/>
      <c r="BH322"/>
      <c r="BI322"/>
      <c r="BJ322"/>
      <c r="BK322"/>
      <c r="BL322"/>
      <c r="BM322"/>
      <c r="BN322"/>
      <c r="BO322"/>
      <c r="BP322"/>
      <c r="BQ322"/>
      <c r="BR322"/>
      <c r="BS322"/>
      <c r="BT322"/>
      <c r="BU322"/>
      <c r="BV322"/>
      <c r="BW322"/>
      <c r="BX322"/>
      <c r="BY322"/>
      <c r="BZ322"/>
      <c r="CA322"/>
      <c r="CB322"/>
      <c r="CC322"/>
      <c r="CD322"/>
      <c r="CE322"/>
      <c r="CF322"/>
      <c r="CG322"/>
      <c r="CH322"/>
      <c r="CI322"/>
      <c r="CJ322"/>
      <c r="CK322"/>
      <c r="CL322"/>
      <c r="CM322"/>
      <c r="CN322"/>
      <c r="CO322"/>
      <c r="CP322"/>
      <c r="CQ322"/>
      <c r="CR322"/>
      <c r="CS322"/>
      <c r="CT322"/>
      <c r="CU322"/>
      <c r="CV322"/>
      <c r="CW322"/>
      <c r="CX322"/>
      <c r="CY322"/>
      <c r="CZ322"/>
      <c r="DA322"/>
      <c r="DB322"/>
      <c r="DC322"/>
      <c r="DD322"/>
      <c r="DE322"/>
      <c r="DF322"/>
      <c r="DG322"/>
      <c r="DH322"/>
      <c r="DI322"/>
      <c r="DJ322"/>
      <c r="DK322"/>
      <c r="DL322"/>
      <c r="DM322"/>
      <c r="DN322"/>
      <c r="DO322"/>
      <c r="DP322"/>
      <c r="DQ322"/>
      <c r="DR322"/>
      <c r="DS322"/>
      <c r="DT322"/>
      <c r="DU322"/>
      <c r="DV322"/>
      <c r="DW322"/>
      <c r="DX322"/>
      <c r="DY322"/>
      <c r="DZ322"/>
      <c r="EA322"/>
      <c r="EB322"/>
      <c r="EC322"/>
      <c r="ED322"/>
      <c r="EE322"/>
      <c r="EF322"/>
      <c r="EG322"/>
      <c r="EH322"/>
      <c r="EI322"/>
      <c r="EJ322"/>
      <c r="EK322"/>
      <c r="EL322"/>
      <c r="EM322"/>
      <c r="EN322"/>
      <c r="EO322"/>
      <c r="EP322"/>
      <c r="EQ322"/>
      <c r="ER322"/>
      <c r="ES322"/>
      <c r="ET322"/>
      <c r="EU322"/>
      <c r="EV322"/>
      <c r="EW322"/>
      <c r="EX322"/>
      <c r="EY322"/>
      <c r="EZ322"/>
      <c r="FA322"/>
      <c r="FB322"/>
      <c r="FC322"/>
      <c r="FD322"/>
      <c r="FE322"/>
      <c r="FF322"/>
      <c r="FG322"/>
      <c r="FH322"/>
      <c r="FI322"/>
      <c r="FJ322"/>
      <c r="FK322"/>
      <c r="FL322"/>
      <c r="FM322"/>
      <c r="FN322"/>
      <c r="FO322"/>
      <c r="FP322"/>
      <c r="FQ322"/>
      <c r="FR322"/>
      <c r="FS322"/>
      <c r="FT322"/>
      <c r="FU322"/>
      <c r="FV322"/>
      <c r="FW322"/>
      <c r="FX322"/>
      <c r="FY322"/>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c r="JA322"/>
      <c r="JB322"/>
      <c r="JC322"/>
      <c r="JD322"/>
      <c r="JE322"/>
      <c r="JF322"/>
      <c r="JG322"/>
      <c r="JH322"/>
      <c r="JI322"/>
      <c r="JJ322"/>
      <c r="JK322"/>
      <c r="JL322"/>
      <c r="JM322"/>
      <c r="JN322"/>
      <c r="JO322"/>
      <c r="JP322"/>
      <c r="JQ322"/>
      <c r="JR322"/>
      <c r="JS322"/>
      <c r="JT322"/>
      <c r="JU322"/>
      <c r="JV322"/>
      <c r="JW322"/>
      <c r="JX322"/>
      <c r="JY322"/>
      <c r="JZ322"/>
      <c r="KA322"/>
      <c r="KB322"/>
      <c r="KC322"/>
      <c r="KD322"/>
      <c r="KE322"/>
      <c r="KF322"/>
      <c r="KG322"/>
      <c r="KH322"/>
      <c r="KI322"/>
      <c r="KJ322"/>
      <c r="KK322"/>
      <c r="KL322"/>
      <c r="KM322"/>
      <c r="KN322"/>
      <c r="KO322"/>
      <c r="KP322"/>
      <c r="KQ322"/>
      <c r="KR322"/>
      <c r="KS322"/>
    </row>
    <row r="323" spans="2:306" hidden="1" x14ac:dyDescent="0.35">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c r="AS323"/>
      <c r="AT323"/>
      <c r="AU323"/>
      <c r="AV323"/>
      <c r="AW323"/>
      <c r="AX323"/>
      <c r="AY323"/>
      <c r="AZ323"/>
      <c r="BA323"/>
      <c r="BB323"/>
      <c r="BC323"/>
      <c r="BD323"/>
      <c r="BE323"/>
      <c r="BF323"/>
      <c r="BG323"/>
      <c r="BH323"/>
      <c r="BI323"/>
      <c r="BJ323"/>
      <c r="BK323"/>
      <c r="BL323"/>
      <c r="BM323"/>
      <c r="BN323"/>
      <c r="BO323"/>
      <c r="BP323"/>
      <c r="BQ323"/>
      <c r="BR323"/>
      <c r="BS323"/>
      <c r="BT323"/>
      <c r="BU323"/>
      <c r="BV323"/>
      <c r="BW323"/>
      <c r="BX323"/>
      <c r="BY323"/>
      <c r="BZ323"/>
      <c r="CA323"/>
      <c r="CB323"/>
      <c r="CC323"/>
      <c r="CD323"/>
      <c r="CE323"/>
      <c r="CF323"/>
      <c r="CG323"/>
      <c r="CH323"/>
      <c r="CI323"/>
      <c r="CJ323"/>
      <c r="CK323"/>
      <c r="CL323"/>
      <c r="CM323"/>
      <c r="CN323"/>
      <c r="CO323"/>
      <c r="CP323"/>
      <c r="CQ323"/>
      <c r="CR323"/>
      <c r="CS323"/>
      <c r="CT323"/>
      <c r="CU323"/>
      <c r="CV323"/>
      <c r="CW323"/>
      <c r="CX323"/>
      <c r="CY323"/>
      <c r="CZ323"/>
      <c r="DA323"/>
      <c r="DB323"/>
      <c r="DC323"/>
      <c r="DD323"/>
      <c r="DE323"/>
      <c r="DF323"/>
      <c r="DG323"/>
      <c r="DH323"/>
      <c r="DI323"/>
      <c r="DJ323"/>
      <c r="DK323"/>
      <c r="DL323"/>
      <c r="DM323"/>
      <c r="DN323"/>
      <c r="DO323"/>
      <c r="DP323"/>
      <c r="DQ323"/>
      <c r="DR323"/>
      <c r="DS323"/>
      <c r="DT323"/>
      <c r="DU323"/>
      <c r="DV323"/>
      <c r="DW323"/>
      <c r="DX323"/>
      <c r="DY323"/>
      <c r="DZ323"/>
      <c r="EA323"/>
      <c r="EB323"/>
      <c r="EC323"/>
      <c r="ED323"/>
      <c r="EE323"/>
      <c r="EF323"/>
      <c r="EG323"/>
      <c r="EH323"/>
      <c r="EI323"/>
      <c r="EJ323"/>
      <c r="EK323"/>
      <c r="EL323"/>
      <c r="EM323"/>
      <c r="EN323"/>
      <c r="EO323"/>
      <c r="EP323"/>
      <c r="EQ323"/>
      <c r="ER323"/>
      <c r="ES323"/>
      <c r="ET323"/>
      <c r="EU323"/>
      <c r="EV323"/>
      <c r="EW323"/>
      <c r="EX323"/>
      <c r="EY323"/>
      <c r="EZ323"/>
      <c r="FA323"/>
      <c r="FB323"/>
      <c r="FC323"/>
      <c r="FD323"/>
      <c r="FE323"/>
      <c r="FF323"/>
      <c r="FG323"/>
      <c r="FH323"/>
      <c r="FI323"/>
      <c r="FJ323"/>
      <c r="FK323"/>
      <c r="FL323"/>
      <c r="FM323"/>
      <c r="FN323"/>
      <c r="FO323"/>
      <c r="FP323"/>
      <c r="FQ323"/>
      <c r="FR323"/>
      <c r="FS323"/>
      <c r="FT323"/>
      <c r="FU323"/>
      <c r="FV323"/>
      <c r="FW323"/>
      <c r="FX323"/>
      <c r="FY323"/>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c r="JA323"/>
      <c r="JB323"/>
      <c r="JC323"/>
      <c r="JD323"/>
      <c r="JE323"/>
      <c r="JF323"/>
      <c r="JG323"/>
      <c r="JH323"/>
      <c r="JI323"/>
      <c r="JJ323"/>
      <c r="JK323"/>
      <c r="JL323"/>
      <c r="JM323"/>
      <c r="JN323"/>
      <c r="JO323"/>
      <c r="JP323"/>
      <c r="JQ323"/>
      <c r="JR323"/>
      <c r="JS323"/>
      <c r="JT323"/>
      <c r="JU323"/>
      <c r="JV323"/>
      <c r="JW323"/>
      <c r="JX323"/>
      <c r="JY323"/>
      <c r="JZ323"/>
      <c r="KA323"/>
      <c r="KB323"/>
      <c r="KC323"/>
      <c r="KD323"/>
      <c r="KE323"/>
      <c r="KF323"/>
      <c r="KG323"/>
      <c r="KH323"/>
      <c r="KI323"/>
      <c r="KJ323"/>
      <c r="KK323"/>
      <c r="KL323"/>
      <c r="KM323"/>
      <c r="KN323"/>
      <c r="KO323"/>
      <c r="KP323"/>
      <c r="KQ323"/>
      <c r="KR323"/>
      <c r="KS323"/>
    </row>
    <row r="324" spans="2:306" hidden="1" x14ac:dyDescent="0.35">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c r="AS324"/>
      <c r="AT324"/>
      <c r="AU324"/>
      <c r="AV324"/>
      <c r="AW324"/>
      <c r="AX324"/>
      <c r="AY324"/>
      <c r="AZ324"/>
      <c r="BA324"/>
      <c r="BB324"/>
      <c r="BC324"/>
      <c r="BD324"/>
      <c r="BE324"/>
      <c r="BF324"/>
      <c r="BG324"/>
      <c r="BH324"/>
      <c r="BI324"/>
      <c r="BJ324"/>
      <c r="BK324"/>
      <c r="BL324"/>
      <c r="BM324"/>
      <c r="BN324"/>
      <c r="BO324"/>
      <c r="BP324"/>
      <c r="BQ324"/>
      <c r="BR324"/>
      <c r="BS324"/>
      <c r="BT324"/>
      <c r="BU324"/>
      <c r="BV324"/>
      <c r="BW324"/>
      <c r="BX324"/>
      <c r="BY324"/>
      <c r="BZ324"/>
      <c r="CA324"/>
      <c r="CB324"/>
      <c r="CC324"/>
      <c r="CD324"/>
      <c r="CE324"/>
      <c r="CF324"/>
      <c r="CG324"/>
      <c r="CH324"/>
      <c r="CI324"/>
      <c r="CJ324"/>
      <c r="CK324"/>
      <c r="CL324"/>
      <c r="CM324"/>
      <c r="CN324"/>
      <c r="CO324"/>
      <c r="CP324"/>
      <c r="CQ324"/>
      <c r="CR324"/>
      <c r="CS324"/>
      <c r="CT324"/>
      <c r="CU324"/>
      <c r="CV324"/>
      <c r="CW324"/>
      <c r="CX324"/>
      <c r="CY324"/>
      <c r="CZ324"/>
      <c r="DA324"/>
      <c r="DB324"/>
      <c r="DC324"/>
      <c r="DD324"/>
      <c r="DE324"/>
      <c r="DF324"/>
      <c r="DG324"/>
      <c r="DH324"/>
      <c r="DI324"/>
      <c r="DJ324"/>
      <c r="DK324"/>
      <c r="DL324"/>
      <c r="DM324"/>
      <c r="DN324"/>
      <c r="DO324"/>
      <c r="DP324"/>
      <c r="DQ324"/>
      <c r="DR324"/>
      <c r="DS324"/>
      <c r="DT324"/>
      <c r="DU324"/>
      <c r="DV324"/>
      <c r="DW324"/>
      <c r="DX324"/>
      <c r="DY324"/>
      <c r="DZ324"/>
      <c r="EA324"/>
      <c r="EB324"/>
      <c r="EC324"/>
      <c r="ED324"/>
      <c r="EE324"/>
      <c r="EF324"/>
      <c r="EG324"/>
      <c r="EH324"/>
      <c r="EI324"/>
      <c r="EJ324"/>
      <c r="EK324"/>
      <c r="EL324"/>
      <c r="EM324"/>
      <c r="EN324"/>
      <c r="EO324"/>
      <c r="EP324"/>
      <c r="EQ324"/>
      <c r="ER324"/>
      <c r="ES324"/>
      <c r="ET324"/>
      <c r="EU324"/>
      <c r="EV324"/>
      <c r="EW324"/>
      <c r="EX324"/>
      <c r="EY324"/>
      <c r="EZ324"/>
      <c r="FA324"/>
      <c r="FB324"/>
      <c r="FC324"/>
      <c r="FD324"/>
      <c r="FE324"/>
      <c r="FF324"/>
      <c r="FG324"/>
      <c r="FH324"/>
      <c r="FI324"/>
      <c r="FJ324"/>
      <c r="FK324"/>
      <c r="FL324"/>
      <c r="FM324"/>
      <c r="FN324"/>
      <c r="FO324"/>
      <c r="FP324"/>
      <c r="FQ324"/>
      <c r="FR324"/>
      <c r="FS324"/>
      <c r="FT324"/>
      <c r="FU324"/>
      <c r="FV324"/>
      <c r="FW324"/>
      <c r="FX324"/>
      <c r="FY324"/>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c r="JA324"/>
      <c r="JB324"/>
      <c r="JC324"/>
      <c r="JD324"/>
      <c r="JE324"/>
      <c r="JF324"/>
      <c r="JG324"/>
      <c r="JH324"/>
      <c r="JI324"/>
      <c r="JJ324"/>
      <c r="JK324"/>
      <c r="JL324"/>
      <c r="JM324"/>
      <c r="JN324"/>
      <c r="JO324"/>
      <c r="JP324"/>
      <c r="JQ324"/>
      <c r="JR324"/>
      <c r="JS324"/>
      <c r="JT324"/>
      <c r="JU324"/>
      <c r="JV324"/>
      <c r="JW324"/>
      <c r="JX324"/>
      <c r="JY324"/>
      <c r="JZ324"/>
      <c r="KA324"/>
      <c r="KB324"/>
      <c r="KC324"/>
      <c r="KD324"/>
      <c r="KE324"/>
      <c r="KF324"/>
      <c r="KG324"/>
      <c r="KH324"/>
      <c r="KI324"/>
      <c r="KJ324"/>
      <c r="KK324"/>
      <c r="KL324"/>
      <c r="KM324"/>
      <c r="KN324"/>
      <c r="KO324"/>
      <c r="KP324"/>
      <c r="KQ324"/>
      <c r="KR324"/>
      <c r="KS324"/>
    </row>
    <row r="325" spans="2:306" hidden="1" x14ac:dyDescent="0.3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c r="AS325"/>
      <c r="AT325"/>
      <c r="AU325"/>
      <c r="AV325"/>
      <c r="AW325"/>
      <c r="AX325"/>
      <c r="AY325"/>
      <c r="AZ325"/>
      <c r="BA325"/>
      <c r="BB325"/>
      <c r="BC325"/>
      <c r="BD325"/>
      <c r="BE325"/>
      <c r="BF325"/>
      <c r="BG325"/>
      <c r="BH325"/>
      <c r="BI325"/>
      <c r="BJ325"/>
      <c r="BK325"/>
      <c r="BL325"/>
      <c r="BM325"/>
      <c r="BN325"/>
      <c r="BO325"/>
      <c r="BP325"/>
      <c r="BQ325"/>
      <c r="BR325"/>
      <c r="BS325"/>
      <c r="BT325"/>
      <c r="BU325"/>
      <c r="BV325"/>
      <c r="BW325"/>
      <c r="BX325"/>
      <c r="BY325"/>
      <c r="BZ325"/>
      <c r="CA325"/>
      <c r="CB325"/>
      <c r="CC325"/>
      <c r="CD325"/>
      <c r="CE325"/>
      <c r="CF325"/>
      <c r="CG325"/>
      <c r="CH325"/>
      <c r="CI325"/>
      <c r="CJ325"/>
      <c r="CK325"/>
      <c r="CL325"/>
      <c r="CM325"/>
      <c r="CN325"/>
      <c r="CO325"/>
      <c r="CP325"/>
      <c r="CQ325"/>
      <c r="CR325"/>
      <c r="CS325"/>
      <c r="CT325"/>
      <c r="CU325"/>
      <c r="CV325"/>
      <c r="CW325"/>
      <c r="CX325"/>
      <c r="CY325"/>
      <c r="CZ325"/>
      <c r="DA325"/>
      <c r="DB325"/>
      <c r="DC325"/>
      <c r="DD325"/>
      <c r="DE325"/>
      <c r="DF325"/>
      <c r="DG325"/>
      <c r="DH325"/>
      <c r="DI325"/>
      <c r="DJ325"/>
      <c r="DK325"/>
      <c r="DL325"/>
      <c r="DM325"/>
      <c r="DN325"/>
      <c r="DO325"/>
      <c r="DP325"/>
      <c r="DQ325"/>
      <c r="DR325"/>
      <c r="DS325"/>
      <c r="DT325"/>
      <c r="DU325"/>
      <c r="DV325"/>
      <c r="DW325"/>
      <c r="DX325"/>
      <c r="DY325"/>
      <c r="DZ325"/>
      <c r="EA325"/>
      <c r="EB325"/>
      <c r="EC325"/>
      <c r="ED325"/>
      <c r="EE325"/>
      <c r="EF325"/>
      <c r="EG325"/>
      <c r="EH325"/>
      <c r="EI325"/>
      <c r="EJ325"/>
      <c r="EK325"/>
      <c r="EL325"/>
      <c r="EM325"/>
      <c r="EN325"/>
      <c r="EO325"/>
      <c r="EP325"/>
      <c r="EQ325"/>
      <c r="ER325"/>
      <c r="ES325"/>
      <c r="ET325"/>
      <c r="EU325"/>
      <c r="EV325"/>
      <c r="EW325"/>
      <c r="EX325"/>
      <c r="EY325"/>
      <c r="EZ325"/>
      <c r="FA325"/>
      <c r="FB325"/>
      <c r="FC325"/>
      <c r="FD325"/>
      <c r="FE325"/>
      <c r="FF325"/>
      <c r="FG325"/>
      <c r="FH325"/>
      <c r="FI325"/>
      <c r="FJ325"/>
      <c r="FK325"/>
      <c r="FL325"/>
      <c r="FM325"/>
      <c r="FN325"/>
      <c r="FO325"/>
      <c r="FP325"/>
      <c r="FQ325"/>
      <c r="FR325"/>
      <c r="FS325"/>
      <c r="FT325"/>
      <c r="FU325"/>
      <c r="FV325"/>
      <c r="FW325"/>
      <c r="FX325"/>
      <c r="FY325"/>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c r="JA325"/>
      <c r="JB325"/>
      <c r="JC325"/>
      <c r="JD325"/>
      <c r="JE325"/>
      <c r="JF325"/>
      <c r="JG325"/>
      <c r="JH325"/>
      <c r="JI325"/>
      <c r="JJ325"/>
      <c r="JK325"/>
      <c r="JL325"/>
      <c r="JM325"/>
      <c r="JN325"/>
      <c r="JO325"/>
      <c r="JP325"/>
      <c r="JQ325"/>
      <c r="JR325"/>
      <c r="JS325"/>
      <c r="JT325"/>
      <c r="JU325"/>
      <c r="JV325"/>
      <c r="JW325"/>
      <c r="JX325"/>
      <c r="JY325"/>
      <c r="JZ325"/>
      <c r="KA325"/>
      <c r="KB325"/>
      <c r="KC325"/>
      <c r="KD325"/>
      <c r="KE325"/>
      <c r="KF325"/>
      <c r="KG325"/>
      <c r="KH325"/>
      <c r="KI325"/>
      <c r="KJ325"/>
      <c r="KK325"/>
      <c r="KL325"/>
      <c r="KM325"/>
      <c r="KN325"/>
      <c r="KO325"/>
      <c r="KP325"/>
      <c r="KQ325"/>
      <c r="KR325"/>
      <c r="KS325"/>
    </row>
    <row r="326" spans="2:306" hidden="1" x14ac:dyDescent="0.35">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c r="AS326"/>
      <c r="AT326"/>
      <c r="AU326"/>
      <c r="AV326"/>
      <c r="AW326"/>
      <c r="AX326"/>
      <c r="AY326"/>
      <c r="AZ326"/>
      <c r="BA326"/>
      <c r="BB326"/>
      <c r="BC326"/>
      <c r="BD326"/>
      <c r="BE326"/>
      <c r="BF326"/>
      <c r="BG326"/>
      <c r="BH326"/>
      <c r="BI326"/>
      <c r="BJ326"/>
      <c r="BK326"/>
      <c r="BL326"/>
      <c r="BM326"/>
      <c r="BN326"/>
      <c r="BO326"/>
      <c r="BP326"/>
      <c r="BQ326"/>
      <c r="BR326"/>
      <c r="BS326"/>
      <c r="BT326"/>
      <c r="BU326"/>
      <c r="BV326"/>
      <c r="BW326"/>
      <c r="BX326"/>
      <c r="BY326"/>
      <c r="BZ326"/>
      <c r="CA326"/>
      <c r="CB326"/>
      <c r="CC326"/>
      <c r="CD326"/>
      <c r="CE326"/>
      <c r="CF326"/>
      <c r="CG326"/>
      <c r="CH326"/>
      <c r="CI326"/>
      <c r="CJ326"/>
      <c r="CK326"/>
      <c r="CL326"/>
      <c r="CM326"/>
      <c r="CN326"/>
      <c r="CO326"/>
      <c r="CP326"/>
      <c r="CQ326"/>
      <c r="CR326"/>
      <c r="CS326"/>
      <c r="CT326"/>
      <c r="CU326"/>
      <c r="CV326"/>
      <c r="CW326"/>
      <c r="CX326"/>
      <c r="CY326"/>
      <c r="CZ326"/>
      <c r="DA326"/>
      <c r="DB326"/>
      <c r="DC326"/>
      <c r="DD326"/>
      <c r="DE326"/>
      <c r="DF326"/>
      <c r="DG326"/>
      <c r="DH326"/>
      <c r="DI326"/>
      <c r="DJ326"/>
      <c r="DK326"/>
      <c r="DL326"/>
      <c r="DM326"/>
      <c r="DN326"/>
      <c r="DO326"/>
      <c r="DP326"/>
      <c r="DQ326"/>
      <c r="DR326"/>
      <c r="DS326"/>
      <c r="DT326"/>
      <c r="DU326"/>
      <c r="DV326"/>
      <c r="DW326"/>
      <c r="DX326"/>
      <c r="DY326"/>
      <c r="DZ326"/>
      <c r="EA326"/>
      <c r="EB326"/>
      <c r="EC326"/>
      <c r="ED326"/>
      <c r="EE326"/>
      <c r="EF326"/>
      <c r="EG326"/>
      <c r="EH326"/>
      <c r="EI326"/>
      <c r="EJ326"/>
      <c r="EK326"/>
      <c r="EL326"/>
      <c r="EM326"/>
      <c r="EN326"/>
      <c r="EO326"/>
      <c r="EP326"/>
      <c r="EQ326"/>
      <c r="ER326"/>
      <c r="ES326"/>
      <c r="ET326"/>
      <c r="EU326"/>
      <c r="EV326"/>
      <c r="EW326"/>
      <c r="EX326"/>
      <c r="EY326"/>
      <c r="EZ326"/>
      <c r="FA326"/>
      <c r="FB326"/>
      <c r="FC326"/>
      <c r="FD326"/>
      <c r="FE326"/>
      <c r="FF326"/>
      <c r="FG326"/>
      <c r="FH326"/>
      <c r="FI326"/>
      <c r="FJ326"/>
      <c r="FK326"/>
      <c r="FL326"/>
      <c r="FM326"/>
      <c r="FN326"/>
      <c r="FO326"/>
      <c r="FP326"/>
      <c r="FQ326"/>
      <c r="FR326"/>
      <c r="FS326"/>
      <c r="FT326"/>
      <c r="FU326"/>
      <c r="FV326"/>
      <c r="FW326"/>
      <c r="FX326"/>
      <c r="FY326"/>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c r="JA326"/>
      <c r="JB326"/>
      <c r="JC326"/>
      <c r="JD326"/>
      <c r="JE326"/>
      <c r="JF326"/>
      <c r="JG326"/>
      <c r="JH326"/>
      <c r="JI326"/>
      <c r="JJ326"/>
      <c r="JK326"/>
      <c r="JL326"/>
      <c r="JM326"/>
      <c r="JN326"/>
      <c r="JO326"/>
      <c r="JP326"/>
      <c r="JQ326"/>
      <c r="JR326"/>
      <c r="JS326"/>
      <c r="JT326"/>
      <c r="JU326"/>
      <c r="JV326"/>
      <c r="JW326"/>
      <c r="JX326"/>
      <c r="JY326"/>
      <c r="JZ326"/>
      <c r="KA326"/>
      <c r="KB326"/>
      <c r="KC326"/>
      <c r="KD326"/>
      <c r="KE326"/>
      <c r="KF326"/>
      <c r="KG326"/>
      <c r="KH326"/>
      <c r="KI326"/>
      <c r="KJ326"/>
      <c r="KK326"/>
      <c r="KL326"/>
      <c r="KM326"/>
      <c r="KN326"/>
      <c r="KO326"/>
      <c r="KP326"/>
      <c r="KQ326"/>
      <c r="KR326"/>
      <c r="KS326"/>
    </row>
    <row r="327" spans="2:306" hidden="1" x14ac:dyDescent="0.35">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c r="AS327"/>
      <c r="AT327"/>
      <c r="AU327"/>
      <c r="AV327"/>
      <c r="AW327"/>
      <c r="AX327"/>
      <c r="AY327"/>
      <c r="AZ327"/>
      <c r="BA327"/>
      <c r="BB327"/>
      <c r="BC327"/>
      <c r="BD327"/>
      <c r="BE327"/>
      <c r="BF327"/>
      <c r="BG327"/>
      <c r="BH327"/>
      <c r="BI327"/>
      <c r="BJ327"/>
      <c r="BK327"/>
      <c r="BL327"/>
      <c r="BM327"/>
      <c r="BN327"/>
      <c r="BO327"/>
      <c r="BP327"/>
      <c r="BQ327"/>
      <c r="BR327"/>
      <c r="BS327"/>
      <c r="BT327"/>
      <c r="BU327"/>
      <c r="BV327"/>
      <c r="BW327"/>
      <c r="BX327"/>
      <c r="BY327"/>
      <c r="BZ327"/>
      <c r="CA327"/>
      <c r="CB327"/>
      <c r="CC327"/>
      <c r="CD327"/>
      <c r="CE327"/>
      <c r="CF327"/>
      <c r="CG327"/>
      <c r="CH327"/>
      <c r="CI327"/>
      <c r="CJ327"/>
      <c r="CK327"/>
      <c r="CL327"/>
      <c r="CM327"/>
      <c r="CN327"/>
      <c r="CO327"/>
      <c r="CP327"/>
      <c r="CQ327"/>
      <c r="CR327"/>
      <c r="CS327"/>
      <c r="CT327"/>
      <c r="CU327"/>
      <c r="CV327"/>
      <c r="CW327"/>
      <c r="CX327"/>
      <c r="CY327"/>
      <c r="CZ327"/>
      <c r="DA327"/>
      <c r="DB327"/>
      <c r="DC327"/>
      <c r="DD327"/>
      <c r="DE327"/>
      <c r="DF327"/>
      <c r="DG327"/>
      <c r="DH327"/>
      <c r="DI327"/>
      <c r="DJ327"/>
      <c r="DK327"/>
      <c r="DL327"/>
      <c r="DM327"/>
      <c r="DN327"/>
      <c r="DO327"/>
      <c r="DP327"/>
      <c r="DQ327"/>
      <c r="DR327"/>
      <c r="DS327"/>
      <c r="DT327"/>
      <c r="DU327"/>
      <c r="DV327"/>
      <c r="DW327"/>
      <c r="DX327"/>
      <c r="DY327"/>
      <c r="DZ327"/>
      <c r="EA327"/>
      <c r="EB327"/>
      <c r="EC327"/>
      <c r="ED327"/>
      <c r="EE327"/>
      <c r="EF327"/>
      <c r="EG327"/>
      <c r="EH327"/>
      <c r="EI327"/>
      <c r="EJ327"/>
      <c r="EK327"/>
      <c r="EL327"/>
      <c r="EM327"/>
      <c r="EN327"/>
      <c r="EO327"/>
      <c r="EP327"/>
      <c r="EQ327"/>
      <c r="ER327"/>
      <c r="ES327"/>
      <c r="ET327"/>
      <c r="EU327"/>
      <c r="EV327"/>
      <c r="EW327"/>
      <c r="EX327"/>
      <c r="EY327"/>
      <c r="EZ327"/>
      <c r="FA327"/>
      <c r="FB327"/>
      <c r="FC327"/>
      <c r="FD327"/>
      <c r="FE327"/>
      <c r="FF327"/>
      <c r="FG327"/>
      <c r="FH327"/>
      <c r="FI327"/>
      <c r="FJ327"/>
      <c r="FK327"/>
      <c r="FL327"/>
      <c r="FM327"/>
      <c r="FN327"/>
      <c r="FO327"/>
      <c r="FP327"/>
      <c r="FQ327"/>
      <c r="FR327"/>
      <c r="FS327"/>
      <c r="FT327"/>
      <c r="FU327"/>
      <c r="FV327"/>
      <c r="FW327"/>
      <c r="FX327"/>
      <c r="FY32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c r="JA327"/>
      <c r="JB327"/>
      <c r="JC327"/>
      <c r="JD327"/>
      <c r="JE327"/>
      <c r="JF327"/>
      <c r="JG327"/>
      <c r="JH327"/>
      <c r="JI327"/>
      <c r="JJ327"/>
      <c r="JK327"/>
      <c r="JL327"/>
      <c r="JM327"/>
      <c r="JN327"/>
      <c r="JO327"/>
      <c r="JP327"/>
      <c r="JQ327"/>
      <c r="JR327"/>
      <c r="JS327"/>
      <c r="JT327"/>
      <c r="JU327"/>
      <c r="JV327"/>
      <c r="JW327"/>
      <c r="JX327"/>
      <c r="JY327"/>
      <c r="JZ327"/>
      <c r="KA327"/>
      <c r="KB327"/>
      <c r="KC327"/>
      <c r="KD327"/>
      <c r="KE327"/>
      <c r="KF327"/>
      <c r="KG327"/>
      <c r="KH327"/>
      <c r="KI327"/>
      <c r="KJ327"/>
      <c r="KK327"/>
      <c r="KL327"/>
      <c r="KM327"/>
      <c r="KN327"/>
      <c r="KO327"/>
      <c r="KP327"/>
      <c r="KQ327"/>
      <c r="KR327"/>
      <c r="KS327"/>
    </row>
    <row r="328" spans="2:306" hidden="1" x14ac:dyDescent="0.35">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c r="AS328"/>
      <c r="AT328"/>
      <c r="AU328"/>
      <c r="AV328"/>
      <c r="AW328"/>
      <c r="AX328"/>
      <c r="AY328"/>
      <c r="AZ328"/>
      <c r="BA328"/>
      <c r="BB328"/>
      <c r="BC328"/>
      <c r="BD328"/>
      <c r="BE328"/>
      <c r="BF328"/>
      <c r="BG328"/>
      <c r="BH328"/>
      <c r="BI328"/>
      <c r="BJ328"/>
      <c r="BK328"/>
      <c r="BL328"/>
      <c r="BM328"/>
      <c r="BN328"/>
      <c r="BO328"/>
      <c r="BP328"/>
      <c r="BQ328"/>
      <c r="BR328"/>
      <c r="BS328"/>
      <c r="BT328"/>
      <c r="BU328"/>
      <c r="BV328"/>
      <c r="BW328"/>
      <c r="BX328"/>
      <c r="BY328"/>
      <c r="BZ328"/>
      <c r="CA328"/>
      <c r="CB328"/>
      <c r="CC328"/>
      <c r="CD328"/>
      <c r="CE328"/>
      <c r="CF328"/>
      <c r="CG328"/>
      <c r="CH328"/>
      <c r="CI328"/>
      <c r="CJ328"/>
      <c r="CK328"/>
      <c r="CL328"/>
      <c r="CM328"/>
      <c r="CN328"/>
      <c r="CO328"/>
      <c r="CP328"/>
      <c r="CQ328"/>
      <c r="CR328"/>
      <c r="CS328"/>
      <c r="CT328"/>
      <c r="CU328"/>
      <c r="CV328"/>
      <c r="CW328"/>
      <c r="CX328"/>
      <c r="CY328"/>
      <c r="CZ328"/>
      <c r="DA328"/>
      <c r="DB328"/>
      <c r="DC328"/>
      <c r="DD328"/>
      <c r="DE328"/>
      <c r="DF328"/>
      <c r="DG328"/>
      <c r="DH328"/>
      <c r="DI328"/>
      <c r="DJ328"/>
      <c r="DK328"/>
      <c r="DL328"/>
      <c r="DM328"/>
      <c r="DN328"/>
      <c r="DO328"/>
      <c r="DP328"/>
      <c r="DQ328"/>
      <c r="DR328"/>
      <c r="DS328"/>
      <c r="DT328"/>
      <c r="DU328"/>
      <c r="DV328"/>
      <c r="DW328"/>
      <c r="DX328"/>
      <c r="DY328"/>
      <c r="DZ328"/>
      <c r="EA328"/>
      <c r="EB328"/>
      <c r="EC328"/>
      <c r="ED328"/>
      <c r="EE328"/>
      <c r="EF328"/>
      <c r="EG328"/>
      <c r="EH328"/>
      <c r="EI328"/>
      <c r="EJ328"/>
      <c r="EK328"/>
      <c r="EL328"/>
      <c r="EM328"/>
      <c r="EN328"/>
      <c r="EO328"/>
      <c r="EP328"/>
      <c r="EQ328"/>
      <c r="ER328"/>
      <c r="ES328"/>
      <c r="ET328"/>
      <c r="EU328"/>
      <c r="EV328"/>
      <c r="EW328"/>
      <c r="EX328"/>
      <c r="EY328"/>
      <c r="EZ328"/>
      <c r="FA328"/>
      <c r="FB328"/>
      <c r="FC328"/>
      <c r="FD328"/>
      <c r="FE328"/>
      <c r="FF328"/>
      <c r="FG328"/>
      <c r="FH328"/>
      <c r="FI328"/>
      <c r="FJ328"/>
      <c r="FK328"/>
      <c r="FL328"/>
      <c r="FM328"/>
      <c r="FN328"/>
      <c r="FO328"/>
      <c r="FP328"/>
      <c r="FQ328"/>
      <c r="FR328"/>
      <c r="FS328"/>
      <c r="FT328"/>
      <c r="FU328"/>
      <c r="FV328"/>
      <c r="FW328"/>
      <c r="FX328"/>
      <c r="FY328"/>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c r="JA328"/>
      <c r="JB328"/>
      <c r="JC328"/>
      <c r="JD328"/>
      <c r="JE328"/>
      <c r="JF328"/>
      <c r="JG328"/>
      <c r="JH328"/>
      <c r="JI328"/>
      <c r="JJ328"/>
      <c r="JK328"/>
      <c r="JL328"/>
      <c r="JM328"/>
      <c r="JN328"/>
      <c r="JO328"/>
      <c r="JP328"/>
      <c r="JQ328"/>
      <c r="JR328"/>
      <c r="JS328"/>
      <c r="JT328"/>
      <c r="JU328"/>
      <c r="JV328"/>
      <c r="JW328"/>
      <c r="JX328"/>
      <c r="JY328"/>
      <c r="JZ328"/>
      <c r="KA328"/>
      <c r="KB328"/>
      <c r="KC328"/>
      <c r="KD328"/>
      <c r="KE328"/>
      <c r="KF328"/>
      <c r="KG328"/>
      <c r="KH328"/>
      <c r="KI328"/>
      <c r="KJ328"/>
      <c r="KK328"/>
      <c r="KL328"/>
      <c r="KM328"/>
      <c r="KN328"/>
      <c r="KO328"/>
      <c r="KP328"/>
      <c r="KQ328"/>
      <c r="KR328"/>
      <c r="KS328"/>
    </row>
    <row r="329" spans="2:306" hidden="1" x14ac:dyDescent="0.35">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c r="AS329"/>
      <c r="AT329"/>
      <c r="AU329"/>
      <c r="AV329"/>
      <c r="AW329"/>
      <c r="AX329"/>
      <c r="AY329"/>
      <c r="AZ329"/>
      <c r="BA329"/>
      <c r="BB329"/>
      <c r="BC329"/>
      <c r="BD329"/>
      <c r="BE329"/>
      <c r="BF329"/>
      <c r="BG329"/>
      <c r="BH329"/>
      <c r="BI329"/>
      <c r="BJ329"/>
      <c r="BK329"/>
      <c r="BL329"/>
      <c r="BM329"/>
      <c r="BN329"/>
      <c r="BO329"/>
      <c r="BP329"/>
      <c r="BQ329"/>
      <c r="BR329"/>
      <c r="BS329"/>
      <c r="BT329"/>
      <c r="BU329"/>
      <c r="BV329"/>
      <c r="BW329"/>
      <c r="BX329"/>
      <c r="BY329"/>
      <c r="BZ329"/>
      <c r="CA329"/>
      <c r="CB329"/>
      <c r="CC329"/>
      <c r="CD329"/>
      <c r="CE329"/>
      <c r="CF329"/>
      <c r="CG329"/>
      <c r="CH329"/>
      <c r="CI329"/>
      <c r="CJ329"/>
      <c r="CK329"/>
      <c r="CL329"/>
      <c r="CM329"/>
      <c r="CN329"/>
      <c r="CO329"/>
      <c r="CP329"/>
      <c r="CQ329"/>
      <c r="CR329"/>
      <c r="CS329"/>
      <c r="CT329"/>
      <c r="CU329"/>
      <c r="CV329"/>
      <c r="CW329"/>
      <c r="CX329"/>
      <c r="CY329"/>
      <c r="CZ329"/>
      <c r="DA329"/>
      <c r="DB329"/>
      <c r="DC329"/>
      <c r="DD329"/>
      <c r="DE329"/>
      <c r="DF329"/>
      <c r="DG329"/>
      <c r="DH329"/>
      <c r="DI329"/>
      <c r="DJ329"/>
      <c r="DK329"/>
      <c r="DL329"/>
      <c r="DM329"/>
      <c r="DN329"/>
      <c r="DO329"/>
      <c r="DP329"/>
      <c r="DQ329"/>
      <c r="DR329"/>
      <c r="DS329"/>
      <c r="DT329"/>
      <c r="DU329"/>
      <c r="DV329"/>
      <c r="DW329"/>
      <c r="DX329"/>
      <c r="DY329"/>
      <c r="DZ329"/>
      <c r="EA329"/>
      <c r="EB329"/>
      <c r="EC329"/>
      <c r="ED329"/>
      <c r="EE329"/>
      <c r="EF329"/>
      <c r="EG329"/>
      <c r="EH329"/>
      <c r="EI329"/>
      <c r="EJ329"/>
      <c r="EK329"/>
      <c r="EL329"/>
      <c r="EM329"/>
      <c r="EN329"/>
      <c r="EO329"/>
      <c r="EP329"/>
      <c r="EQ329"/>
      <c r="ER329"/>
      <c r="ES329"/>
      <c r="ET329"/>
      <c r="EU329"/>
      <c r="EV329"/>
      <c r="EW329"/>
      <c r="EX329"/>
      <c r="EY329"/>
      <c r="EZ329"/>
      <c r="FA329"/>
      <c r="FB329"/>
      <c r="FC329"/>
      <c r="FD329"/>
      <c r="FE329"/>
      <c r="FF329"/>
      <c r="FG329"/>
      <c r="FH329"/>
      <c r="FI329"/>
      <c r="FJ329"/>
      <c r="FK329"/>
      <c r="FL329"/>
      <c r="FM329"/>
      <c r="FN329"/>
      <c r="FO329"/>
      <c r="FP329"/>
      <c r="FQ329"/>
      <c r="FR329"/>
      <c r="FS329"/>
      <c r="FT329"/>
      <c r="FU329"/>
      <c r="FV329"/>
      <c r="FW329"/>
      <c r="FX329"/>
      <c r="FY329"/>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c r="JA329"/>
      <c r="JB329"/>
      <c r="JC329"/>
      <c r="JD329"/>
      <c r="JE329"/>
      <c r="JF329"/>
      <c r="JG329"/>
      <c r="JH329"/>
      <c r="JI329"/>
      <c r="JJ329"/>
      <c r="JK329"/>
      <c r="JL329"/>
      <c r="JM329"/>
      <c r="JN329"/>
      <c r="JO329"/>
      <c r="JP329"/>
      <c r="JQ329"/>
      <c r="JR329"/>
      <c r="JS329"/>
      <c r="JT329"/>
      <c r="JU329"/>
      <c r="JV329"/>
      <c r="JW329"/>
      <c r="JX329"/>
      <c r="JY329"/>
      <c r="JZ329"/>
      <c r="KA329"/>
      <c r="KB329"/>
      <c r="KC329"/>
      <c r="KD329"/>
      <c r="KE329"/>
      <c r="KF329"/>
      <c r="KG329"/>
      <c r="KH329"/>
      <c r="KI329"/>
      <c r="KJ329"/>
      <c r="KK329"/>
      <c r="KL329"/>
      <c r="KM329"/>
      <c r="KN329"/>
      <c r="KO329"/>
      <c r="KP329"/>
      <c r="KQ329"/>
      <c r="KR329"/>
      <c r="KS329"/>
    </row>
    <row r="330" spans="2:306" hidden="1" x14ac:dyDescent="0.35">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c r="AS330"/>
      <c r="AT330"/>
      <c r="AU330"/>
      <c r="AV330"/>
      <c r="AW330"/>
      <c r="AX330"/>
      <c r="AY330"/>
      <c r="AZ330"/>
      <c r="BA330"/>
      <c r="BB330"/>
      <c r="BC330"/>
      <c r="BD330"/>
      <c r="BE330"/>
      <c r="BF330"/>
      <c r="BG330"/>
      <c r="BH330"/>
      <c r="BI330"/>
      <c r="BJ330"/>
      <c r="BK330"/>
      <c r="BL330"/>
      <c r="BM330"/>
      <c r="BN330"/>
      <c r="BO330"/>
      <c r="BP330"/>
      <c r="BQ330"/>
      <c r="BR330"/>
      <c r="BS330"/>
      <c r="BT330"/>
      <c r="BU330"/>
      <c r="BV330"/>
      <c r="BW330"/>
      <c r="BX330"/>
      <c r="BY330"/>
      <c r="BZ330"/>
      <c r="CA330"/>
      <c r="CB330"/>
      <c r="CC330"/>
      <c r="CD330"/>
      <c r="CE330"/>
      <c r="CF330"/>
      <c r="CG330"/>
      <c r="CH330"/>
      <c r="CI330"/>
      <c r="CJ330"/>
      <c r="CK330"/>
      <c r="CL330"/>
      <c r="CM330"/>
      <c r="CN330"/>
      <c r="CO330"/>
      <c r="CP330"/>
      <c r="CQ330"/>
      <c r="CR330"/>
      <c r="CS330"/>
      <c r="CT330"/>
      <c r="CU330"/>
      <c r="CV330"/>
      <c r="CW330"/>
      <c r="CX330"/>
      <c r="CY330"/>
      <c r="CZ330"/>
      <c r="DA330"/>
      <c r="DB330"/>
      <c r="DC330"/>
      <c r="DD330"/>
      <c r="DE330"/>
      <c r="DF330"/>
      <c r="DG330"/>
      <c r="DH330"/>
      <c r="DI330"/>
      <c r="DJ330"/>
      <c r="DK330"/>
      <c r="DL330"/>
      <c r="DM330"/>
      <c r="DN330"/>
      <c r="DO330"/>
      <c r="DP330"/>
      <c r="DQ330"/>
      <c r="DR330"/>
      <c r="DS330"/>
      <c r="DT330"/>
      <c r="DU330"/>
      <c r="DV330"/>
      <c r="DW330"/>
      <c r="DX330"/>
      <c r="DY330"/>
      <c r="DZ330"/>
      <c r="EA330"/>
      <c r="EB330"/>
      <c r="EC330"/>
      <c r="ED330"/>
      <c r="EE330"/>
      <c r="EF330"/>
      <c r="EG330"/>
      <c r="EH330"/>
      <c r="EI330"/>
      <c r="EJ330"/>
      <c r="EK330"/>
      <c r="EL330"/>
      <c r="EM330"/>
      <c r="EN330"/>
      <c r="EO330"/>
      <c r="EP330"/>
      <c r="EQ330"/>
      <c r="ER330"/>
      <c r="ES330"/>
      <c r="ET330"/>
      <c r="EU330"/>
      <c r="EV330"/>
      <c r="EW330"/>
      <c r="EX330"/>
      <c r="EY330"/>
      <c r="EZ330"/>
      <c r="FA330"/>
      <c r="FB330"/>
      <c r="FC330"/>
      <c r="FD330"/>
      <c r="FE330"/>
      <c r="FF330"/>
      <c r="FG330"/>
      <c r="FH330"/>
      <c r="FI330"/>
      <c r="FJ330"/>
      <c r="FK330"/>
      <c r="FL330"/>
      <c r="FM330"/>
      <c r="FN330"/>
      <c r="FO330"/>
      <c r="FP330"/>
      <c r="FQ330"/>
      <c r="FR330"/>
      <c r="FS330"/>
      <c r="FT330"/>
      <c r="FU330"/>
      <c r="FV330"/>
      <c r="FW330"/>
      <c r="FX330"/>
      <c r="FY33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c r="JA330"/>
      <c r="JB330"/>
      <c r="JC330"/>
      <c r="JD330"/>
      <c r="JE330"/>
      <c r="JF330"/>
      <c r="JG330"/>
      <c r="JH330"/>
      <c r="JI330"/>
      <c r="JJ330"/>
      <c r="JK330"/>
      <c r="JL330"/>
      <c r="JM330"/>
      <c r="JN330"/>
      <c r="JO330"/>
      <c r="JP330"/>
      <c r="JQ330"/>
      <c r="JR330"/>
      <c r="JS330"/>
      <c r="JT330"/>
      <c r="JU330"/>
      <c r="JV330"/>
      <c r="JW330"/>
      <c r="JX330"/>
      <c r="JY330"/>
      <c r="JZ330"/>
      <c r="KA330"/>
      <c r="KB330"/>
      <c r="KC330"/>
      <c r="KD330"/>
      <c r="KE330"/>
      <c r="KF330"/>
      <c r="KG330"/>
      <c r="KH330"/>
      <c r="KI330"/>
      <c r="KJ330"/>
      <c r="KK330"/>
      <c r="KL330"/>
      <c r="KM330"/>
      <c r="KN330"/>
      <c r="KO330"/>
      <c r="KP330"/>
      <c r="KQ330"/>
      <c r="KR330"/>
      <c r="KS330"/>
    </row>
    <row r="331" spans="2:306" hidden="1" x14ac:dyDescent="0.35">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c r="AS331"/>
      <c r="AT331"/>
      <c r="AU331"/>
      <c r="AV331"/>
      <c r="AW331"/>
      <c r="AX331"/>
      <c r="AY331"/>
      <c r="AZ331"/>
      <c r="BA331"/>
      <c r="BB331"/>
      <c r="BC331"/>
      <c r="BD331"/>
      <c r="BE331"/>
      <c r="BF331"/>
      <c r="BG331"/>
      <c r="BH331"/>
      <c r="BI331"/>
      <c r="BJ331"/>
      <c r="BK331"/>
      <c r="BL331"/>
      <c r="BM331"/>
      <c r="BN331"/>
      <c r="BO331"/>
      <c r="BP331"/>
      <c r="BQ331"/>
      <c r="BR331"/>
      <c r="BS331"/>
      <c r="BT331"/>
      <c r="BU331"/>
      <c r="BV331"/>
      <c r="BW331"/>
      <c r="BX331"/>
      <c r="BY331"/>
      <c r="BZ331"/>
      <c r="CA331"/>
      <c r="CB331"/>
      <c r="CC331"/>
      <c r="CD331"/>
      <c r="CE331"/>
      <c r="CF331"/>
      <c r="CG331"/>
      <c r="CH331"/>
      <c r="CI331"/>
      <c r="CJ331"/>
      <c r="CK331"/>
      <c r="CL331"/>
      <c r="CM331"/>
      <c r="CN331"/>
      <c r="CO331"/>
      <c r="CP331"/>
      <c r="CQ331"/>
      <c r="CR331"/>
      <c r="CS331"/>
      <c r="CT331"/>
      <c r="CU331"/>
      <c r="CV331"/>
      <c r="CW331"/>
      <c r="CX331"/>
      <c r="CY331"/>
      <c r="CZ331"/>
      <c r="DA331"/>
      <c r="DB331"/>
      <c r="DC331"/>
      <c r="DD331"/>
      <c r="DE331"/>
      <c r="DF331"/>
      <c r="DG331"/>
      <c r="DH331"/>
      <c r="DI331"/>
      <c r="DJ331"/>
      <c r="DK331"/>
      <c r="DL331"/>
      <c r="DM331"/>
      <c r="DN331"/>
      <c r="DO331"/>
      <c r="DP331"/>
      <c r="DQ331"/>
      <c r="DR331"/>
      <c r="DS331"/>
      <c r="DT331"/>
      <c r="DU331"/>
      <c r="DV331"/>
      <c r="DW331"/>
      <c r="DX331"/>
      <c r="DY331"/>
      <c r="DZ331"/>
      <c r="EA331"/>
      <c r="EB331"/>
      <c r="EC331"/>
      <c r="ED331"/>
      <c r="EE331"/>
      <c r="EF331"/>
      <c r="EG331"/>
      <c r="EH331"/>
      <c r="EI331"/>
      <c r="EJ331"/>
      <c r="EK331"/>
      <c r="EL331"/>
      <c r="EM331"/>
      <c r="EN331"/>
      <c r="EO331"/>
      <c r="EP331"/>
      <c r="EQ331"/>
      <c r="ER331"/>
      <c r="ES331"/>
      <c r="ET331"/>
      <c r="EU331"/>
      <c r="EV331"/>
      <c r="EW331"/>
      <c r="EX331"/>
      <c r="EY331"/>
      <c r="EZ331"/>
      <c r="FA331"/>
      <c r="FB331"/>
      <c r="FC331"/>
      <c r="FD331"/>
      <c r="FE331"/>
      <c r="FF331"/>
      <c r="FG331"/>
      <c r="FH331"/>
      <c r="FI331"/>
      <c r="FJ331"/>
      <c r="FK331"/>
      <c r="FL331"/>
      <c r="FM331"/>
      <c r="FN331"/>
      <c r="FO331"/>
      <c r="FP331"/>
      <c r="FQ331"/>
      <c r="FR331"/>
      <c r="FS331"/>
      <c r="FT331"/>
      <c r="FU331"/>
      <c r="FV331"/>
      <c r="FW331"/>
      <c r="FX331"/>
      <c r="FY331"/>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c r="JA331"/>
      <c r="JB331"/>
      <c r="JC331"/>
      <c r="JD331"/>
      <c r="JE331"/>
      <c r="JF331"/>
      <c r="JG331"/>
      <c r="JH331"/>
      <c r="JI331"/>
      <c r="JJ331"/>
      <c r="JK331"/>
      <c r="JL331"/>
      <c r="JM331"/>
      <c r="JN331"/>
      <c r="JO331"/>
      <c r="JP331"/>
      <c r="JQ331"/>
      <c r="JR331"/>
      <c r="JS331"/>
      <c r="JT331"/>
      <c r="JU331"/>
      <c r="JV331"/>
      <c r="JW331"/>
      <c r="JX331"/>
      <c r="JY331"/>
      <c r="JZ331"/>
      <c r="KA331"/>
      <c r="KB331"/>
      <c r="KC331"/>
      <c r="KD331"/>
      <c r="KE331"/>
      <c r="KF331"/>
      <c r="KG331"/>
      <c r="KH331"/>
      <c r="KI331"/>
      <c r="KJ331"/>
      <c r="KK331"/>
      <c r="KL331"/>
      <c r="KM331"/>
      <c r="KN331"/>
      <c r="KO331"/>
      <c r="KP331"/>
      <c r="KQ331"/>
      <c r="KR331"/>
      <c r="KS331"/>
    </row>
    <row r="332" spans="2:306" hidden="1" x14ac:dyDescent="0.35">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c r="AS332"/>
      <c r="AT332"/>
      <c r="AU332"/>
      <c r="AV332"/>
      <c r="AW332"/>
      <c r="AX332"/>
      <c r="AY332"/>
      <c r="AZ332"/>
      <c r="BA332"/>
      <c r="BB332"/>
      <c r="BC332"/>
      <c r="BD332"/>
      <c r="BE332"/>
      <c r="BF332"/>
      <c r="BG332"/>
      <c r="BH332"/>
      <c r="BI332"/>
      <c r="BJ332"/>
      <c r="BK332"/>
      <c r="BL332"/>
      <c r="BM332"/>
      <c r="BN332"/>
      <c r="BO332"/>
      <c r="BP332"/>
      <c r="BQ332"/>
      <c r="BR332"/>
      <c r="BS332"/>
      <c r="BT332"/>
      <c r="BU332"/>
      <c r="BV332"/>
      <c r="BW332"/>
      <c r="BX332"/>
      <c r="BY332"/>
      <c r="BZ332"/>
      <c r="CA332"/>
      <c r="CB332"/>
      <c r="CC332"/>
      <c r="CD332"/>
      <c r="CE332"/>
      <c r="CF332"/>
      <c r="CG332"/>
      <c r="CH332"/>
      <c r="CI332"/>
      <c r="CJ332"/>
      <c r="CK332"/>
      <c r="CL332"/>
      <c r="CM332"/>
      <c r="CN332"/>
      <c r="CO332"/>
      <c r="CP332"/>
      <c r="CQ332"/>
      <c r="CR332"/>
      <c r="CS332"/>
      <c r="CT332"/>
      <c r="CU332"/>
      <c r="CV332"/>
      <c r="CW332"/>
      <c r="CX332"/>
      <c r="CY332"/>
      <c r="CZ332"/>
      <c r="DA332"/>
      <c r="DB332"/>
      <c r="DC332"/>
      <c r="DD332"/>
      <c r="DE332"/>
      <c r="DF332"/>
      <c r="DG332"/>
      <c r="DH332"/>
      <c r="DI332"/>
      <c r="DJ332"/>
      <c r="DK332"/>
      <c r="DL332"/>
      <c r="DM332"/>
      <c r="DN332"/>
      <c r="DO332"/>
      <c r="DP332"/>
      <c r="DQ332"/>
      <c r="DR332"/>
      <c r="DS332"/>
      <c r="DT332"/>
      <c r="DU332"/>
      <c r="DV332"/>
      <c r="DW332"/>
      <c r="DX332"/>
      <c r="DY332"/>
      <c r="DZ332"/>
      <c r="EA332"/>
      <c r="EB332"/>
      <c r="EC332"/>
      <c r="ED332"/>
      <c r="EE332"/>
      <c r="EF332"/>
      <c r="EG332"/>
      <c r="EH332"/>
      <c r="EI332"/>
      <c r="EJ332"/>
      <c r="EK332"/>
      <c r="EL332"/>
      <c r="EM332"/>
      <c r="EN332"/>
      <c r="EO332"/>
      <c r="EP332"/>
      <c r="EQ332"/>
      <c r="ER332"/>
      <c r="ES332"/>
      <c r="ET332"/>
      <c r="EU332"/>
      <c r="EV332"/>
      <c r="EW332"/>
      <c r="EX332"/>
      <c r="EY332"/>
      <c r="EZ332"/>
      <c r="FA332"/>
      <c r="FB332"/>
      <c r="FC332"/>
      <c r="FD332"/>
      <c r="FE332"/>
      <c r="FF332"/>
      <c r="FG332"/>
      <c r="FH332"/>
      <c r="FI332"/>
      <c r="FJ332"/>
      <c r="FK332"/>
      <c r="FL332"/>
      <c r="FM332"/>
      <c r="FN332"/>
      <c r="FO332"/>
      <c r="FP332"/>
      <c r="FQ332"/>
      <c r="FR332"/>
      <c r="FS332"/>
      <c r="FT332"/>
      <c r="FU332"/>
      <c r="FV332"/>
      <c r="FW332"/>
      <c r="FX332"/>
      <c r="FY332"/>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c r="JA332"/>
      <c r="JB332"/>
      <c r="JC332"/>
      <c r="JD332"/>
      <c r="JE332"/>
      <c r="JF332"/>
      <c r="JG332"/>
      <c r="JH332"/>
      <c r="JI332"/>
      <c r="JJ332"/>
      <c r="JK332"/>
      <c r="JL332"/>
      <c r="JM332"/>
      <c r="JN332"/>
      <c r="JO332"/>
      <c r="JP332"/>
      <c r="JQ332"/>
      <c r="JR332"/>
      <c r="JS332"/>
      <c r="JT332"/>
      <c r="JU332"/>
      <c r="JV332"/>
      <c r="JW332"/>
      <c r="JX332"/>
      <c r="JY332"/>
      <c r="JZ332"/>
      <c r="KA332"/>
      <c r="KB332"/>
      <c r="KC332"/>
      <c r="KD332"/>
      <c r="KE332"/>
      <c r="KF332"/>
      <c r="KG332"/>
      <c r="KH332"/>
      <c r="KI332"/>
      <c r="KJ332"/>
      <c r="KK332"/>
      <c r="KL332"/>
      <c r="KM332"/>
      <c r="KN332"/>
      <c r="KO332"/>
      <c r="KP332"/>
      <c r="KQ332"/>
      <c r="KR332"/>
      <c r="KS332"/>
    </row>
    <row r="333" spans="2:306" hidden="1" x14ac:dyDescent="0.35">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c r="AS333"/>
      <c r="AT333"/>
      <c r="AU333"/>
      <c r="AV333"/>
      <c r="AW333"/>
      <c r="AX333"/>
      <c r="AY333"/>
      <c r="AZ333"/>
      <c r="BA333"/>
      <c r="BB333"/>
      <c r="BC333"/>
      <c r="BD333"/>
      <c r="BE333"/>
      <c r="BF333"/>
      <c r="BG333"/>
      <c r="BH333"/>
      <c r="BI333"/>
      <c r="BJ333"/>
      <c r="BK333"/>
      <c r="BL333"/>
      <c r="BM333"/>
      <c r="BN333"/>
      <c r="BO333"/>
      <c r="BP333"/>
      <c r="BQ333"/>
      <c r="BR333"/>
      <c r="BS333"/>
      <c r="BT333"/>
      <c r="BU333"/>
      <c r="BV333"/>
      <c r="BW333"/>
      <c r="BX333"/>
      <c r="BY333"/>
      <c r="BZ333"/>
      <c r="CA333"/>
      <c r="CB333"/>
      <c r="CC333"/>
      <c r="CD333"/>
      <c r="CE333"/>
      <c r="CF333"/>
      <c r="CG333"/>
      <c r="CH333"/>
      <c r="CI333"/>
      <c r="CJ333"/>
      <c r="CK333"/>
      <c r="CL333"/>
      <c r="CM333"/>
      <c r="CN333"/>
      <c r="CO333"/>
      <c r="CP333"/>
      <c r="CQ333"/>
      <c r="CR333"/>
      <c r="CS333"/>
      <c r="CT333"/>
      <c r="CU333"/>
      <c r="CV333"/>
      <c r="CW333"/>
      <c r="CX333"/>
      <c r="CY333"/>
      <c r="CZ333"/>
      <c r="DA333"/>
      <c r="DB333"/>
      <c r="DC333"/>
      <c r="DD333"/>
      <c r="DE333"/>
      <c r="DF333"/>
      <c r="DG333"/>
      <c r="DH333"/>
      <c r="DI333"/>
      <c r="DJ333"/>
      <c r="DK333"/>
      <c r="DL333"/>
      <c r="DM333"/>
      <c r="DN333"/>
      <c r="DO333"/>
      <c r="DP333"/>
      <c r="DQ333"/>
      <c r="DR333"/>
      <c r="DS333"/>
      <c r="DT333"/>
      <c r="DU333"/>
      <c r="DV333"/>
      <c r="DW333"/>
      <c r="DX333"/>
      <c r="DY333"/>
      <c r="DZ333"/>
      <c r="EA333"/>
      <c r="EB333"/>
      <c r="EC333"/>
      <c r="ED333"/>
      <c r="EE333"/>
      <c r="EF333"/>
      <c r="EG333"/>
      <c r="EH333"/>
      <c r="EI333"/>
      <c r="EJ333"/>
      <c r="EK333"/>
      <c r="EL333"/>
      <c r="EM333"/>
      <c r="EN333"/>
      <c r="EO333"/>
      <c r="EP333"/>
      <c r="EQ333"/>
      <c r="ER333"/>
      <c r="ES333"/>
      <c r="ET333"/>
      <c r="EU333"/>
      <c r="EV333"/>
      <c r="EW333"/>
      <c r="EX333"/>
      <c r="EY333"/>
      <c r="EZ333"/>
      <c r="FA333"/>
      <c r="FB333"/>
      <c r="FC333"/>
      <c r="FD333"/>
      <c r="FE333"/>
      <c r="FF333"/>
      <c r="FG333"/>
      <c r="FH333"/>
      <c r="FI333"/>
      <c r="FJ333"/>
      <c r="FK333"/>
      <c r="FL333"/>
      <c r="FM333"/>
      <c r="FN333"/>
      <c r="FO333"/>
      <c r="FP333"/>
      <c r="FQ333"/>
      <c r="FR333"/>
      <c r="FS333"/>
      <c r="FT333"/>
      <c r="FU333"/>
      <c r="FV333"/>
      <c r="FW333"/>
      <c r="FX333"/>
      <c r="FY33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c r="JA333"/>
      <c r="JB333"/>
      <c r="JC333"/>
      <c r="JD333"/>
      <c r="JE333"/>
      <c r="JF333"/>
      <c r="JG333"/>
      <c r="JH333"/>
      <c r="JI333"/>
      <c r="JJ333"/>
      <c r="JK333"/>
      <c r="JL333"/>
      <c r="JM333"/>
      <c r="JN333"/>
      <c r="JO333"/>
      <c r="JP333"/>
      <c r="JQ333"/>
      <c r="JR333"/>
      <c r="JS333"/>
      <c r="JT333"/>
      <c r="JU333"/>
      <c r="JV333"/>
      <c r="JW333"/>
      <c r="JX333"/>
      <c r="JY333"/>
      <c r="JZ333"/>
      <c r="KA333"/>
      <c r="KB333"/>
      <c r="KC333"/>
      <c r="KD333"/>
      <c r="KE333"/>
      <c r="KF333"/>
      <c r="KG333"/>
      <c r="KH333"/>
      <c r="KI333"/>
      <c r="KJ333"/>
      <c r="KK333"/>
      <c r="KL333"/>
      <c r="KM333"/>
      <c r="KN333"/>
      <c r="KO333"/>
      <c r="KP333"/>
      <c r="KQ333"/>
      <c r="KR333"/>
      <c r="KS333"/>
    </row>
    <row r="334" spans="2:306" hidden="1" x14ac:dyDescent="0.35">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c r="AS334"/>
      <c r="AT334"/>
      <c r="AU334"/>
      <c r="AV334"/>
      <c r="AW334"/>
      <c r="AX334"/>
      <c r="AY334"/>
      <c r="AZ334"/>
      <c r="BA334"/>
      <c r="BB334"/>
      <c r="BC334"/>
      <c r="BD334"/>
      <c r="BE334"/>
      <c r="BF334"/>
      <c r="BG334"/>
      <c r="BH334"/>
      <c r="BI334"/>
      <c r="BJ334"/>
      <c r="BK334"/>
      <c r="BL334"/>
      <c r="BM334"/>
      <c r="BN334"/>
      <c r="BO334"/>
      <c r="BP334"/>
      <c r="BQ334"/>
      <c r="BR334"/>
      <c r="BS334"/>
      <c r="BT334"/>
      <c r="BU334"/>
      <c r="BV334"/>
      <c r="BW334"/>
      <c r="BX334"/>
      <c r="BY334"/>
      <c r="BZ334"/>
      <c r="CA334"/>
      <c r="CB334"/>
      <c r="CC334"/>
      <c r="CD334"/>
      <c r="CE334"/>
      <c r="CF334"/>
      <c r="CG334"/>
      <c r="CH334"/>
      <c r="CI334"/>
      <c r="CJ334"/>
      <c r="CK334"/>
      <c r="CL334"/>
      <c r="CM334"/>
      <c r="CN334"/>
      <c r="CO334"/>
      <c r="CP334"/>
      <c r="CQ334"/>
      <c r="CR334"/>
      <c r="CS334"/>
      <c r="CT334"/>
      <c r="CU334"/>
      <c r="CV334"/>
      <c r="CW334"/>
      <c r="CX334"/>
      <c r="CY334"/>
      <c r="CZ334"/>
      <c r="DA334"/>
      <c r="DB334"/>
      <c r="DC334"/>
      <c r="DD334"/>
      <c r="DE334"/>
      <c r="DF334"/>
      <c r="DG334"/>
      <c r="DH334"/>
      <c r="DI334"/>
      <c r="DJ334"/>
      <c r="DK334"/>
      <c r="DL334"/>
      <c r="DM334"/>
      <c r="DN334"/>
      <c r="DO334"/>
      <c r="DP334"/>
      <c r="DQ334"/>
      <c r="DR334"/>
      <c r="DS334"/>
      <c r="DT334"/>
      <c r="DU334"/>
      <c r="DV334"/>
      <c r="DW334"/>
      <c r="DX334"/>
      <c r="DY334"/>
      <c r="DZ334"/>
      <c r="EA334"/>
      <c r="EB334"/>
      <c r="EC334"/>
      <c r="ED334"/>
      <c r="EE334"/>
      <c r="EF334"/>
      <c r="EG334"/>
      <c r="EH334"/>
      <c r="EI334"/>
      <c r="EJ334"/>
      <c r="EK334"/>
      <c r="EL334"/>
      <c r="EM334"/>
      <c r="EN334"/>
      <c r="EO334"/>
      <c r="EP334"/>
      <c r="EQ334"/>
      <c r="ER334"/>
      <c r="ES334"/>
      <c r="ET334"/>
      <c r="EU334"/>
      <c r="EV334"/>
      <c r="EW334"/>
      <c r="EX334"/>
      <c r="EY334"/>
      <c r="EZ334"/>
      <c r="FA334"/>
      <c r="FB334"/>
      <c r="FC334"/>
      <c r="FD334"/>
      <c r="FE334"/>
      <c r="FF334"/>
      <c r="FG334"/>
      <c r="FH334"/>
      <c r="FI334"/>
      <c r="FJ334"/>
      <c r="FK334"/>
      <c r="FL334"/>
      <c r="FM334"/>
      <c r="FN334"/>
      <c r="FO334"/>
      <c r="FP334"/>
      <c r="FQ334"/>
      <c r="FR334"/>
      <c r="FS334"/>
      <c r="FT334"/>
      <c r="FU334"/>
      <c r="FV334"/>
      <c r="FW334"/>
      <c r="FX334"/>
      <c r="FY334"/>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c r="JA334"/>
      <c r="JB334"/>
      <c r="JC334"/>
      <c r="JD334"/>
      <c r="JE334"/>
      <c r="JF334"/>
      <c r="JG334"/>
      <c r="JH334"/>
      <c r="JI334"/>
      <c r="JJ334"/>
      <c r="JK334"/>
      <c r="JL334"/>
      <c r="JM334"/>
      <c r="JN334"/>
      <c r="JO334"/>
      <c r="JP334"/>
      <c r="JQ334"/>
      <c r="JR334"/>
      <c r="JS334"/>
      <c r="JT334"/>
      <c r="JU334"/>
      <c r="JV334"/>
      <c r="JW334"/>
      <c r="JX334"/>
      <c r="JY334"/>
      <c r="JZ334"/>
      <c r="KA334"/>
      <c r="KB334"/>
      <c r="KC334"/>
      <c r="KD334"/>
      <c r="KE334"/>
      <c r="KF334"/>
      <c r="KG334"/>
      <c r="KH334"/>
      <c r="KI334"/>
      <c r="KJ334"/>
      <c r="KK334"/>
      <c r="KL334"/>
      <c r="KM334"/>
      <c r="KN334"/>
      <c r="KO334"/>
      <c r="KP334"/>
      <c r="KQ334"/>
      <c r="KR334"/>
      <c r="KS334"/>
      <c r="KT334"/>
    </row>
    <row r="335" spans="2:306" hidden="1" x14ac:dyDescent="0.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c r="AS335"/>
      <c r="AT335"/>
      <c r="AU335"/>
      <c r="AV335"/>
      <c r="AW335"/>
      <c r="AX335"/>
      <c r="AY335"/>
      <c r="AZ335"/>
      <c r="BA335"/>
      <c r="BB335"/>
      <c r="BC335"/>
      <c r="BD335"/>
      <c r="BE335"/>
      <c r="BF335"/>
      <c r="BG335"/>
      <c r="BH335"/>
      <c r="BI335"/>
      <c r="BJ335"/>
      <c r="BK335"/>
      <c r="BL335"/>
      <c r="BM335"/>
      <c r="BN335"/>
      <c r="BO335"/>
      <c r="BP335"/>
      <c r="BQ335"/>
      <c r="BR335"/>
      <c r="BS335"/>
      <c r="BT335"/>
      <c r="BU335"/>
      <c r="BV335"/>
      <c r="BW335"/>
      <c r="BX335"/>
      <c r="BY335"/>
      <c r="BZ335"/>
      <c r="CA335"/>
      <c r="CB335"/>
      <c r="CC335"/>
      <c r="CD335"/>
      <c r="CE335"/>
      <c r="CF335"/>
      <c r="CG335"/>
      <c r="CH335"/>
      <c r="CI335"/>
      <c r="CJ335"/>
      <c r="CK335"/>
      <c r="CL335"/>
      <c r="CM335"/>
      <c r="CN335"/>
      <c r="CO335"/>
      <c r="CP335"/>
      <c r="CQ335"/>
      <c r="CR335"/>
      <c r="CS335"/>
      <c r="CT335"/>
      <c r="CU335"/>
      <c r="CV335"/>
      <c r="CW335"/>
      <c r="CX335"/>
      <c r="CY335"/>
      <c r="CZ335"/>
      <c r="DA335"/>
      <c r="DB335"/>
      <c r="DC335"/>
      <c r="DD335"/>
      <c r="DE335"/>
      <c r="DF335"/>
      <c r="DG335"/>
      <c r="DH335"/>
      <c r="DI335"/>
      <c r="DJ335"/>
      <c r="DK335"/>
      <c r="DL335"/>
      <c r="DM335"/>
      <c r="DN335"/>
      <c r="DO335"/>
      <c r="DP335"/>
      <c r="DQ335"/>
      <c r="DR335"/>
      <c r="DS335"/>
      <c r="DT335"/>
      <c r="DU335"/>
      <c r="DV335"/>
      <c r="DW335"/>
      <c r="DX335"/>
      <c r="DY335"/>
      <c r="DZ335"/>
      <c r="EA335"/>
      <c r="EB335"/>
      <c r="EC335"/>
      <c r="ED335"/>
      <c r="EE335"/>
      <c r="EF335"/>
      <c r="EG335"/>
      <c r="EH335"/>
      <c r="EI335"/>
      <c r="EJ335"/>
      <c r="EK335"/>
      <c r="EL335"/>
      <c r="EM335"/>
      <c r="EN335"/>
      <c r="EO335"/>
      <c r="EP335"/>
      <c r="EQ335"/>
      <c r="ER335"/>
      <c r="ES335"/>
      <c r="ET335"/>
      <c r="EU335"/>
      <c r="EV335"/>
      <c r="EW335"/>
      <c r="EX335"/>
      <c r="EY335"/>
      <c r="EZ335"/>
      <c r="FA335"/>
      <c r="FB335"/>
      <c r="FC335"/>
      <c r="FD335"/>
      <c r="FE335"/>
      <c r="FF335"/>
      <c r="FG335"/>
      <c r="FH335"/>
      <c r="FI335"/>
      <c r="FJ335"/>
      <c r="FK335"/>
      <c r="FL335"/>
      <c r="FM335"/>
      <c r="FN335"/>
      <c r="FO335"/>
      <c r="FP335"/>
      <c r="FQ335"/>
      <c r="FR335"/>
      <c r="FS335"/>
      <c r="FT335"/>
      <c r="FU335"/>
      <c r="FV335"/>
      <c r="FW335"/>
      <c r="FX335"/>
      <c r="FY335"/>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c r="JA335"/>
      <c r="JB335"/>
      <c r="JC335"/>
      <c r="JD335"/>
      <c r="JE335"/>
      <c r="JF335"/>
      <c r="JG335"/>
      <c r="JH335"/>
      <c r="JI335"/>
      <c r="JJ335"/>
      <c r="JK335"/>
      <c r="JL335"/>
      <c r="JM335"/>
      <c r="JN335"/>
      <c r="JO335"/>
      <c r="JP335"/>
      <c r="JQ335"/>
      <c r="JR335"/>
      <c r="JS335"/>
      <c r="JT335"/>
      <c r="JU335"/>
      <c r="JV335"/>
      <c r="JW335"/>
      <c r="JX335"/>
      <c r="JY335"/>
      <c r="JZ335"/>
      <c r="KA335"/>
      <c r="KB335"/>
      <c r="KC335"/>
      <c r="KD335"/>
      <c r="KE335"/>
      <c r="KF335"/>
      <c r="KG335"/>
      <c r="KH335"/>
      <c r="KI335"/>
      <c r="KJ335"/>
      <c r="KK335"/>
      <c r="KL335"/>
      <c r="KM335"/>
      <c r="KN335"/>
      <c r="KO335"/>
      <c r="KP335"/>
      <c r="KQ335"/>
      <c r="KR335"/>
      <c r="KS335"/>
      <c r="KT335"/>
    </row>
    <row r="336" spans="2:306" hidden="1" x14ac:dyDescent="0.35">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c r="AS336"/>
      <c r="AT336"/>
      <c r="AU336"/>
      <c r="AV336"/>
      <c r="AW336"/>
      <c r="AX336"/>
      <c r="AY336"/>
      <c r="AZ336"/>
      <c r="BA336"/>
      <c r="BB336"/>
      <c r="BC336"/>
      <c r="BD336"/>
      <c r="BE336"/>
      <c r="BF336"/>
      <c r="BG336"/>
      <c r="BH336"/>
      <c r="BI336"/>
      <c r="BJ336"/>
      <c r="BK336"/>
      <c r="BL336"/>
      <c r="BM336"/>
      <c r="BN336"/>
      <c r="BO336"/>
      <c r="BP336"/>
      <c r="BQ336"/>
      <c r="BR336"/>
      <c r="BS336"/>
      <c r="BT336"/>
      <c r="BU336"/>
      <c r="BV336"/>
      <c r="BW336"/>
      <c r="BX336"/>
      <c r="BY336"/>
      <c r="BZ336"/>
      <c r="CA336"/>
      <c r="CB336"/>
      <c r="CC336"/>
      <c r="CD336"/>
      <c r="CE336"/>
      <c r="CF336"/>
      <c r="CG336"/>
      <c r="CH336"/>
      <c r="CI336"/>
      <c r="CJ336"/>
      <c r="CK336"/>
      <c r="CL336"/>
      <c r="CM336"/>
      <c r="CN336"/>
      <c r="CO336"/>
      <c r="CP336"/>
      <c r="CQ336"/>
      <c r="CR336"/>
      <c r="CS336"/>
      <c r="CT336"/>
      <c r="CU336"/>
      <c r="CV336"/>
      <c r="CW336"/>
      <c r="CX336"/>
      <c r="CY336"/>
      <c r="CZ336"/>
      <c r="DA336"/>
      <c r="DB336"/>
      <c r="DC336"/>
      <c r="DD336"/>
      <c r="DE336"/>
      <c r="DF336"/>
      <c r="DG336"/>
      <c r="DH336"/>
      <c r="DI336"/>
      <c r="DJ336"/>
      <c r="DK336"/>
      <c r="DL336"/>
      <c r="DM336"/>
      <c r="DN336"/>
      <c r="DO336"/>
      <c r="DP336"/>
      <c r="DQ336"/>
      <c r="DR336"/>
      <c r="DS336"/>
      <c r="DT336"/>
      <c r="DU336"/>
      <c r="DV336"/>
      <c r="DW336"/>
      <c r="DX336"/>
      <c r="DY336"/>
      <c r="DZ336"/>
      <c r="EA336"/>
      <c r="EB336"/>
      <c r="EC336"/>
      <c r="ED336"/>
      <c r="EE336"/>
      <c r="EF336"/>
      <c r="EG336"/>
      <c r="EH336"/>
      <c r="EI336"/>
      <c r="EJ336"/>
      <c r="EK336"/>
      <c r="EL336"/>
      <c r="EM336"/>
      <c r="EN336"/>
      <c r="EO336"/>
      <c r="EP336"/>
      <c r="EQ336"/>
      <c r="ER336"/>
      <c r="ES336"/>
      <c r="ET336"/>
      <c r="EU336"/>
      <c r="EV336"/>
      <c r="EW336"/>
      <c r="EX336"/>
      <c r="EY336"/>
      <c r="EZ336"/>
      <c r="FA336"/>
      <c r="FB336"/>
      <c r="FC336"/>
      <c r="FD336"/>
      <c r="FE336"/>
      <c r="FF336"/>
      <c r="FG336"/>
      <c r="FH336"/>
      <c r="FI336"/>
      <c r="FJ336"/>
      <c r="FK336"/>
      <c r="FL336"/>
      <c r="FM336"/>
      <c r="FN336"/>
      <c r="FO336"/>
      <c r="FP336"/>
      <c r="FQ336"/>
      <c r="FR336"/>
      <c r="FS336"/>
      <c r="FT336"/>
      <c r="FU336"/>
      <c r="FV336"/>
      <c r="FW336"/>
      <c r="FX336"/>
      <c r="FY336"/>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c r="JA336"/>
      <c r="JB336"/>
      <c r="JC336"/>
      <c r="JD336"/>
      <c r="JE336"/>
      <c r="JF336"/>
      <c r="JG336"/>
      <c r="JH336"/>
      <c r="JI336"/>
      <c r="JJ336"/>
      <c r="JK336"/>
      <c r="JL336"/>
      <c r="JM336"/>
      <c r="JN336"/>
      <c r="JO336"/>
      <c r="JP336"/>
      <c r="JQ336"/>
      <c r="JR336"/>
      <c r="JS336"/>
      <c r="JT336"/>
      <c r="JU336"/>
      <c r="JV336"/>
      <c r="JW336"/>
      <c r="JX336"/>
      <c r="JY336"/>
      <c r="JZ336"/>
      <c r="KA336"/>
      <c r="KB336"/>
      <c r="KC336"/>
      <c r="KD336"/>
      <c r="KE336"/>
      <c r="KF336"/>
      <c r="KG336"/>
      <c r="KH336"/>
      <c r="KI336"/>
      <c r="KJ336"/>
      <c r="KK336"/>
      <c r="KL336"/>
      <c r="KM336"/>
      <c r="KN336"/>
      <c r="KO336"/>
      <c r="KP336"/>
      <c r="KQ336"/>
      <c r="KR336"/>
      <c r="KS336"/>
    </row>
    <row r="337" spans="2:305" hidden="1" x14ac:dyDescent="0.35">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c r="AS337"/>
      <c r="AT337"/>
      <c r="AU337"/>
      <c r="AV337"/>
      <c r="AW337"/>
      <c r="AX337"/>
      <c r="AY337"/>
      <c r="AZ337"/>
      <c r="BA337"/>
      <c r="BB337"/>
      <c r="BC337"/>
      <c r="BD337"/>
      <c r="BE337"/>
      <c r="BF337"/>
      <c r="BG337"/>
      <c r="BH337"/>
      <c r="BI337"/>
      <c r="BJ337"/>
      <c r="BK337"/>
      <c r="BL337"/>
      <c r="BM337"/>
      <c r="BN337"/>
      <c r="BO337"/>
      <c r="BP337"/>
      <c r="BQ337"/>
      <c r="BR337"/>
      <c r="BS337"/>
      <c r="BT337"/>
      <c r="BU337"/>
      <c r="BV337"/>
      <c r="BW337"/>
      <c r="BX337"/>
      <c r="BY337"/>
      <c r="BZ337"/>
      <c r="CA337"/>
      <c r="CB337"/>
      <c r="CC337"/>
      <c r="CD337"/>
      <c r="CE337"/>
      <c r="CF337"/>
      <c r="CG337"/>
      <c r="CH337"/>
      <c r="CI337"/>
      <c r="CJ337"/>
      <c r="CK337"/>
      <c r="CL337"/>
      <c r="CM337"/>
      <c r="CN337"/>
      <c r="CO337"/>
      <c r="CP337"/>
      <c r="CQ337"/>
      <c r="CR337"/>
      <c r="CS337"/>
      <c r="CT337"/>
      <c r="CU337"/>
      <c r="CV337"/>
      <c r="CW337"/>
      <c r="CX337"/>
      <c r="CY337"/>
      <c r="CZ337"/>
      <c r="DA337"/>
      <c r="DB337"/>
      <c r="DC337"/>
      <c r="DD337"/>
      <c r="DE337"/>
      <c r="DF337"/>
      <c r="DG337"/>
      <c r="DH337"/>
      <c r="DI337"/>
      <c r="DJ337"/>
      <c r="DK337"/>
      <c r="DL337"/>
      <c r="DM337"/>
      <c r="DN337"/>
      <c r="DO337"/>
      <c r="DP337"/>
      <c r="DQ337"/>
      <c r="DR337"/>
      <c r="DS337"/>
      <c r="DT337"/>
      <c r="DU337"/>
      <c r="DV337"/>
      <c r="DW337"/>
      <c r="DX337"/>
      <c r="DY337"/>
      <c r="DZ337"/>
      <c r="EA337"/>
      <c r="EB337"/>
      <c r="EC337"/>
      <c r="ED337"/>
      <c r="EE337"/>
      <c r="EF337"/>
      <c r="EG337"/>
      <c r="EH337"/>
      <c r="EI337"/>
      <c r="EJ337"/>
      <c r="EK337"/>
      <c r="EL337"/>
      <c r="EM337"/>
      <c r="EN337"/>
      <c r="EO337"/>
      <c r="EP337"/>
      <c r="EQ337"/>
      <c r="ER337"/>
      <c r="ES337"/>
      <c r="ET337"/>
      <c r="EU337"/>
      <c r="EV337"/>
      <c r="EW337"/>
      <c r="EX337"/>
      <c r="EY337"/>
      <c r="EZ337"/>
      <c r="FA337"/>
      <c r="FB337"/>
      <c r="FC337"/>
      <c r="FD337"/>
      <c r="FE337"/>
      <c r="FF337"/>
      <c r="FG337"/>
      <c r="FH337"/>
      <c r="FI337"/>
      <c r="FJ337"/>
      <c r="FK337"/>
      <c r="FL337"/>
      <c r="FM337"/>
      <c r="FN337"/>
      <c r="FO337"/>
      <c r="FP337"/>
      <c r="FQ337"/>
      <c r="FR337"/>
      <c r="FS337"/>
      <c r="FT337"/>
      <c r="FU337"/>
      <c r="FV337"/>
      <c r="FW337"/>
      <c r="FX337"/>
      <c r="FY337"/>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c r="JA337"/>
      <c r="JB337"/>
      <c r="JC337"/>
      <c r="JD337"/>
      <c r="JE337"/>
      <c r="JF337"/>
      <c r="JG337"/>
      <c r="JH337"/>
      <c r="JI337"/>
      <c r="JJ337"/>
      <c r="JK337"/>
      <c r="JL337"/>
      <c r="JM337"/>
      <c r="JN337"/>
      <c r="JO337"/>
      <c r="JP337"/>
      <c r="JQ337"/>
      <c r="JR337"/>
      <c r="JS337"/>
      <c r="JT337"/>
      <c r="JU337"/>
      <c r="JV337"/>
      <c r="JW337"/>
      <c r="JX337"/>
      <c r="JY337"/>
      <c r="JZ337"/>
      <c r="KA337"/>
      <c r="KB337"/>
      <c r="KC337"/>
      <c r="KD337"/>
      <c r="KE337"/>
      <c r="KF337"/>
      <c r="KG337"/>
      <c r="KH337"/>
      <c r="KI337"/>
      <c r="KJ337"/>
      <c r="KK337"/>
      <c r="KL337"/>
      <c r="KM337"/>
      <c r="KN337"/>
      <c r="KO337"/>
      <c r="KP337"/>
      <c r="KQ337"/>
      <c r="KR337"/>
      <c r="KS337"/>
    </row>
    <row r="338" spans="2:305" hidden="1" x14ac:dyDescent="0.35">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c r="AS338"/>
      <c r="AT338"/>
      <c r="AU338"/>
      <c r="AV338"/>
      <c r="AW338"/>
      <c r="AX338"/>
      <c r="AY338"/>
      <c r="AZ338"/>
      <c r="BA338"/>
      <c r="BB338"/>
      <c r="BC338"/>
      <c r="BD338"/>
      <c r="BE338"/>
      <c r="BF338"/>
      <c r="BG338"/>
      <c r="BH338"/>
      <c r="BI338"/>
      <c r="BJ338"/>
      <c r="BK338"/>
      <c r="BL338"/>
      <c r="BM338"/>
      <c r="BN338"/>
      <c r="BO338"/>
      <c r="BP338"/>
      <c r="BQ338"/>
      <c r="BR338"/>
      <c r="BS338"/>
      <c r="BT338"/>
      <c r="BU338"/>
      <c r="BV338"/>
      <c r="BW338"/>
      <c r="BX338"/>
      <c r="BY338"/>
      <c r="BZ338"/>
      <c r="CA338"/>
      <c r="CB338"/>
      <c r="CC338"/>
      <c r="CD338"/>
      <c r="CE338"/>
      <c r="CF338"/>
      <c r="CG338"/>
      <c r="CH338"/>
      <c r="CI338"/>
      <c r="CJ338"/>
      <c r="CK338"/>
      <c r="CL338"/>
      <c r="CM338"/>
      <c r="CN338"/>
      <c r="CO338"/>
      <c r="CP338"/>
      <c r="CQ338"/>
      <c r="CR338"/>
      <c r="CS338"/>
      <c r="CT338"/>
      <c r="CU338"/>
      <c r="CV338"/>
      <c r="CW338"/>
      <c r="CX338"/>
      <c r="CY338"/>
      <c r="CZ338"/>
      <c r="DA338"/>
      <c r="DB338"/>
      <c r="DC338"/>
      <c r="DD338"/>
      <c r="DE338"/>
      <c r="DF338"/>
      <c r="DG338"/>
      <c r="DH338"/>
      <c r="DI338"/>
      <c r="DJ338"/>
      <c r="DK338"/>
      <c r="DL338"/>
      <c r="DM338"/>
      <c r="DN338"/>
      <c r="DO338"/>
      <c r="DP338"/>
      <c r="DQ338"/>
      <c r="DR338"/>
      <c r="DS338"/>
      <c r="DT338"/>
      <c r="DU338"/>
      <c r="DV338"/>
      <c r="DW338"/>
      <c r="DX338"/>
      <c r="DY338"/>
      <c r="DZ338"/>
      <c r="EA338"/>
      <c r="EB338"/>
      <c r="EC338"/>
      <c r="ED338"/>
      <c r="EE338"/>
      <c r="EF338"/>
      <c r="EG338"/>
      <c r="EH338"/>
      <c r="EI338"/>
      <c r="EJ338"/>
      <c r="EK338"/>
      <c r="EL338"/>
      <c r="EM338"/>
      <c r="EN338"/>
      <c r="EO338"/>
      <c r="EP338"/>
      <c r="EQ338"/>
      <c r="ER338"/>
      <c r="ES338"/>
      <c r="ET338"/>
      <c r="EU338"/>
      <c r="EV338"/>
      <c r="EW338"/>
      <c r="EX338"/>
      <c r="EY338"/>
      <c r="EZ338"/>
      <c r="FA338"/>
      <c r="FB338"/>
      <c r="FC338"/>
      <c r="FD338"/>
      <c r="FE338"/>
      <c r="FF338"/>
      <c r="FG338"/>
      <c r="FH338"/>
      <c r="FI338"/>
      <c r="FJ338"/>
      <c r="FK338"/>
      <c r="FL338"/>
      <c r="FM338"/>
      <c r="FN338"/>
      <c r="FO338"/>
      <c r="FP338"/>
      <c r="FQ338"/>
      <c r="FR338"/>
      <c r="FS338"/>
      <c r="FT338"/>
      <c r="FU338"/>
      <c r="FV338"/>
      <c r="FW338"/>
      <c r="FX338"/>
      <c r="FY338"/>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c r="JA338"/>
      <c r="JB338"/>
      <c r="JC338"/>
      <c r="JD338"/>
      <c r="JE338"/>
      <c r="JF338"/>
      <c r="JG338"/>
      <c r="JH338"/>
      <c r="JI338"/>
      <c r="JJ338"/>
      <c r="JK338"/>
      <c r="JL338"/>
      <c r="JM338"/>
      <c r="JN338"/>
      <c r="JO338"/>
      <c r="JP338"/>
      <c r="JQ338"/>
      <c r="JR338"/>
      <c r="JS338"/>
      <c r="JT338"/>
      <c r="JU338"/>
      <c r="JV338"/>
      <c r="JW338"/>
      <c r="JX338"/>
      <c r="JY338"/>
      <c r="JZ338"/>
      <c r="KA338"/>
      <c r="KB338"/>
      <c r="KC338"/>
      <c r="KD338"/>
      <c r="KE338"/>
      <c r="KF338"/>
      <c r="KG338"/>
      <c r="KH338"/>
      <c r="KI338"/>
      <c r="KJ338"/>
      <c r="KK338"/>
      <c r="KL338"/>
      <c r="KM338"/>
      <c r="KN338"/>
      <c r="KO338"/>
      <c r="KP338"/>
      <c r="KQ338"/>
      <c r="KR338"/>
      <c r="KS338"/>
    </row>
    <row r="339" spans="2:305" hidden="1" x14ac:dyDescent="0.35">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c r="AS339"/>
      <c r="AT339"/>
      <c r="AU339"/>
      <c r="AV339"/>
      <c r="AW339"/>
      <c r="AX339"/>
      <c r="AY339"/>
      <c r="AZ339"/>
      <c r="BA339"/>
      <c r="BB339"/>
      <c r="BC339"/>
      <c r="BD339"/>
      <c r="BE339"/>
      <c r="BF339"/>
      <c r="BG339"/>
      <c r="BH339"/>
      <c r="BI339"/>
      <c r="BJ339"/>
      <c r="BK339"/>
      <c r="BL339"/>
      <c r="BM339"/>
      <c r="BN339"/>
      <c r="BO339"/>
      <c r="BP339"/>
      <c r="BQ339"/>
      <c r="BR339"/>
      <c r="BS339"/>
      <c r="BT339"/>
      <c r="BU339"/>
      <c r="BV339"/>
      <c r="BW339"/>
      <c r="BX339"/>
      <c r="BY339"/>
      <c r="BZ339"/>
      <c r="CA339"/>
      <c r="CB339"/>
      <c r="CC339"/>
      <c r="CD339"/>
      <c r="CE339"/>
      <c r="CF339"/>
      <c r="CG339"/>
      <c r="CH339"/>
      <c r="CI339"/>
      <c r="CJ339"/>
      <c r="CK339"/>
      <c r="CL339"/>
      <c r="CM339"/>
      <c r="CN339"/>
      <c r="CO339"/>
      <c r="CP339"/>
      <c r="CQ339"/>
      <c r="CR339"/>
      <c r="CS339"/>
      <c r="CT339"/>
      <c r="CU339"/>
      <c r="CV339"/>
      <c r="CW339"/>
      <c r="CX339"/>
      <c r="CY339"/>
      <c r="CZ339"/>
      <c r="DA339"/>
      <c r="DB339"/>
      <c r="DC339"/>
      <c r="DD339"/>
      <c r="DE339"/>
      <c r="DF339"/>
      <c r="DG339"/>
      <c r="DH339"/>
      <c r="DI339"/>
      <c r="DJ339"/>
      <c r="DK339"/>
      <c r="DL339"/>
      <c r="DM339"/>
      <c r="DN339"/>
      <c r="DO339"/>
      <c r="DP339"/>
      <c r="DQ339"/>
      <c r="DR339"/>
      <c r="DS339"/>
      <c r="DT339"/>
      <c r="DU339"/>
      <c r="DV339"/>
      <c r="DW339"/>
      <c r="DX339"/>
      <c r="DY339"/>
      <c r="DZ339"/>
      <c r="EA339"/>
      <c r="EB339"/>
      <c r="EC339"/>
      <c r="ED339"/>
      <c r="EE339"/>
      <c r="EF339"/>
      <c r="EG339"/>
      <c r="EH339"/>
      <c r="EI339"/>
      <c r="EJ339"/>
      <c r="EK339"/>
      <c r="EL339"/>
      <c r="EM339"/>
      <c r="EN339"/>
      <c r="EO339"/>
      <c r="EP339"/>
      <c r="EQ339"/>
      <c r="ER339"/>
      <c r="ES339"/>
      <c r="ET339"/>
      <c r="EU339"/>
      <c r="EV339"/>
      <c r="EW339"/>
      <c r="EX339"/>
      <c r="EY339"/>
      <c r="EZ339"/>
      <c r="FA339"/>
      <c r="FB339"/>
      <c r="FC339"/>
      <c r="FD339"/>
      <c r="FE339"/>
      <c r="FF339"/>
      <c r="FG339"/>
      <c r="FH339"/>
      <c r="FI339"/>
      <c r="FJ339"/>
      <c r="FK339"/>
      <c r="FL339"/>
      <c r="FM339"/>
      <c r="FN339"/>
      <c r="FO339"/>
      <c r="FP339"/>
      <c r="FQ339"/>
      <c r="FR339"/>
      <c r="FS339"/>
      <c r="FT339"/>
      <c r="FU339"/>
      <c r="FV339"/>
      <c r="FW339"/>
      <c r="FX339"/>
      <c r="FY339"/>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c r="JA339"/>
      <c r="JB339"/>
      <c r="JC339"/>
      <c r="JD339"/>
      <c r="JE339"/>
      <c r="JF339"/>
      <c r="JG339"/>
      <c r="JH339"/>
      <c r="JI339"/>
      <c r="JJ339"/>
      <c r="JK339"/>
      <c r="JL339"/>
      <c r="JM339"/>
      <c r="JN339"/>
      <c r="JO339"/>
      <c r="JP339"/>
      <c r="JQ339"/>
      <c r="JR339"/>
      <c r="JS339"/>
      <c r="JT339"/>
      <c r="JU339"/>
      <c r="JV339"/>
      <c r="JW339"/>
      <c r="JX339"/>
      <c r="JY339"/>
      <c r="JZ339"/>
      <c r="KA339"/>
      <c r="KB339"/>
      <c r="KC339"/>
      <c r="KD339"/>
      <c r="KE339"/>
      <c r="KF339"/>
      <c r="KG339"/>
      <c r="KH339"/>
      <c r="KI339"/>
      <c r="KJ339"/>
      <c r="KK339"/>
      <c r="KL339"/>
      <c r="KM339"/>
      <c r="KN339"/>
      <c r="KO339"/>
      <c r="KP339"/>
      <c r="KQ339"/>
      <c r="KR339"/>
      <c r="KS339"/>
    </row>
    <row r="340" spans="2:305" hidden="1" x14ac:dyDescent="0.35">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c r="AS340"/>
      <c r="AT340"/>
      <c r="AU340"/>
      <c r="AV340"/>
      <c r="AW340"/>
      <c r="AX340"/>
      <c r="AY340"/>
      <c r="AZ340"/>
      <c r="BA340"/>
      <c r="BB340"/>
      <c r="BC340"/>
      <c r="BD340"/>
      <c r="BE340"/>
      <c r="BF340"/>
      <c r="BG340"/>
      <c r="BH340"/>
      <c r="BI340"/>
      <c r="BJ340"/>
      <c r="BK340"/>
      <c r="BL340"/>
      <c r="BM340"/>
      <c r="BN340"/>
      <c r="BO340"/>
      <c r="BP340"/>
      <c r="BQ340"/>
      <c r="BR340"/>
      <c r="BS340"/>
      <c r="BT340"/>
      <c r="BU340"/>
      <c r="BV340"/>
      <c r="BW340"/>
      <c r="BX340"/>
      <c r="BY340"/>
      <c r="BZ340"/>
      <c r="CA340"/>
      <c r="CB340"/>
      <c r="CC340"/>
      <c r="CD340"/>
      <c r="CE340"/>
      <c r="CF340"/>
      <c r="CG340"/>
      <c r="CH340"/>
      <c r="CI340"/>
      <c r="CJ340"/>
      <c r="CK340"/>
      <c r="CL340"/>
      <c r="CM340"/>
      <c r="CN340"/>
      <c r="CO340"/>
      <c r="CP340"/>
      <c r="CQ340"/>
      <c r="CR340"/>
      <c r="CS340"/>
      <c r="CT340"/>
      <c r="CU340"/>
      <c r="CV340"/>
      <c r="CW340"/>
      <c r="CX340"/>
      <c r="CY340"/>
      <c r="CZ340"/>
      <c r="DA340"/>
      <c r="DB340"/>
      <c r="DC340"/>
      <c r="DD340"/>
      <c r="DE340"/>
      <c r="DF340"/>
      <c r="DG340"/>
      <c r="DH340"/>
      <c r="DI340"/>
      <c r="DJ340"/>
      <c r="DK340"/>
      <c r="DL340"/>
      <c r="DM340"/>
      <c r="DN340"/>
      <c r="DO340"/>
      <c r="DP340"/>
      <c r="DQ340"/>
      <c r="DR340"/>
      <c r="DS340"/>
      <c r="DT340"/>
      <c r="DU340"/>
      <c r="DV340"/>
      <c r="DW340"/>
      <c r="DX340"/>
      <c r="DY340"/>
      <c r="DZ340"/>
      <c r="EA340"/>
      <c r="EB340"/>
      <c r="EC340"/>
      <c r="ED340"/>
      <c r="EE340"/>
      <c r="EF340"/>
      <c r="EG340"/>
      <c r="EH340"/>
      <c r="EI340"/>
      <c r="EJ340"/>
      <c r="EK340"/>
      <c r="EL340"/>
      <c r="EM340"/>
      <c r="EN340"/>
      <c r="EO340"/>
      <c r="EP340"/>
      <c r="EQ340"/>
      <c r="ER340"/>
      <c r="ES340"/>
      <c r="ET340"/>
      <c r="EU340"/>
      <c r="EV340"/>
      <c r="EW340"/>
      <c r="EX340"/>
      <c r="EY340"/>
      <c r="EZ340"/>
      <c r="FA340"/>
      <c r="FB340"/>
      <c r="FC340"/>
      <c r="FD340"/>
      <c r="FE340"/>
      <c r="FF340"/>
      <c r="FG340"/>
      <c r="FH340"/>
      <c r="FI340"/>
      <c r="FJ340"/>
      <c r="FK340"/>
      <c r="FL340"/>
      <c r="FM340"/>
      <c r="FN340"/>
      <c r="FO340"/>
      <c r="FP340"/>
      <c r="FQ340"/>
      <c r="FR340"/>
      <c r="FS340"/>
      <c r="FT340"/>
      <c r="FU340"/>
      <c r="FV340"/>
      <c r="FW340"/>
      <c r="FX340"/>
      <c r="FY34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c r="JA340"/>
      <c r="JB340"/>
      <c r="JC340"/>
      <c r="JD340"/>
      <c r="JE340"/>
      <c r="JF340"/>
      <c r="JG340"/>
      <c r="JH340"/>
      <c r="JI340"/>
      <c r="JJ340"/>
      <c r="JK340"/>
      <c r="JL340"/>
      <c r="JM340"/>
      <c r="JN340"/>
      <c r="JO340"/>
      <c r="JP340"/>
      <c r="JQ340"/>
      <c r="JR340"/>
      <c r="JS340"/>
      <c r="JT340"/>
      <c r="JU340"/>
      <c r="JV340"/>
      <c r="JW340"/>
      <c r="JX340"/>
      <c r="JY340"/>
      <c r="JZ340"/>
      <c r="KA340"/>
      <c r="KB340"/>
      <c r="KC340"/>
      <c r="KD340"/>
      <c r="KE340"/>
      <c r="KF340"/>
      <c r="KG340"/>
      <c r="KH340"/>
      <c r="KI340"/>
      <c r="KJ340"/>
      <c r="KK340"/>
      <c r="KL340"/>
      <c r="KM340"/>
      <c r="KN340"/>
      <c r="KO340"/>
      <c r="KP340"/>
      <c r="KQ340"/>
      <c r="KR340"/>
      <c r="KS340"/>
    </row>
    <row r="341" spans="2:305" hidden="1" x14ac:dyDescent="0.35">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c r="AS341"/>
      <c r="AT341"/>
      <c r="AU341"/>
      <c r="AV341"/>
      <c r="AW341"/>
      <c r="AX341"/>
      <c r="AY341"/>
      <c r="AZ341"/>
      <c r="BA341"/>
      <c r="BB341"/>
      <c r="BC341"/>
      <c r="BD341"/>
      <c r="BE341"/>
      <c r="BF341"/>
      <c r="BG341"/>
      <c r="BH341"/>
      <c r="BI341"/>
      <c r="BJ341"/>
      <c r="BK341"/>
      <c r="BL341"/>
      <c r="BM341"/>
      <c r="BN341"/>
      <c r="BO341"/>
      <c r="BP341"/>
      <c r="BQ341"/>
      <c r="BR341"/>
      <c r="BS341"/>
      <c r="BT341"/>
      <c r="BU341"/>
      <c r="BV341"/>
      <c r="BW341"/>
      <c r="BX341"/>
      <c r="BY341"/>
      <c r="BZ341"/>
      <c r="CA341"/>
      <c r="CB341"/>
      <c r="CC341"/>
      <c r="CD341"/>
      <c r="CE341"/>
      <c r="CF341"/>
      <c r="CG341"/>
      <c r="CH341"/>
      <c r="CI341"/>
      <c r="CJ341"/>
      <c r="CK341"/>
      <c r="CL341"/>
      <c r="CM341"/>
      <c r="CN341"/>
      <c r="CO341"/>
      <c r="CP341"/>
      <c r="CQ341"/>
      <c r="CR341"/>
      <c r="CS341"/>
      <c r="CT341"/>
      <c r="CU341"/>
      <c r="CV341"/>
      <c r="CW341"/>
      <c r="CX341"/>
      <c r="CY341"/>
      <c r="CZ341"/>
      <c r="DA341"/>
      <c r="DB341"/>
      <c r="DC341"/>
      <c r="DD341"/>
      <c r="DE341"/>
      <c r="DF341"/>
      <c r="DG341"/>
      <c r="DH341"/>
      <c r="DI341"/>
      <c r="DJ341"/>
      <c r="DK341"/>
      <c r="DL341"/>
      <c r="DM341"/>
      <c r="DN341"/>
      <c r="DO341"/>
      <c r="DP341"/>
      <c r="DQ341"/>
      <c r="DR341"/>
      <c r="DS341"/>
      <c r="DT341"/>
      <c r="DU341"/>
      <c r="DV341"/>
      <c r="DW341"/>
      <c r="DX341"/>
      <c r="DY341"/>
      <c r="DZ341"/>
      <c r="EA341"/>
      <c r="EB341"/>
      <c r="EC341"/>
      <c r="ED341"/>
      <c r="EE341"/>
      <c r="EF341"/>
      <c r="EG341"/>
      <c r="EH341"/>
      <c r="EI341"/>
      <c r="EJ341"/>
      <c r="EK341"/>
      <c r="EL341"/>
      <c r="EM341"/>
      <c r="EN341"/>
      <c r="EO341"/>
      <c r="EP341"/>
      <c r="EQ341"/>
      <c r="ER341"/>
      <c r="ES341"/>
      <c r="ET341"/>
      <c r="EU341"/>
      <c r="EV341"/>
      <c r="EW341"/>
      <c r="EX341"/>
      <c r="EY341"/>
      <c r="EZ341"/>
      <c r="FA341"/>
      <c r="FB341"/>
      <c r="FC341"/>
      <c r="FD341"/>
      <c r="FE341"/>
      <c r="FF341"/>
      <c r="FG341"/>
      <c r="FH341"/>
      <c r="FI341"/>
      <c r="FJ341"/>
      <c r="FK341"/>
      <c r="FL341"/>
      <c r="FM341"/>
      <c r="FN341"/>
      <c r="FO341"/>
      <c r="FP341"/>
      <c r="FQ341"/>
      <c r="FR341"/>
      <c r="FS341"/>
      <c r="FT341"/>
      <c r="FU341"/>
      <c r="FV341"/>
      <c r="FW341"/>
      <c r="FX341"/>
      <c r="FY341"/>
      <c r="FZ341"/>
      <c r="GA341"/>
      <c r="GB341"/>
      <c r="GC341"/>
      <c r="GD341"/>
      <c r="GE341"/>
      <c r="GF341"/>
      <c r="GG341"/>
      <c r="GH341"/>
      <c r="GI341"/>
      <c r="GJ341"/>
      <c r="GK341"/>
      <c r="GL341"/>
      <c r="GM341"/>
      <c r="GN341"/>
      <c r="GO341"/>
      <c r="GP341"/>
      <c r="GQ341"/>
      <c r="GR341"/>
      <c r="GS341"/>
      <c r="GT341"/>
      <c r="GU341"/>
      <c r="GV341"/>
      <c r="GW341"/>
      <c r="GX341"/>
      <c r="GY341"/>
      <c r="GZ341"/>
      <c r="HA341"/>
      <c r="HB341"/>
      <c r="HC341"/>
      <c r="HD341"/>
      <c r="HE341"/>
      <c r="HF341"/>
      <c r="HG341"/>
      <c r="HH341"/>
      <c r="HI341"/>
      <c r="HJ341"/>
      <c r="HK341"/>
      <c r="HL341"/>
      <c r="HM341"/>
      <c r="HN341"/>
      <c r="HO341"/>
      <c r="HP341"/>
      <c r="HQ341"/>
      <c r="HR341"/>
      <c r="HS341"/>
      <c r="HT341"/>
      <c r="HU341"/>
      <c r="HV341"/>
      <c r="HW341"/>
      <c r="HX341"/>
      <c r="HY341"/>
      <c r="HZ341"/>
      <c r="IA341"/>
      <c r="IB341"/>
      <c r="IC341"/>
      <c r="ID341"/>
      <c r="IE341"/>
      <c r="IF341"/>
      <c r="IG341"/>
      <c r="IH341"/>
      <c r="II341"/>
      <c r="IJ341"/>
      <c r="IK341"/>
      <c r="IL341"/>
      <c r="IM341"/>
      <c r="IN341"/>
      <c r="IO341"/>
      <c r="IP341"/>
      <c r="IQ341"/>
      <c r="IR341"/>
      <c r="IS341"/>
      <c r="IT341"/>
      <c r="IU341"/>
      <c r="IV341"/>
      <c r="IW341"/>
      <c r="IX341"/>
      <c r="IY341"/>
      <c r="IZ341"/>
      <c r="JA341"/>
      <c r="JB341"/>
      <c r="JC341"/>
      <c r="JD341"/>
      <c r="JE341"/>
      <c r="JF341"/>
      <c r="JG341"/>
      <c r="JH341"/>
      <c r="JI341"/>
      <c r="JJ341"/>
      <c r="JK341"/>
      <c r="JL341"/>
      <c r="JM341"/>
      <c r="JN341"/>
      <c r="JO341"/>
      <c r="JP341"/>
      <c r="JQ341"/>
      <c r="JR341"/>
      <c r="JS341"/>
      <c r="JT341"/>
      <c r="JU341"/>
      <c r="JV341"/>
      <c r="JW341"/>
      <c r="JX341"/>
      <c r="JY341"/>
      <c r="JZ341"/>
      <c r="KA341"/>
      <c r="KB341"/>
      <c r="KC341"/>
      <c r="KD341"/>
      <c r="KE341"/>
      <c r="KF341"/>
      <c r="KG341"/>
      <c r="KH341"/>
      <c r="KI341"/>
      <c r="KJ341"/>
      <c r="KK341"/>
      <c r="KL341"/>
      <c r="KM341"/>
      <c r="KN341"/>
      <c r="KO341"/>
      <c r="KP341"/>
      <c r="KQ341"/>
      <c r="KR341"/>
      <c r="KS341"/>
    </row>
    <row r="342" spans="2:305" hidden="1" x14ac:dyDescent="0.35">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c r="AS342"/>
      <c r="AT342"/>
      <c r="AU342"/>
      <c r="AV342"/>
      <c r="AW342"/>
      <c r="AX342"/>
      <c r="AY342"/>
      <c r="AZ342"/>
      <c r="BA342"/>
      <c r="BB342"/>
      <c r="BC342"/>
      <c r="BD342"/>
      <c r="BE342"/>
      <c r="BF342"/>
      <c r="BG342"/>
      <c r="BH342"/>
      <c r="BI342"/>
      <c r="BJ342"/>
      <c r="BK342"/>
      <c r="BL342"/>
      <c r="BM342"/>
      <c r="BN342"/>
      <c r="BO342"/>
      <c r="BP342"/>
      <c r="BQ342"/>
      <c r="BR342"/>
      <c r="BS342"/>
      <c r="BT342"/>
      <c r="BU342"/>
      <c r="BV342"/>
      <c r="BW342"/>
      <c r="BX342"/>
      <c r="BY342"/>
      <c r="BZ342"/>
      <c r="CA342"/>
      <c r="CB342"/>
      <c r="CC342"/>
      <c r="CD342"/>
      <c r="CE342"/>
      <c r="CF342"/>
      <c r="CG342"/>
      <c r="CH342"/>
      <c r="CI342"/>
      <c r="CJ342"/>
      <c r="CK342"/>
      <c r="CL342"/>
      <c r="CM342"/>
      <c r="CN342"/>
      <c r="CO342"/>
      <c r="CP342"/>
      <c r="CQ342"/>
      <c r="CR342"/>
      <c r="CS342"/>
      <c r="CT342"/>
      <c r="CU342"/>
      <c r="CV342"/>
      <c r="CW342"/>
      <c r="CX342"/>
      <c r="CY342"/>
      <c r="CZ342"/>
      <c r="DA342"/>
      <c r="DB342"/>
      <c r="DC342"/>
      <c r="DD342"/>
      <c r="DE342"/>
      <c r="DF342"/>
      <c r="DG342"/>
      <c r="DH342"/>
      <c r="DI342"/>
      <c r="DJ342"/>
      <c r="DK342"/>
      <c r="DL342"/>
      <c r="DM342"/>
      <c r="DN342"/>
      <c r="DO342"/>
      <c r="DP342"/>
      <c r="DQ342"/>
      <c r="DR342"/>
      <c r="DS342"/>
      <c r="DT342"/>
      <c r="DU342"/>
      <c r="DV342"/>
      <c r="DW342"/>
      <c r="DX342"/>
      <c r="DY342"/>
      <c r="DZ342"/>
      <c r="EA342"/>
      <c r="EB342"/>
      <c r="EC342"/>
      <c r="ED342"/>
      <c r="EE342"/>
      <c r="EF342"/>
      <c r="EG342"/>
      <c r="EH342"/>
      <c r="EI342"/>
      <c r="EJ342"/>
      <c r="EK342"/>
      <c r="EL342"/>
      <c r="EM342"/>
      <c r="EN342"/>
      <c r="EO342"/>
      <c r="EP342"/>
      <c r="EQ342"/>
      <c r="ER342"/>
      <c r="ES342"/>
      <c r="ET342"/>
      <c r="EU342"/>
      <c r="EV342"/>
      <c r="EW342"/>
      <c r="EX342"/>
      <c r="EY342"/>
      <c r="EZ342"/>
      <c r="FA342"/>
      <c r="FB342"/>
      <c r="FC342"/>
      <c r="FD342"/>
      <c r="FE342"/>
      <c r="FF342"/>
      <c r="FG342"/>
      <c r="FH342"/>
      <c r="FI342"/>
      <c r="FJ342"/>
      <c r="FK342"/>
      <c r="FL342"/>
      <c r="FM342"/>
      <c r="FN342"/>
      <c r="FO342"/>
      <c r="FP342"/>
      <c r="FQ342"/>
      <c r="FR342"/>
      <c r="FS342"/>
      <c r="FT342"/>
      <c r="FU342"/>
      <c r="FV342"/>
      <c r="FW342"/>
      <c r="FX342"/>
      <c r="FY342"/>
      <c r="FZ342"/>
      <c r="GA342"/>
      <c r="GB342"/>
      <c r="GC342"/>
      <c r="GD342"/>
      <c r="GE342"/>
      <c r="GF342"/>
      <c r="GG342"/>
      <c r="GH342"/>
      <c r="GI342"/>
      <c r="GJ342"/>
      <c r="GK342"/>
      <c r="GL342"/>
      <c r="GM342"/>
      <c r="GN342"/>
      <c r="GO342"/>
      <c r="GP342"/>
      <c r="GQ342"/>
      <c r="GR342"/>
      <c r="GS342"/>
      <c r="GT342"/>
      <c r="GU342"/>
      <c r="GV342"/>
      <c r="GW342"/>
      <c r="GX342"/>
      <c r="GY342"/>
      <c r="GZ342"/>
      <c r="HA342"/>
      <c r="HB342"/>
      <c r="HC342"/>
      <c r="HD342"/>
      <c r="HE342"/>
      <c r="HF342"/>
      <c r="HG342"/>
      <c r="HH342"/>
      <c r="HI342"/>
      <c r="HJ342"/>
      <c r="HK342"/>
      <c r="HL342"/>
      <c r="HM342"/>
      <c r="HN342"/>
      <c r="HO342"/>
      <c r="HP342"/>
      <c r="HQ342"/>
      <c r="HR342"/>
      <c r="HS342"/>
      <c r="HT342"/>
      <c r="HU342"/>
      <c r="HV342"/>
      <c r="HW342"/>
      <c r="HX342"/>
      <c r="HY342"/>
      <c r="HZ342"/>
      <c r="IA342"/>
      <c r="IB342"/>
      <c r="IC342"/>
      <c r="ID342"/>
      <c r="IE342"/>
      <c r="IF342"/>
      <c r="IG342"/>
      <c r="IH342"/>
      <c r="II342"/>
      <c r="IJ342"/>
      <c r="IK342"/>
      <c r="IL342"/>
      <c r="IM342"/>
      <c r="IN342"/>
      <c r="IO342"/>
      <c r="IP342"/>
      <c r="IQ342"/>
      <c r="IR342"/>
      <c r="IS342"/>
      <c r="IT342"/>
      <c r="IU342"/>
      <c r="IV342"/>
      <c r="IW342"/>
      <c r="IX342"/>
      <c r="IY342"/>
      <c r="IZ342"/>
      <c r="JA342"/>
      <c r="JB342"/>
      <c r="JC342"/>
      <c r="JD342"/>
      <c r="JE342"/>
      <c r="JF342"/>
      <c r="JG342"/>
      <c r="JH342"/>
      <c r="JI342"/>
      <c r="JJ342"/>
      <c r="JK342"/>
      <c r="JL342"/>
      <c r="JM342"/>
      <c r="JN342"/>
      <c r="JO342"/>
      <c r="JP342"/>
      <c r="JQ342"/>
      <c r="JR342"/>
      <c r="JS342"/>
      <c r="JT342"/>
      <c r="JU342"/>
      <c r="JV342"/>
      <c r="JW342"/>
      <c r="JX342"/>
      <c r="JY342"/>
      <c r="JZ342"/>
      <c r="KA342"/>
      <c r="KB342"/>
      <c r="KC342"/>
      <c r="KD342"/>
      <c r="KE342"/>
      <c r="KF342"/>
      <c r="KG342"/>
      <c r="KH342"/>
      <c r="KI342"/>
      <c r="KJ342"/>
      <c r="KK342"/>
      <c r="KL342"/>
      <c r="KM342"/>
      <c r="KN342"/>
      <c r="KO342"/>
      <c r="KP342"/>
      <c r="KQ342"/>
      <c r="KR342"/>
      <c r="KS342"/>
    </row>
    <row r="343" spans="2:305" hidden="1" x14ac:dyDescent="0.35">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c r="AS343"/>
      <c r="AT343"/>
      <c r="AU343"/>
      <c r="AV343"/>
      <c r="AW343"/>
      <c r="AX343"/>
      <c r="AY343"/>
      <c r="AZ343"/>
      <c r="BA343"/>
      <c r="BB343"/>
      <c r="BC343"/>
      <c r="BD343"/>
      <c r="BE343"/>
      <c r="BF343"/>
      <c r="BG343"/>
      <c r="BH343"/>
      <c r="BI343"/>
      <c r="BJ343"/>
      <c r="BK343"/>
      <c r="BL343"/>
      <c r="BM343"/>
      <c r="BN343"/>
      <c r="BO343"/>
      <c r="BP343"/>
      <c r="BQ343"/>
      <c r="BR343"/>
      <c r="BS343"/>
      <c r="BT343"/>
      <c r="BU343"/>
      <c r="BV343"/>
      <c r="BW343"/>
      <c r="BX343"/>
      <c r="BY343"/>
      <c r="BZ343"/>
      <c r="CA343"/>
      <c r="CB343"/>
      <c r="CC343"/>
      <c r="CD343"/>
      <c r="CE343"/>
      <c r="CF343"/>
      <c r="CG343"/>
      <c r="CH343"/>
      <c r="CI343"/>
      <c r="CJ343"/>
      <c r="CK343"/>
      <c r="CL343"/>
      <c r="CM343"/>
      <c r="CN343"/>
      <c r="CO343"/>
      <c r="CP343"/>
      <c r="CQ343"/>
      <c r="CR343"/>
      <c r="CS343"/>
      <c r="CT343"/>
      <c r="CU343"/>
      <c r="CV343"/>
      <c r="CW343"/>
      <c r="CX343"/>
      <c r="CY343"/>
      <c r="CZ343"/>
      <c r="DA343"/>
      <c r="DB343"/>
      <c r="DC343"/>
      <c r="DD343"/>
      <c r="DE343"/>
      <c r="DF343"/>
      <c r="DG343"/>
      <c r="DH343"/>
      <c r="DI343"/>
      <c r="DJ343"/>
      <c r="DK343"/>
      <c r="DL343"/>
      <c r="DM343"/>
      <c r="DN343"/>
      <c r="DO343"/>
      <c r="DP343"/>
      <c r="DQ343"/>
      <c r="DR343"/>
      <c r="DS343"/>
      <c r="DT343"/>
      <c r="DU343"/>
      <c r="DV343"/>
      <c r="DW343"/>
      <c r="DX343"/>
      <c r="DY343"/>
      <c r="DZ343"/>
      <c r="EA343"/>
      <c r="EB343"/>
      <c r="EC343"/>
      <c r="ED343"/>
      <c r="EE343"/>
      <c r="EF343"/>
      <c r="EG343"/>
      <c r="EH343"/>
      <c r="EI343"/>
      <c r="EJ343"/>
      <c r="EK343"/>
      <c r="EL343"/>
      <c r="EM343"/>
      <c r="EN343"/>
      <c r="EO343"/>
      <c r="EP343"/>
      <c r="EQ343"/>
      <c r="ER343"/>
      <c r="ES343"/>
      <c r="ET343"/>
      <c r="EU343"/>
      <c r="EV343"/>
      <c r="EW343"/>
      <c r="EX343"/>
      <c r="EY343"/>
      <c r="EZ343"/>
      <c r="FA343"/>
      <c r="FB343"/>
      <c r="FC343"/>
      <c r="FD343"/>
      <c r="FE343"/>
      <c r="FF343"/>
      <c r="FG343"/>
      <c r="FH343"/>
      <c r="FI343"/>
      <c r="FJ343"/>
      <c r="FK343"/>
      <c r="FL343"/>
      <c r="FM343"/>
      <c r="FN343"/>
      <c r="FO343"/>
      <c r="FP343"/>
      <c r="FQ343"/>
      <c r="FR343"/>
      <c r="FS343"/>
      <c r="FT343"/>
      <c r="FU343"/>
      <c r="FV343"/>
      <c r="FW343"/>
      <c r="FX343"/>
      <c r="FY343"/>
      <c r="FZ343"/>
      <c r="GA343"/>
      <c r="GB343"/>
      <c r="GC343"/>
      <c r="GD343"/>
      <c r="GE343"/>
      <c r="GF343"/>
      <c r="GG343"/>
      <c r="GH343"/>
      <c r="GI343"/>
      <c r="GJ343"/>
      <c r="GK343"/>
      <c r="GL343"/>
      <c r="GM343"/>
      <c r="GN343"/>
      <c r="GO343"/>
      <c r="GP343"/>
      <c r="GQ343"/>
      <c r="GR343"/>
      <c r="GS343"/>
      <c r="GT343"/>
      <c r="GU343"/>
      <c r="GV343"/>
      <c r="GW343"/>
      <c r="GX343"/>
      <c r="GY343"/>
      <c r="GZ343"/>
      <c r="HA343"/>
      <c r="HB343"/>
      <c r="HC343"/>
      <c r="HD343"/>
      <c r="HE343"/>
      <c r="HF343"/>
      <c r="HG343"/>
      <c r="HH343"/>
      <c r="HI343"/>
      <c r="HJ343"/>
      <c r="HK343"/>
      <c r="HL343"/>
      <c r="HM343"/>
      <c r="HN343"/>
      <c r="HO343"/>
      <c r="HP343"/>
      <c r="HQ343"/>
      <c r="HR343"/>
      <c r="HS343"/>
      <c r="HT343"/>
      <c r="HU343"/>
      <c r="HV343"/>
      <c r="HW343"/>
      <c r="HX343"/>
      <c r="HY343"/>
      <c r="HZ343"/>
      <c r="IA343"/>
      <c r="IB343"/>
      <c r="IC343"/>
      <c r="ID343"/>
      <c r="IE343"/>
      <c r="IF343"/>
      <c r="IG343"/>
      <c r="IH343"/>
      <c r="II343"/>
      <c r="IJ343"/>
      <c r="IK343"/>
      <c r="IL343"/>
      <c r="IM343"/>
      <c r="IN343"/>
      <c r="IO343"/>
      <c r="IP343"/>
      <c r="IQ343"/>
      <c r="IR343"/>
      <c r="IS343"/>
      <c r="IT343"/>
      <c r="IU343"/>
      <c r="IV343"/>
      <c r="IW343"/>
      <c r="IX343"/>
      <c r="IY343"/>
      <c r="IZ343"/>
      <c r="JA343"/>
      <c r="JB343"/>
      <c r="JC343"/>
      <c r="JD343"/>
      <c r="JE343"/>
      <c r="JF343"/>
      <c r="JG343"/>
      <c r="JH343"/>
      <c r="JI343"/>
      <c r="JJ343"/>
      <c r="JK343"/>
      <c r="JL343"/>
      <c r="JM343"/>
      <c r="JN343"/>
      <c r="JO343"/>
      <c r="JP343"/>
      <c r="JQ343"/>
      <c r="JR343"/>
      <c r="JS343"/>
      <c r="JT343"/>
      <c r="JU343"/>
      <c r="JV343"/>
      <c r="JW343"/>
      <c r="JX343"/>
      <c r="JY343"/>
      <c r="JZ343"/>
      <c r="KA343"/>
      <c r="KB343"/>
      <c r="KC343"/>
      <c r="KD343"/>
      <c r="KE343"/>
      <c r="KF343"/>
      <c r="KG343"/>
      <c r="KH343"/>
      <c r="KI343"/>
      <c r="KJ343"/>
      <c r="KK343"/>
      <c r="KL343"/>
      <c r="KM343"/>
      <c r="KN343"/>
      <c r="KO343"/>
      <c r="KP343"/>
      <c r="KQ343"/>
      <c r="KR343"/>
      <c r="KS343"/>
    </row>
    <row r="344" spans="2:305" hidden="1" x14ac:dyDescent="0.35">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c r="AS344"/>
      <c r="AT344"/>
      <c r="AU344"/>
      <c r="AV344"/>
      <c r="AW344"/>
      <c r="AX344"/>
      <c r="AY344"/>
      <c r="AZ344"/>
      <c r="BA344"/>
      <c r="BB344"/>
      <c r="BC344"/>
      <c r="BD344"/>
      <c r="BE344"/>
      <c r="BF344"/>
      <c r="BG344"/>
      <c r="BH344"/>
      <c r="BI344"/>
      <c r="BJ344"/>
      <c r="BK344"/>
      <c r="BL344"/>
      <c r="BM344"/>
      <c r="BN344"/>
      <c r="BO344"/>
      <c r="BP344"/>
      <c r="BQ344"/>
      <c r="BR344"/>
      <c r="BS344"/>
      <c r="BT344"/>
      <c r="BU344"/>
      <c r="BV344"/>
      <c r="BW344"/>
      <c r="BX344"/>
      <c r="BY344"/>
      <c r="BZ344"/>
      <c r="CA344"/>
      <c r="CB344"/>
      <c r="CC344"/>
      <c r="CD344"/>
      <c r="CE344"/>
      <c r="CF344"/>
      <c r="CG344"/>
      <c r="CH344"/>
      <c r="CI344"/>
      <c r="CJ344"/>
      <c r="CK344"/>
      <c r="CL344"/>
      <c r="CM344"/>
      <c r="CN344"/>
      <c r="CO344"/>
      <c r="CP344"/>
      <c r="CQ344"/>
      <c r="CR344"/>
      <c r="CS344"/>
      <c r="CT344"/>
      <c r="CU344"/>
      <c r="CV344"/>
      <c r="CW344"/>
      <c r="CX344"/>
      <c r="CY344"/>
      <c r="CZ344"/>
      <c r="DA344"/>
      <c r="DB344"/>
      <c r="DC344"/>
      <c r="DD344"/>
      <c r="DE344"/>
      <c r="DF344"/>
      <c r="DG344"/>
      <c r="DH344"/>
      <c r="DI344"/>
      <c r="DJ344"/>
      <c r="DK344"/>
      <c r="DL344"/>
      <c r="DM344"/>
      <c r="DN344"/>
      <c r="DO344"/>
      <c r="DP344"/>
      <c r="DQ344"/>
      <c r="DR344"/>
      <c r="DS344"/>
      <c r="DT344"/>
      <c r="DU344"/>
      <c r="DV344"/>
      <c r="DW344"/>
      <c r="DX344"/>
      <c r="DY344"/>
      <c r="DZ344"/>
      <c r="EA344"/>
      <c r="EB344"/>
      <c r="EC344"/>
      <c r="ED344"/>
      <c r="EE344"/>
      <c r="EF344"/>
      <c r="EG344"/>
      <c r="EH344"/>
      <c r="EI344"/>
      <c r="EJ344"/>
      <c r="EK344"/>
      <c r="EL344"/>
      <c r="EM344"/>
      <c r="EN344"/>
      <c r="EO344"/>
      <c r="EP344"/>
      <c r="EQ344"/>
      <c r="ER344"/>
      <c r="ES344"/>
      <c r="ET344"/>
      <c r="EU344"/>
      <c r="EV344"/>
      <c r="EW344"/>
      <c r="EX344"/>
      <c r="EY344"/>
      <c r="EZ344"/>
      <c r="FA344"/>
      <c r="FB344"/>
      <c r="FC344"/>
      <c r="FD344"/>
      <c r="FE344"/>
      <c r="FF344"/>
      <c r="FG344"/>
      <c r="FH344"/>
      <c r="FI344"/>
      <c r="FJ344"/>
      <c r="FK344"/>
      <c r="FL344"/>
      <c r="FM344"/>
      <c r="FN344"/>
      <c r="FO344"/>
      <c r="FP344"/>
      <c r="FQ344"/>
      <c r="FR344"/>
      <c r="FS344"/>
      <c r="FT344"/>
      <c r="FU344"/>
      <c r="FV344"/>
      <c r="FW344"/>
      <c r="FX344"/>
      <c r="FY344"/>
      <c r="FZ344"/>
      <c r="GA344"/>
      <c r="GB344"/>
      <c r="GC344"/>
      <c r="GD344"/>
      <c r="GE344"/>
      <c r="GF344"/>
      <c r="GG344"/>
      <c r="GH344"/>
      <c r="GI344"/>
      <c r="GJ344"/>
      <c r="GK344"/>
      <c r="GL344"/>
      <c r="GM344"/>
      <c r="GN344"/>
      <c r="GO344"/>
      <c r="GP344"/>
      <c r="GQ344"/>
      <c r="GR344"/>
      <c r="GS344"/>
      <c r="GT344"/>
      <c r="GU344"/>
      <c r="GV344"/>
      <c r="GW344"/>
      <c r="GX344"/>
      <c r="GY344"/>
      <c r="GZ344"/>
      <c r="HA344"/>
      <c r="HB344"/>
      <c r="HC344"/>
      <c r="HD344"/>
      <c r="HE344"/>
      <c r="HF344"/>
      <c r="HG344"/>
      <c r="HH344"/>
      <c r="HI344"/>
      <c r="HJ344"/>
      <c r="HK344"/>
      <c r="HL344"/>
      <c r="HM344"/>
      <c r="HN344"/>
      <c r="HO344"/>
      <c r="HP344"/>
      <c r="HQ344"/>
      <c r="HR344"/>
      <c r="HS344"/>
      <c r="HT344"/>
      <c r="HU344"/>
      <c r="HV344"/>
      <c r="HW344"/>
      <c r="HX344"/>
      <c r="HY344"/>
      <c r="HZ344"/>
      <c r="IA344"/>
      <c r="IB344"/>
      <c r="IC344"/>
      <c r="ID344"/>
      <c r="IE344"/>
      <c r="IF344"/>
      <c r="IG344"/>
      <c r="IH344"/>
      <c r="II344"/>
      <c r="IJ344"/>
      <c r="IK344"/>
      <c r="IL344"/>
      <c r="IM344"/>
      <c r="IN344"/>
      <c r="IO344"/>
      <c r="IP344"/>
      <c r="IQ344"/>
      <c r="IR344"/>
      <c r="IS344"/>
      <c r="IT344"/>
      <c r="IU344"/>
      <c r="IV344"/>
      <c r="IW344"/>
      <c r="IX344"/>
      <c r="IY344"/>
      <c r="IZ344"/>
      <c r="JA344"/>
      <c r="JB344"/>
      <c r="JC344"/>
      <c r="JD344"/>
      <c r="JE344"/>
      <c r="JF344"/>
      <c r="JG344"/>
      <c r="JH344"/>
      <c r="JI344"/>
      <c r="JJ344"/>
      <c r="JK344"/>
      <c r="JL344"/>
      <c r="JM344"/>
      <c r="JN344"/>
      <c r="JO344"/>
      <c r="JP344"/>
      <c r="JQ344"/>
      <c r="JR344"/>
      <c r="JS344"/>
      <c r="JT344"/>
      <c r="JU344"/>
      <c r="JV344"/>
      <c r="JW344"/>
      <c r="JX344"/>
      <c r="JY344"/>
      <c r="JZ344"/>
      <c r="KA344"/>
      <c r="KB344"/>
      <c r="KC344"/>
      <c r="KD344"/>
      <c r="KE344"/>
      <c r="KF344"/>
      <c r="KG344"/>
      <c r="KH344"/>
      <c r="KI344"/>
      <c r="KJ344"/>
      <c r="KK344"/>
      <c r="KL344"/>
      <c r="KM344"/>
      <c r="KN344"/>
      <c r="KO344"/>
      <c r="KP344"/>
      <c r="KQ344"/>
      <c r="KR344"/>
      <c r="KS344"/>
    </row>
    <row r="345" spans="2:305" hidden="1" x14ac:dyDescent="0.3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c r="AS345"/>
      <c r="AT345"/>
      <c r="AU345"/>
      <c r="AV345"/>
      <c r="AW345"/>
      <c r="AX345"/>
      <c r="AY345"/>
      <c r="AZ345"/>
      <c r="BA345"/>
      <c r="BB345"/>
      <c r="BC345"/>
      <c r="BD345"/>
      <c r="BE345"/>
      <c r="BF345"/>
      <c r="BG345"/>
      <c r="BH345"/>
      <c r="BI345"/>
      <c r="BJ345"/>
      <c r="BK345"/>
      <c r="BL345"/>
      <c r="BM345"/>
      <c r="BN345"/>
      <c r="BO345"/>
      <c r="BP345"/>
      <c r="BQ345"/>
      <c r="BR345"/>
      <c r="BS345"/>
      <c r="BT345"/>
      <c r="BU345"/>
      <c r="BV345"/>
      <c r="BW345"/>
      <c r="BX345"/>
      <c r="BY345"/>
      <c r="BZ345"/>
      <c r="CA345"/>
      <c r="CB345"/>
      <c r="CC345"/>
      <c r="CD345"/>
      <c r="CE345"/>
      <c r="CF345"/>
      <c r="CG345"/>
      <c r="CH345"/>
      <c r="CI345"/>
      <c r="CJ345"/>
      <c r="CK345"/>
      <c r="CL345"/>
      <c r="CM345"/>
      <c r="CN345"/>
      <c r="CO345"/>
      <c r="CP345"/>
      <c r="CQ345"/>
      <c r="CR345"/>
      <c r="CS345"/>
      <c r="CT345"/>
      <c r="CU345"/>
      <c r="CV345"/>
      <c r="CW345"/>
      <c r="CX345"/>
      <c r="CY345"/>
      <c r="CZ345"/>
      <c r="DA345"/>
      <c r="DB345"/>
      <c r="DC345"/>
      <c r="DD345"/>
      <c r="DE345"/>
      <c r="DF345"/>
      <c r="DG345"/>
      <c r="DH345"/>
      <c r="DI345"/>
      <c r="DJ345"/>
      <c r="DK345"/>
      <c r="DL345"/>
      <c r="DM345"/>
      <c r="DN345"/>
      <c r="DO345"/>
      <c r="DP345"/>
      <c r="DQ345"/>
      <c r="DR345"/>
      <c r="DS345"/>
      <c r="DT345"/>
      <c r="DU345"/>
      <c r="DV345"/>
      <c r="DW345"/>
      <c r="DX345"/>
      <c r="DY345"/>
      <c r="DZ345"/>
      <c r="EA345"/>
      <c r="EB345"/>
      <c r="EC345"/>
      <c r="ED345"/>
      <c r="EE345"/>
      <c r="EF345"/>
      <c r="EG345"/>
      <c r="EH345"/>
      <c r="EI345"/>
      <c r="EJ345"/>
      <c r="EK345"/>
      <c r="EL345"/>
      <c r="EM345"/>
      <c r="EN345"/>
      <c r="EO345"/>
      <c r="EP345"/>
      <c r="EQ345"/>
      <c r="ER345"/>
      <c r="ES345"/>
      <c r="ET345"/>
      <c r="EU345"/>
      <c r="EV345"/>
      <c r="EW345"/>
      <c r="EX345"/>
      <c r="EY345"/>
      <c r="EZ345"/>
      <c r="FA345"/>
      <c r="FB345"/>
      <c r="FC345"/>
      <c r="FD345"/>
      <c r="FE345"/>
      <c r="FF345"/>
      <c r="FG345"/>
      <c r="FH345"/>
      <c r="FI345"/>
      <c r="FJ345"/>
      <c r="FK345"/>
      <c r="FL345"/>
      <c r="FM345"/>
      <c r="FN345"/>
      <c r="FO345"/>
      <c r="FP345"/>
      <c r="FQ345"/>
      <c r="FR345"/>
      <c r="FS345"/>
      <c r="FT345"/>
      <c r="FU345"/>
      <c r="FV345"/>
      <c r="FW345"/>
      <c r="FX345"/>
      <c r="FY345"/>
      <c r="FZ345"/>
      <c r="GA345"/>
      <c r="GB345"/>
      <c r="GC345"/>
      <c r="GD345"/>
      <c r="GE345"/>
      <c r="GF345"/>
      <c r="GG345"/>
      <c r="GH345"/>
      <c r="GI345"/>
      <c r="GJ345"/>
      <c r="GK345"/>
      <c r="GL345"/>
      <c r="GM345"/>
      <c r="GN345"/>
      <c r="GO345"/>
      <c r="GP345"/>
      <c r="GQ345"/>
      <c r="GR345"/>
      <c r="GS345"/>
      <c r="GT345"/>
      <c r="GU345"/>
      <c r="GV345"/>
      <c r="GW345"/>
      <c r="GX345"/>
      <c r="GY345"/>
      <c r="GZ345"/>
      <c r="HA345"/>
      <c r="HB345"/>
      <c r="HC345"/>
      <c r="HD345"/>
      <c r="HE345"/>
      <c r="HF345"/>
      <c r="HG345"/>
      <c r="HH345"/>
      <c r="HI345"/>
      <c r="HJ345"/>
      <c r="HK345"/>
      <c r="HL345"/>
      <c r="HM345"/>
      <c r="HN345"/>
      <c r="HO345"/>
      <c r="HP345"/>
      <c r="HQ345"/>
      <c r="HR345"/>
      <c r="HS345"/>
      <c r="HT345"/>
      <c r="HU345"/>
      <c r="HV345"/>
      <c r="HW345"/>
      <c r="HX345"/>
      <c r="HY345"/>
      <c r="HZ345"/>
      <c r="IA345"/>
      <c r="IB345"/>
      <c r="IC345"/>
      <c r="ID345"/>
      <c r="IE345"/>
      <c r="IF345"/>
      <c r="IG345"/>
      <c r="IH345"/>
      <c r="II345"/>
      <c r="IJ345"/>
      <c r="IK345"/>
      <c r="IL345"/>
      <c r="IM345"/>
      <c r="IN345"/>
      <c r="IO345"/>
      <c r="IP345"/>
      <c r="IQ345"/>
      <c r="IR345"/>
      <c r="IS345"/>
      <c r="IT345"/>
      <c r="IU345"/>
      <c r="IV345"/>
      <c r="IW345"/>
      <c r="IX345"/>
      <c r="IY345"/>
      <c r="IZ345"/>
      <c r="JA345"/>
      <c r="JB345"/>
      <c r="JC345"/>
      <c r="JD345"/>
      <c r="JE345"/>
      <c r="JF345"/>
      <c r="JG345"/>
      <c r="JH345"/>
      <c r="JI345"/>
      <c r="JJ345"/>
      <c r="JK345"/>
      <c r="JL345"/>
      <c r="JM345"/>
      <c r="JN345"/>
      <c r="JO345"/>
      <c r="JP345"/>
      <c r="JQ345"/>
      <c r="JR345"/>
      <c r="JS345"/>
      <c r="JT345"/>
      <c r="JU345"/>
      <c r="JV345"/>
      <c r="JW345"/>
      <c r="JX345"/>
      <c r="JY345"/>
      <c r="JZ345"/>
      <c r="KA345"/>
      <c r="KB345"/>
      <c r="KC345"/>
      <c r="KD345"/>
      <c r="KE345"/>
      <c r="KF345"/>
      <c r="KG345"/>
      <c r="KH345"/>
      <c r="KI345"/>
      <c r="KJ345"/>
      <c r="KK345"/>
      <c r="KL345"/>
      <c r="KM345"/>
      <c r="KN345"/>
      <c r="KO345"/>
      <c r="KP345"/>
      <c r="KQ345"/>
      <c r="KR345"/>
      <c r="KS345"/>
    </row>
    <row r="346" spans="2:305" hidden="1" x14ac:dyDescent="0.35">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c r="AS346"/>
      <c r="AT346"/>
      <c r="AU346"/>
      <c r="AV346"/>
      <c r="AW346"/>
      <c r="AX346"/>
      <c r="AY346"/>
      <c r="AZ346"/>
      <c r="BA346"/>
      <c r="BB346"/>
      <c r="BC346"/>
      <c r="BD346"/>
      <c r="BE346"/>
      <c r="BF346"/>
      <c r="BG346"/>
      <c r="BH346"/>
      <c r="BI346"/>
      <c r="BJ346"/>
      <c r="BK346"/>
      <c r="BL346"/>
      <c r="BM346"/>
      <c r="BN346"/>
      <c r="BO346"/>
      <c r="BP346"/>
      <c r="BQ346"/>
      <c r="BR346"/>
      <c r="BS346"/>
      <c r="BT346"/>
      <c r="BU346"/>
      <c r="BV346"/>
      <c r="BW346"/>
      <c r="BX346"/>
      <c r="BY346"/>
      <c r="BZ346"/>
      <c r="CA346"/>
      <c r="CB346"/>
      <c r="CC346"/>
      <c r="CD346"/>
      <c r="CE346"/>
      <c r="CF346"/>
      <c r="CG346"/>
      <c r="CH346"/>
      <c r="CI346"/>
      <c r="CJ346"/>
      <c r="CK346"/>
      <c r="CL346"/>
      <c r="CM346"/>
      <c r="CN346"/>
      <c r="CO346"/>
      <c r="CP346"/>
      <c r="CQ346"/>
      <c r="CR346"/>
      <c r="CS346"/>
      <c r="CT346"/>
      <c r="CU346"/>
      <c r="CV346"/>
      <c r="CW346"/>
      <c r="CX346"/>
      <c r="CY346"/>
      <c r="CZ346"/>
      <c r="DA346"/>
      <c r="DB346"/>
      <c r="DC346"/>
      <c r="DD346"/>
      <c r="DE346"/>
      <c r="DF346"/>
      <c r="DG346"/>
      <c r="DH346"/>
      <c r="DI346"/>
      <c r="DJ346"/>
      <c r="DK346"/>
      <c r="DL346"/>
      <c r="DM346"/>
      <c r="DN346"/>
      <c r="DO346"/>
      <c r="DP346"/>
      <c r="DQ346"/>
      <c r="DR346"/>
      <c r="DS346"/>
      <c r="DT346"/>
      <c r="DU346"/>
      <c r="DV346"/>
      <c r="DW346"/>
      <c r="DX346"/>
      <c r="DY346"/>
      <c r="DZ346"/>
      <c r="EA346"/>
      <c r="EB346"/>
      <c r="EC346"/>
      <c r="ED346"/>
      <c r="EE346"/>
      <c r="EF346"/>
      <c r="EG346"/>
      <c r="EH346"/>
      <c r="EI346"/>
      <c r="EJ346"/>
      <c r="EK346"/>
      <c r="EL346"/>
      <c r="EM346"/>
      <c r="EN346"/>
      <c r="EO346"/>
      <c r="EP346"/>
      <c r="EQ346"/>
      <c r="ER346"/>
      <c r="ES346"/>
      <c r="ET346"/>
      <c r="EU346"/>
      <c r="EV346"/>
      <c r="EW346"/>
      <c r="EX346"/>
      <c r="EY346"/>
      <c r="EZ346"/>
      <c r="FA346"/>
      <c r="FB346"/>
      <c r="FC346"/>
      <c r="FD346"/>
      <c r="FE346"/>
      <c r="FF346"/>
      <c r="FG346"/>
      <c r="FH346"/>
      <c r="FI346"/>
      <c r="FJ346"/>
      <c r="FK346"/>
      <c r="FL346"/>
      <c r="FM346"/>
      <c r="FN346"/>
      <c r="FO346"/>
      <c r="FP346"/>
      <c r="FQ346"/>
      <c r="FR346"/>
      <c r="FS346"/>
      <c r="FT346"/>
      <c r="FU346"/>
      <c r="FV346"/>
      <c r="FW346"/>
      <c r="FX346"/>
      <c r="FY346"/>
      <c r="FZ346"/>
      <c r="GA346"/>
      <c r="GB346"/>
      <c r="GC346"/>
      <c r="GD346"/>
      <c r="GE346"/>
      <c r="GF346"/>
      <c r="GG346"/>
      <c r="GH346"/>
      <c r="GI346"/>
      <c r="GJ346"/>
      <c r="GK346"/>
      <c r="GL346"/>
      <c r="GM346"/>
      <c r="GN346"/>
      <c r="GO346"/>
      <c r="GP346"/>
      <c r="GQ346"/>
      <c r="GR346"/>
      <c r="GS346"/>
      <c r="GT346"/>
      <c r="GU346"/>
      <c r="GV346"/>
      <c r="GW346"/>
      <c r="GX346"/>
      <c r="GY346"/>
      <c r="GZ346"/>
      <c r="HA346"/>
      <c r="HB346"/>
      <c r="HC346"/>
      <c r="HD346"/>
      <c r="HE346"/>
      <c r="HF346"/>
      <c r="HG346"/>
      <c r="HH346"/>
      <c r="HI346"/>
      <c r="HJ346"/>
      <c r="HK346"/>
      <c r="HL346"/>
      <c r="HM346"/>
      <c r="HN346"/>
      <c r="HO346"/>
      <c r="HP346"/>
      <c r="HQ346"/>
      <c r="HR346"/>
      <c r="HS346"/>
      <c r="HT346"/>
      <c r="HU346"/>
      <c r="HV346"/>
      <c r="HW346"/>
      <c r="HX346"/>
      <c r="HY346"/>
      <c r="HZ346"/>
      <c r="IA346"/>
      <c r="IB346"/>
      <c r="IC346"/>
      <c r="ID346"/>
      <c r="IE346"/>
      <c r="IF346"/>
      <c r="IG346"/>
      <c r="IH346"/>
      <c r="II346"/>
      <c r="IJ346"/>
      <c r="IK346"/>
      <c r="IL346"/>
      <c r="IM346"/>
      <c r="IN346"/>
      <c r="IO346"/>
      <c r="IP346"/>
      <c r="IQ346"/>
      <c r="IR346"/>
      <c r="IS346"/>
      <c r="IT346"/>
      <c r="IU346"/>
      <c r="IV346"/>
      <c r="IW346"/>
      <c r="IX346"/>
      <c r="IY346"/>
      <c r="IZ346"/>
      <c r="JA346"/>
      <c r="JB346"/>
      <c r="JC346"/>
      <c r="JD346"/>
      <c r="JE346"/>
      <c r="JF346"/>
      <c r="JG346"/>
      <c r="JH346"/>
      <c r="JI346"/>
      <c r="JJ346"/>
      <c r="JK346"/>
      <c r="JL346"/>
      <c r="JM346"/>
      <c r="JN346"/>
      <c r="JO346"/>
      <c r="JP346"/>
      <c r="JQ346"/>
      <c r="JR346"/>
      <c r="JS346"/>
      <c r="JT346"/>
      <c r="JU346"/>
      <c r="JV346"/>
      <c r="JW346"/>
      <c r="JX346"/>
      <c r="JY346"/>
      <c r="JZ346"/>
      <c r="KA346"/>
      <c r="KB346"/>
      <c r="KC346"/>
      <c r="KD346"/>
      <c r="KE346"/>
      <c r="KF346"/>
      <c r="KG346"/>
      <c r="KH346"/>
      <c r="KI346"/>
      <c r="KJ346"/>
      <c r="KK346"/>
      <c r="KL346"/>
      <c r="KM346"/>
      <c r="KN346"/>
      <c r="KO346"/>
      <c r="KP346"/>
      <c r="KQ346"/>
      <c r="KR346"/>
      <c r="KS346"/>
    </row>
    <row r="347" spans="2:305" hidden="1" x14ac:dyDescent="0.35">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c r="AS347"/>
      <c r="AT347"/>
      <c r="AU347"/>
      <c r="AV347"/>
      <c r="AW347"/>
      <c r="AX347"/>
      <c r="AY347"/>
      <c r="AZ347"/>
      <c r="BA347"/>
      <c r="BB347"/>
      <c r="BC347"/>
      <c r="BD347"/>
      <c r="BE347"/>
      <c r="BF347"/>
      <c r="BG347"/>
      <c r="BH347"/>
      <c r="BI347"/>
      <c r="BJ347"/>
      <c r="BK347"/>
      <c r="BL347"/>
      <c r="BM347"/>
      <c r="BN347"/>
      <c r="BO347"/>
      <c r="BP347"/>
      <c r="BQ347"/>
      <c r="BR347"/>
      <c r="BS347"/>
      <c r="BT347"/>
      <c r="BU347"/>
      <c r="BV347"/>
      <c r="BW347"/>
      <c r="BX347"/>
      <c r="BY347"/>
      <c r="BZ347"/>
      <c r="CA347"/>
      <c r="CB347"/>
      <c r="CC347"/>
      <c r="CD347"/>
      <c r="CE347"/>
      <c r="CF347"/>
      <c r="CG347"/>
      <c r="CH347"/>
      <c r="CI347"/>
      <c r="CJ347"/>
      <c r="CK347"/>
      <c r="CL347"/>
      <c r="CM347"/>
      <c r="CN347"/>
      <c r="CO347"/>
      <c r="CP347"/>
      <c r="CQ347"/>
      <c r="CR347"/>
      <c r="CS347"/>
      <c r="CT347"/>
      <c r="CU347"/>
      <c r="CV347"/>
      <c r="CW347"/>
      <c r="CX347"/>
      <c r="CY347"/>
      <c r="CZ347"/>
      <c r="DA347"/>
      <c r="DB347"/>
      <c r="DC347"/>
      <c r="DD347"/>
      <c r="DE347"/>
      <c r="DF347"/>
      <c r="DG347"/>
      <c r="DH347"/>
      <c r="DI347"/>
      <c r="DJ347"/>
      <c r="DK347"/>
      <c r="DL347"/>
      <c r="DM347"/>
      <c r="DN347"/>
      <c r="DO347"/>
      <c r="DP347"/>
      <c r="DQ347"/>
      <c r="DR347"/>
      <c r="DS347"/>
      <c r="DT347"/>
      <c r="DU347"/>
      <c r="DV347"/>
      <c r="DW347"/>
      <c r="DX347"/>
      <c r="DY347"/>
      <c r="DZ347"/>
      <c r="EA347"/>
      <c r="EB347"/>
      <c r="EC347"/>
      <c r="ED347"/>
      <c r="EE347"/>
      <c r="EF347"/>
      <c r="EG347"/>
      <c r="EH347"/>
      <c r="EI347"/>
      <c r="EJ347"/>
      <c r="EK347"/>
      <c r="EL347"/>
      <c r="EM347"/>
      <c r="EN347"/>
      <c r="EO347"/>
      <c r="EP347"/>
      <c r="EQ347"/>
      <c r="ER347"/>
      <c r="ES347"/>
      <c r="ET347"/>
      <c r="EU347"/>
      <c r="EV347"/>
      <c r="EW347"/>
      <c r="EX347"/>
      <c r="EY347"/>
      <c r="EZ347"/>
      <c r="FA347"/>
      <c r="FB347"/>
      <c r="FC347"/>
      <c r="FD347"/>
      <c r="FE347"/>
      <c r="FF347"/>
      <c r="FG347"/>
      <c r="FH347"/>
      <c r="FI347"/>
      <c r="FJ347"/>
      <c r="FK347"/>
      <c r="FL347"/>
      <c r="FM347"/>
      <c r="FN347"/>
      <c r="FO347"/>
      <c r="FP347"/>
      <c r="FQ347"/>
      <c r="FR347"/>
      <c r="FS347"/>
      <c r="FT347"/>
      <c r="FU347"/>
      <c r="FV347"/>
      <c r="FW347"/>
      <c r="FX347"/>
      <c r="FY347"/>
      <c r="FZ347"/>
      <c r="GA347"/>
      <c r="GB347"/>
      <c r="GC347"/>
      <c r="GD347"/>
      <c r="GE347"/>
      <c r="GF347"/>
      <c r="GG347"/>
      <c r="GH347"/>
      <c r="GI347"/>
      <c r="GJ347"/>
      <c r="GK347"/>
      <c r="GL347"/>
      <c r="GM347"/>
      <c r="GN347"/>
      <c r="GO347"/>
      <c r="GP347"/>
      <c r="GQ347"/>
      <c r="GR347"/>
      <c r="GS347"/>
      <c r="GT347"/>
      <c r="GU347"/>
      <c r="GV347"/>
      <c r="GW347"/>
      <c r="GX347"/>
      <c r="GY347"/>
      <c r="GZ347"/>
      <c r="HA347"/>
      <c r="HB347"/>
      <c r="HC347"/>
      <c r="HD347"/>
      <c r="HE347"/>
      <c r="HF347"/>
      <c r="HG347"/>
      <c r="HH347"/>
      <c r="HI347"/>
      <c r="HJ347"/>
      <c r="HK347"/>
      <c r="HL347"/>
      <c r="HM347"/>
      <c r="HN347"/>
      <c r="HO347"/>
      <c r="HP347"/>
      <c r="HQ347"/>
      <c r="HR347"/>
      <c r="HS347"/>
      <c r="HT347"/>
      <c r="HU347"/>
      <c r="HV347"/>
      <c r="HW347"/>
      <c r="HX347"/>
      <c r="HY347"/>
      <c r="HZ347"/>
      <c r="IA347"/>
      <c r="IB347"/>
      <c r="IC347"/>
      <c r="ID347"/>
      <c r="IE347"/>
      <c r="IF347"/>
      <c r="IG347"/>
      <c r="IH347"/>
      <c r="II347"/>
      <c r="IJ347"/>
      <c r="IK347"/>
      <c r="IL347"/>
      <c r="IM347"/>
      <c r="IN347"/>
      <c r="IO347"/>
      <c r="IP347"/>
      <c r="IQ347"/>
      <c r="IR347"/>
      <c r="IS347"/>
      <c r="IT347"/>
      <c r="IU347"/>
      <c r="IV347"/>
      <c r="IW347"/>
      <c r="IX347"/>
      <c r="IY347"/>
      <c r="IZ347"/>
      <c r="JA347"/>
      <c r="JB347"/>
      <c r="JC347"/>
      <c r="JD347"/>
      <c r="JE347"/>
      <c r="JF347"/>
      <c r="JG347"/>
      <c r="JH347"/>
      <c r="JI347"/>
      <c r="JJ347"/>
      <c r="JK347"/>
      <c r="JL347"/>
      <c r="JM347"/>
      <c r="JN347"/>
      <c r="JO347"/>
      <c r="JP347"/>
      <c r="JQ347"/>
      <c r="JR347"/>
      <c r="JS347"/>
      <c r="JT347"/>
      <c r="JU347"/>
      <c r="JV347"/>
      <c r="JW347"/>
      <c r="JX347"/>
      <c r="JY347"/>
      <c r="JZ347"/>
      <c r="KA347"/>
      <c r="KB347"/>
      <c r="KC347"/>
      <c r="KD347"/>
      <c r="KE347"/>
      <c r="KF347"/>
      <c r="KG347"/>
      <c r="KH347"/>
      <c r="KI347"/>
      <c r="KJ347"/>
      <c r="KK347"/>
      <c r="KL347"/>
      <c r="KM347"/>
      <c r="KN347"/>
      <c r="KO347"/>
      <c r="KP347"/>
      <c r="KQ347"/>
      <c r="KR347"/>
      <c r="KS347"/>
    </row>
    <row r="348" spans="2:305" hidden="1" x14ac:dyDescent="0.35">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c r="AS348"/>
      <c r="AT348"/>
      <c r="AU348"/>
      <c r="AV348"/>
      <c r="AW348"/>
      <c r="AX348"/>
      <c r="AY348"/>
      <c r="AZ348"/>
      <c r="BA348"/>
      <c r="BB348"/>
      <c r="BC348"/>
      <c r="BD348"/>
      <c r="BE348"/>
      <c r="BF348"/>
      <c r="BG348"/>
      <c r="BH348"/>
      <c r="BI348"/>
      <c r="BJ348"/>
      <c r="BK348"/>
      <c r="BL348"/>
      <c r="BM348"/>
      <c r="BN348"/>
      <c r="BO348"/>
      <c r="BP348"/>
      <c r="BQ348"/>
      <c r="BR348"/>
      <c r="BS348"/>
      <c r="BT348"/>
      <c r="BU348"/>
      <c r="BV348"/>
      <c r="BW348"/>
      <c r="BX348"/>
      <c r="BY348"/>
      <c r="BZ348"/>
      <c r="CA348"/>
      <c r="CB348"/>
      <c r="CC348"/>
      <c r="CD348"/>
      <c r="CE348"/>
      <c r="CF348"/>
      <c r="CG348"/>
      <c r="CH348"/>
      <c r="CI348"/>
      <c r="CJ348"/>
      <c r="CK348"/>
      <c r="CL348"/>
      <c r="CM348"/>
      <c r="CN348"/>
      <c r="CO348"/>
      <c r="CP348"/>
      <c r="CQ348"/>
      <c r="CR348"/>
      <c r="CS348"/>
      <c r="CT348"/>
      <c r="CU348"/>
      <c r="CV348"/>
      <c r="CW348"/>
      <c r="CX348"/>
      <c r="CY348"/>
      <c r="CZ348"/>
      <c r="DA348"/>
      <c r="DB348"/>
      <c r="DC348"/>
      <c r="DD348"/>
      <c r="DE348"/>
      <c r="DF348"/>
      <c r="DG348"/>
      <c r="DH348"/>
      <c r="DI348"/>
      <c r="DJ348"/>
      <c r="DK348"/>
      <c r="DL348"/>
      <c r="DM348"/>
      <c r="DN348"/>
      <c r="DO348"/>
      <c r="DP348"/>
      <c r="DQ348"/>
      <c r="DR348"/>
      <c r="DS348"/>
      <c r="DT348"/>
      <c r="DU348"/>
      <c r="DV348"/>
      <c r="DW348"/>
      <c r="DX348"/>
      <c r="DY348"/>
      <c r="DZ348"/>
      <c r="EA348"/>
      <c r="EB348"/>
      <c r="EC348"/>
      <c r="ED348"/>
      <c r="EE348"/>
      <c r="EF348"/>
      <c r="EG348"/>
      <c r="EH348"/>
      <c r="EI348"/>
      <c r="EJ348"/>
      <c r="EK348"/>
      <c r="EL348"/>
      <c r="EM348"/>
      <c r="EN348"/>
      <c r="EO348"/>
      <c r="EP348"/>
      <c r="EQ348"/>
      <c r="ER348"/>
      <c r="ES348"/>
      <c r="ET348"/>
      <c r="EU348"/>
      <c r="EV348"/>
      <c r="EW348"/>
      <c r="EX348"/>
      <c r="EY348"/>
      <c r="EZ348"/>
      <c r="FA348"/>
      <c r="FB348"/>
      <c r="FC348"/>
      <c r="FD348"/>
      <c r="FE348"/>
      <c r="FF348"/>
      <c r="FG348"/>
      <c r="FH348"/>
      <c r="FI348"/>
      <c r="FJ348"/>
      <c r="FK348"/>
      <c r="FL348"/>
      <c r="FM348"/>
      <c r="FN348"/>
      <c r="FO348"/>
      <c r="FP348"/>
      <c r="FQ348"/>
      <c r="FR348"/>
      <c r="FS348"/>
      <c r="FT348"/>
      <c r="FU348"/>
      <c r="FV348"/>
      <c r="FW348"/>
      <c r="FX348"/>
      <c r="FY348"/>
      <c r="FZ348"/>
      <c r="GA348"/>
      <c r="GB348"/>
      <c r="GC348"/>
      <c r="GD348"/>
      <c r="GE348"/>
      <c r="GF348"/>
      <c r="GG348"/>
      <c r="GH348"/>
      <c r="GI348"/>
      <c r="GJ348"/>
      <c r="GK348"/>
      <c r="GL348"/>
      <c r="GM348"/>
      <c r="GN348"/>
      <c r="GO348"/>
      <c r="GP348"/>
      <c r="GQ348"/>
      <c r="GR348"/>
      <c r="GS348"/>
      <c r="GT348"/>
      <c r="GU348"/>
      <c r="GV348"/>
      <c r="GW348"/>
      <c r="GX348"/>
      <c r="GY348"/>
      <c r="GZ348"/>
      <c r="HA348"/>
      <c r="HB348"/>
      <c r="HC348"/>
      <c r="HD348"/>
      <c r="HE348"/>
      <c r="HF348"/>
      <c r="HG348"/>
      <c r="HH348"/>
      <c r="HI348"/>
      <c r="HJ348"/>
      <c r="HK348"/>
      <c r="HL348"/>
      <c r="HM348"/>
      <c r="HN348"/>
      <c r="HO348"/>
      <c r="HP348"/>
      <c r="HQ348"/>
      <c r="HR348"/>
      <c r="HS348"/>
      <c r="HT348"/>
      <c r="HU348"/>
      <c r="HV348"/>
      <c r="HW348"/>
      <c r="HX348"/>
      <c r="HY348"/>
      <c r="HZ348"/>
      <c r="IA348"/>
      <c r="IB348"/>
      <c r="IC348"/>
      <c r="ID348"/>
      <c r="IE348"/>
      <c r="IF348"/>
      <c r="IG348"/>
      <c r="IH348"/>
      <c r="II348"/>
      <c r="IJ348"/>
      <c r="IK348"/>
      <c r="IL348"/>
      <c r="IM348"/>
      <c r="IN348"/>
      <c r="IO348"/>
      <c r="IP348"/>
      <c r="IQ348"/>
      <c r="IR348"/>
      <c r="IS348"/>
      <c r="IT348"/>
      <c r="IU348"/>
      <c r="IV348"/>
      <c r="IW348"/>
      <c r="IX348"/>
      <c r="IY348"/>
      <c r="IZ348"/>
      <c r="JA348"/>
      <c r="JB348"/>
      <c r="JC348"/>
      <c r="JD348"/>
      <c r="JE348"/>
      <c r="JF348"/>
      <c r="JG348"/>
      <c r="JH348"/>
      <c r="JI348"/>
      <c r="JJ348"/>
      <c r="JK348"/>
      <c r="JL348"/>
      <c r="JM348"/>
      <c r="JN348"/>
      <c r="JO348"/>
      <c r="JP348"/>
      <c r="JQ348"/>
      <c r="JR348"/>
      <c r="JS348"/>
      <c r="JT348"/>
      <c r="JU348"/>
      <c r="JV348"/>
      <c r="JW348"/>
      <c r="JX348"/>
      <c r="JY348"/>
      <c r="JZ348"/>
      <c r="KA348"/>
      <c r="KB348"/>
      <c r="KC348"/>
      <c r="KD348"/>
      <c r="KE348"/>
      <c r="KF348"/>
      <c r="KG348"/>
      <c r="KH348"/>
      <c r="KI348"/>
      <c r="KJ348"/>
      <c r="KK348"/>
      <c r="KL348"/>
      <c r="KM348"/>
      <c r="KN348"/>
      <c r="KO348"/>
      <c r="KP348"/>
      <c r="KQ348"/>
      <c r="KR348"/>
      <c r="KS348"/>
    </row>
    <row r="349" spans="2:305" hidden="1" x14ac:dyDescent="0.35">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c r="AS349"/>
      <c r="AT349"/>
      <c r="AU349"/>
      <c r="AV349"/>
      <c r="AW349"/>
      <c r="AX349"/>
      <c r="AY349"/>
      <c r="AZ349"/>
      <c r="BA349"/>
      <c r="BB349"/>
      <c r="BC349"/>
      <c r="BD349"/>
      <c r="BE349"/>
      <c r="BF349"/>
      <c r="BG349"/>
      <c r="BH349"/>
      <c r="BI349"/>
      <c r="BJ349"/>
      <c r="BK349"/>
      <c r="BL349"/>
      <c r="BM349"/>
      <c r="BN349"/>
      <c r="BO349"/>
      <c r="BP349"/>
      <c r="BQ349"/>
      <c r="BR349"/>
      <c r="BS349"/>
      <c r="BT349"/>
      <c r="BU349"/>
      <c r="BV349"/>
      <c r="BW349"/>
      <c r="BX349"/>
      <c r="BY349"/>
      <c r="BZ349"/>
      <c r="CA349"/>
      <c r="CB349"/>
      <c r="CC349"/>
      <c r="CD349"/>
      <c r="CE349"/>
      <c r="CF349"/>
      <c r="CG349"/>
      <c r="CH349"/>
      <c r="CI349"/>
      <c r="CJ349"/>
      <c r="CK349"/>
      <c r="CL349"/>
      <c r="CM349"/>
      <c r="CN349"/>
      <c r="CO349"/>
      <c r="CP349"/>
      <c r="CQ349"/>
      <c r="CR349"/>
      <c r="CS349"/>
      <c r="CT349"/>
      <c r="CU349"/>
      <c r="CV349"/>
      <c r="CW349"/>
      <c r="CX349"/>
      <c r="CY349"/>
      <c r="CZ349"/>
      <c r="DA349"/>
      <c r="DB349"/>
      <c r="DC349"/>
      <c r="DD349"/>
      <c r="DE349"/>
      <c r="DF349"/>
      <c r="DG349"/>
      <c r="DH349"/>
      <c r="DI349"/>
      <c r="DJ349"/>
      <c r="DK349"/>
      <c r="DL349"/>
      <c r="DM349"/>
      <c r="DN349"/>
      <c r="DO349"/>
      <c r="DP349"/>
      <c r="DQ349"/>
      <c r="DR349"/>
      <c r="DS349"/>
      <c r="DT349"/>
      <c r="DU349"/>
      <c r="DV349"/>
      <c r="DW349"/>
      <c r="DX349"/>
      <c r="DY349"/>
      <c r="DZ349"/>
      <c r="EA349"/>
      <c r="EB349"/>
      <c r="EC349"/>
      <c r="ED349"/>
      <c r="EE349"/>
      <c r="EF349"/>
      <c r="EG349"/>
      <c r="EH349"/>
      <c r="EI349"/>
      <c r="EJ349"/>
      <c r="EK349"/>
      <c r="EL349"/>
      <c r="EM349"/>
      <c r="EN349"/>
      <c r="EO349"/>
      <c r="EP349"/>
      <c r="EQ349"/>
      <c r="ER349"/>
      <c r="ES349"/>
      <c r="ET349"/>
      <c r="EU349"/>
      <c r="EV349"/>
      <c r="EW349"/>
      <c r="EX349"/>
      <c r="EY349"/>
      <c r="EZ349"/>
      <c r="FA349"/>
      <c r="FB349"/>
      <c r="FC349"/>
      <c r="FD349"/>
      <c r="FE349"/>
      <c r="FF349"/>
      <c r="FG349"/>
      <c r="FH349"/>
      <c r="FI349"/>
      <c r="FJ349"/>
      <c r="FK349"/>
      <c r="FL349"/>
      <c r="FM349"/>
      <c r="FN349"/>
      <c r="FO349"/>
      <c r="FP349"/>
      <c r="FQ349"/>
      <c r="FR349"/>
      <c r="FS349"/>
      <c r="FT349"/>
      <c r="FU349"/>
      <c r="FV349"/>
      <c r="FW349"/>
      <c r="FX349"/>
      <c r="FY349"/>
      <c r="FZ349"/>
      <c r="GA349"/>
      <c r="GB349"/>
      <c r="GC349"/>
      <c r="GD349"/>
      <c r="GE349"/>
      <c r="GF349"/>
      <c r="GG349"/>
      <c r="GH349"/>
      <c r="GI349"/>
      <c r="GJ349"/>
      <c r="GK349"/>
      <c r="GL349"/>
      <c r="GM349"/>
      <c r="GN349"/>
      <c r="GO349"/>
      <c r="GP349"/>
      <c r="GQ349"/>
      <c r="GR349"/>
      <c r="GS349"/>
      <c r="GT349"/>
      <c r="GU349"/>
      <c r="GV349"/>
      <c r="GW349"/>
      <c r="GX349"/>
      <c r="GY349"/>
      <c r="GZ349"/>
      <c r="HA349"/>
      <c r="HB349"/>
      <c r="HC349"/>
      <c r="HD349"/>
      <c r="HE349"/>
      <c r="HF349"/>
      <c r="HG349"/>
      <c r="HH349"/>
      <c r="HI349"/>
      <c r="HJ349"/>
      <c r="HK349"/>
      <c r="HL349"/>
      <c r="HM349"/>
      <c r="HN349"/>
      <c r="HO349"/>
      <c r="HP349"/>
      <c r="HQ349"/>
      <c r="HR349"/>
      <c r="HS349"/>
      <c r="HT349"/>
      <c r="HU349"/>
      <c r="HV349"/>
      <c r="HW349"/>
      <c r="HX349"/>
      <c r="HY349"/>
      <c r="HZ349"/>
      <c r="IA349"/>
      <c r="IB349"/>
      <c r="IC349"/>
      <c r="ID349"/>
      <c r="IE349"/>
      <c r="IF349"/>
      <c r="IG349"/>
      <c r="IH349"/>
      <c r="II349"/>
      <c r="IJ349"/>
      <c r="IK349"/>
      <c r="IL349"/>
      <c r="IM349"/>
      <c r="IN349"/>
      <c r="IO349"/>
      <c r="IP349"/>
      <c r="IQ349"/>
      <c r="IR349"/>
      <c r="IS349"/>
      <c r="IT349"/>
      <c r="IU349"/>
      <c r="IV349"/>
      <c r="IW349"/>
      <c r="IX349"/>
      <c r="IY349"/>
      <c r="IZ349"/>
      <c r="JA349"/>
      <c r="JB349"/>
      <c r="JC349"/>
      <c r="JD349"/>
      <c r="JE349"/>
      <c r="JF349"/>
      <c r="JG349"/>
      <c r="JH349"/>
      <c r="JI349"/>
      <c r="JJ349"/>
      <c r="JK349"/>
      <c r="JL349"/>
      <c r="JM349"/>
      <c r="JN349"/>
      <c r="JO349"/>
      <c r="JP349"/>
      <c r="JQ349"/>
      <c r="JR349"/>
      <c r="JS349"/>
      <c r="JT349"/>
      <c r="JU349"/>
      <c r="JV349"/>
      <c r="JW349"/>
      <c r="JX349"/>
      <c r="JY349"/>
      <c r="JZ349"/>
      <c r="KA349"/>
      <c r="KB349"/>
      <c r="KC349"/>
      <c r="KD349"/>
      <c r="KE349"/>
      <c r="KF349"/>
      <c r="KG349"/>
      <c r="KH349"/>
      <c r="KI349"/>
      <c r="KJ349"/>
      <c r="KK349"/>
      <c r="KL349"/>
      <c r="KM349"/>
      <c r="KN349"/>
      <c r="KO349"/>
      <c r="KP349"/>
      <c r="KQ349"/>
      <c r="KR349"/>
      <c r="KS349"/>
    </row>
    <row r="350" spans="2:305" hidden="1" x14ac:dyDescent="0.35">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c r="AS350"/>
      <c r="AT350"/>
      <c r="AU350"/>
      <c r="AV350"/>
      <c r="AW350"/>
      <c r="AX350"/>
      <c r="AY350"/>
      <c r="AZ350"/>
      <c r="BA350"/>
      <c r="BB350"/>
      <c r="BC350"/>
      <c r="BD350"/>
      <c r="BE350"/>
      <c r="BF350"/>
      <c r="BG350"/>
      <c r="BH350"/>
      <c r="BI350"/>
      <c r="BJ350"/>
      <c r="BK350"/>
      <c r="BL350"/>
      <c r="BM350"/>
      <c r="BN350"/>
      <c r="BO350"/>
      <c r="BP350"/>
      <c r="BQ350"/>
      <c r="BR350"/>
      <c r="BS350"/>
      <c r="BT350"/>
      <c r="BU350"/>
      <c r="BV350"/>
      <c r="BW350"/>
      <c r="BX350"/>
      <c r="BY350"/>
      <c r="BZ350"/>
      <c r="CA350"/>
      <c r="CB350"/>
      <c r="CC350"/>
      <c r="CD350"/>
      <c r="CE350"/>
      <c r="CF350"/>
      <c r="CG350"/>
      <c r="CH350"/>
      <c r="CI350"/>
      <c r="CJ350"/>
      <c r="CK350"/>
      <c r="CL350"/>
      <c r="CM350"/>
      <c r="CN350"/>
      <c r="CO350"/>
      <c r="CP350"/>
      <c r="CQ350"/>
      <c r="CR350"/>
      <c r="CS350"/>
      <c r="CT350"/>
      <c r="CU350"/>
      <c r="CV350"/>
      <c r="CW350"/>
      <c r="CX350"/>
      <c r="CY350"/>
      <c r="CZ350"/>
      <c r="DA350"/>
      <c r="DB350"/>
      <c r="DC350"/>
      <c r="DD350"/>
      <c r="DE350"/>
      <c r="DF350"/>
      <c r="DG350"/>
      <c r="DH350"/>
      <c r="DI350"/>
      <c r="DJ350"/>
      <c r="DK350"/>
      <c r="DL350"/>
      <c r="DM350"/>
      <c r="DN350"/>
      <c r="DO350"/>
      <c r="DP350"/>
      <c r="DQ350"/>
      <c r="DR350"/>
      <c r="DS350"/>
      <c r="DT350"/>
      <c r="DU350"/>
      <c r="DV350"/>
      <c r="DW350"/>
      <c r="DX350"/>
      <c r="DY350"/>
      <c r="DZ350"/>
      <c r="EA350"/>
      <c r="EB350"/>
      <c r="EC350"/>
      <c r="ED350"/>
      <c r="EE350"/>
      <c r="EF350"/>
      <c r="EG350"/>
      <c r="EH350"/>
      <c r="EI350"/>
      <c r="EJ350"/>
      <c r="EK350"/>
      <c r="EL350"/>
      <c r="EM350"/>
      <c r="EN350"/>
      <c r="EO350"/>
      <c r="EP350"/>
      <c r="EQ350"/>
      <c r="ER350"/>
      <c r="ES350"/>
      <c r="ET350"/>
      <c r="EU350"/>
      <c r="EV350"/>
      <c r="EW350"/>
      <c r="EX350"/>
      <c r="EY350"/>
      <c r="EZ350"/>
      <c r="FA350"/>
      <c r="FB350"/>
      <c r="FC350"/>
      <c r="FD350"/>
      <c r="FE350"/>
      <c r="FF350"/>
      <c r="FG350"/>
      <c r="FH350"/>
      <c r="FI350"/>
      <c r="FJ350"/>
      <c r="FK350"/>
      <c r="FL350"/>
      <c r="FM350"/>
      <c r="FN350"/>
      <c r="FO350"/>
      <c r="FP350"/>
      <c r="FQ350"/>
      <c r="FR350"/>
      <c r="FS350"/>
      <c r="FT350"/>
      <c r="FU350"/>
      <c r="FV350"/>
      <c r="FW350"/>
      <c r="FX350"/>
      <c r="FY350"/>
      <c r="FZ350"/>
      <c r="GA350"/>
      <c r="GB350"/>
      <c r="GC350"/>
      <c r="GD350"/>
      <c r="GE350"/>
      <c r="GF350"/>
      <c r="GG350"/>
      <c r="GH350"/>
      <c r="GI350"/>
      <c r="GJ350"/>
      <c r="GK350"/>
      <c r="GL350"/>
      <c r="GM350"/>
      <c r="GN350"/>
      <c r="GO350"/>
      <c r="GP350"/>
      <c r="GQ350"/>
      <c r="GR350"/>
      <c r="GS350"/>
      <c r="GT350"/>
      <c r="GU350"/>
      <c r="GV350"/>
      <c r="GW350"/>
      <c r="GX350"/>
      <c r="GY350"/>
      <c r="GZ350"/>
      <c r="HA350"/>
      <c r="HB350"/>
      <c r="HC350"/>
      <c r="HD350"/>
      <c r="HE350"/>
      <c r="HF350"/>
      <c r="HG350"/>
      <c r="HH350"/>
      <c r="HI350"/>
      <c r="HJ350"/>
      <c r="HK350"/>
      <c r="HL350"/>
      <c r="HM350"/>
      <c r="HN350"/>
      <c r="HO350"/>
      <c r="HP350"/>
      <c r="HQ350"/>
      <c r="HR350"/>
      <c r="HS350"/>
      <c r="HT350"/>
      <c r="HU350"/>
      <c r="HV350"/>
      <c r="HW350"/>
      <c r="HX350"/>
      <c r="HY350"/>
      <c r="HZ350"/>
      <c r="IA350"/>
      <c r="IB350"/>
      <c r="IC350"/>
      <c r="ID350"/>
      <c r="IE350"/>
      <c r="IF350"/>
      <c r="IG350"/>
      <c r="IH350"/>
      <c r="II350"/>
      <c r="IJ350"/>
      <c r="IK350"/>
      <c r="IL350"/>
      <c r="IM350"/>
      <c r="IN350"/>
      <c r="IO350"/>
      <c r="IP350"/>
      <c r="IQ350"/>
      <c r="IR350"/>
      <c r="IS350"/>
      <c r="IT350"/>
      <c r="IU350"/>
      <c r="IV350"/>
      <c r="IW350"/>
      <c r="IX350"/>
      <c r="IY350"/>
      <c r="IZ350"/>
      <c r="JA350"/>
      <c r="JB350"/>
      <c r="JC350"/>
      <c r="JD350"/>
      <c r="JE350"/>
      <c r="JF350"/>
      <c r="JG350"/>
      <c r="JH350"/>
      <c r="JI350"/>
      <c r="JJ350"/>
      <c r="JK350"/>
      <c r="JL350"/>
      <c r="JM350"/>
      <c r="JN350"/>
      <c r="JO350"/>
      <c r="JP350"/>
      <c r="JQ350"/>
      <c r="JR350"/>
      <c r="JS350"/>
      <c r="JT350"/>
      <c r="JU350"/>
      <c r="JV350"/>
      <c r="JW350"/>
      <c r="JX350"/>
      <c r="JY350"/>
      <c r="JZ350"/>
      <c r="KA350"/>
      <c r="KB350"/>
      <c r="KC350"/>
      <c r="KD350"/>
      <c r="KE350"/>
      <c r="KF350"/>
      <c r="KG350"/>
      <c r="KH350"/>
      <c r="KI350"/>
      <c r="KJ350"/>
      <c r="KK350"/>
      <c r="KL350"/>
      <c r="KM350"/>
      <c r="KN350"/>
      <c r="KO350"/>
      <c r="KP350"/>
      <c r="KQ350"/>
      <c r="KR350"/>
      <c r="KS350"/>
    </row>
    <row r="351" spans="2:305" hidden="1" x14ac:dyDescent="0.35">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c r="AS351"/>
      <c r="AT351"/>
      <c r="AU351"/>
      <c r="AV351"/>
      <c r="AW351"/>
      <c r="AX351"/>
      <c r="AY351"/>
      <c r="AZ351"/>
      <c r="BA351"/>
      <c r="BB351"/>
      <c r="BC351"/>
      <c r="BD351"/>
      <c r="BE351"/>
      <c r="BF351"/>
      <c r="BG351"/>
      <c r="BH351"/>
      <c r="BI351"/>
      <c r="BJ351"/>
      <c r="BK351"/>
      <c r="BL351"/>
      <c r="BM351"/>
      <c r="BN351"/>
      <c r="BO351"/>
      <c r="BP351"/>
      <c r="BQ351"/>
      <c r="BR351"/>
      <c r="BS351"/>
      <c r="BT351"/>
      <c r="BU351"/>
      <c r="BV351"/>
      <c r="BW351"/>
      <c r="BX351"/>
      <c r="BY351"/>
      <c r="BZ351"/>
      <c r="CA351"/>
      <c r="CB351"/>
      <c r="CC351"/>
      <c r="CD351"/>
      <c r="CE351"/>
      <c r="CF351"/>
      <c r="CG351"/>
      <c r="CH351"/>
      <c r="CI351"/>
      <c r="CJ351"/>
      <c r="CK351"/>
      <c r="CL351"/>
      <c r="CM351"/>
      <c r="CN351"/>
      <c r="CO351"/>
      <c r="CP351"/>
      <c r="CQ351"/>
      <c r="CR351"/>
      <c r="CS351"/>
      <c r="CT351"/>
      <c r="CU351"/>
      <c r="CV351"/>
      <c r="CW351"/>
      <c r="CX351"/>
      <c r="CY351"/>
      <c r="CZ351"/>
      <c r="DA351"/>
      <c r="DB351"/>
      <c r="DC351"/>
      <c r="DD351"/>
      <c r="DE351"/>
      <c r="DF351"/>
      <c r="DG351"/>
      <c r="DH351"/>
      <c r="DI351"/>
      <c r="DJ351"/>
      <c r="DK351"/>
      <c r="DL351"/>
      <c r="DM351"/>
      <c r="DN351"/>
      <c r="DO351"/>
      <c r="DP351"/>
      <c r="DQ351"/>
      <c r="DR351"/>
      <c r="DS351"/>
      <c r="DT351"/>
      <c r="DU351"/>
      <c r="DV351"/>
      <c r="DW351"/>
      <c r="DX351"/>
      <c r="DY351"/>
      <c r="DZ351"/>
      <c r="EA351"/>
      <c r="EB351"/>
      <c r="EC351"/>
      <c r="ED351"/>
      <c r="EE351"/>
      <c r="EF351"/>
      <c r="EG351"/>
      <c r="EH351"/>
      <c r="EI351"/>
      <c r="EJ351"/>
      <c r="EK351"/>
      <c r="EL351"/>
      <c r="EM351"/>
      <c r="EN351"/>
      <c r="EO351"/>
      <c r="EP351"/>
      <c r="EQ351"/>
      <c r="ER351"/>
      <c r="ES351"/>
      <c r="ET351"/>
      <c r="EU351"/>
      <c r="EV351"/>
      <c r="EW351"/>
      <c r="EX351"/>
      <c r="EY351"/>
      <c r="EZ351"/>
      <c r="FA351"/>
      <c r="FB351"/>
      <c r="FC351"/>
      <c r="FD351"/>
      <c r="FE351"/>
      <c r="FF351"/>
      <c r="FG351"/>
      <c r="FH351"/>
      <c r="FI351"/>
      <c r="FJ351"/>
      <c r="FK351"/>
      <c r="FL351"/>
      <c r="FM351"/>
      <c r="FN351"/>
      <c r="FO351"/>
      <c r="FP351"/>
      <c r="FQ351"/>
      <c r="FR351"/>
      <c r="FS351"/>
      <c r="FT351"/>
      <c r="FU351"/>
      <c r="FV351"/>
      <c r="FW351"/>
      <c r="FX351"/>
      <c r="FY351"/>
      <c r="FZ351"/>
      <c r="GA351"/>
      <c r="GB351"/>
      <c r="GC351"/>
      <c r="GD351"/>
      <c r="GE351"/>
      <c r="GF351"/>
      <c r="GG351"/>
      <c r="GH351"/>
      <c r="GI351"/>
      <c r="GJ351"/>
      <c r="GK351"/>
      <c r="GL351"/>
      <c r="GM351"/>
      <c r="GN351"/>
      <c r="GO351"/>
      <c r="GP351"/>
      <c r="GQ351"/>
      <c r="GR351"/>
      <c r="GS351"/>
      <c r="GT351"/>
      <c r="GU351"/>
      <c r="GV351"/>
      <c r="GW351"/>
      <c r="GX351"/>
      <c r="GY351"/>
      <c r="GZ351"/>
      <c r="HA351"/>
      <c r="HB351"/>
      <c r="HC351"/>
      <c r="HD351"/>
      <c r="HE351"/>
      <c r="HF351"/>
      <c r="HG351"/>
      <c r="HH351"/>
      <c r="HI351"/>
      <c r="HJ351"/>
      <c r="HK351"/>
      <c r="HL351"/>
      <c r="HM351"/>
      <c r="HN351"/>
      <c r="HO351"/>
      <c r="HP351"/>
      <c r="HQ351"/>
      <c r="HR351"/>
      <c r="HS351"/>
      <c r="HT351"/>
      <c r="HU351"/>
      <c r="HV351"/>
      <c r="HW351"/>
      <c r="HX351"/>
      <c r="HY351"/>
      <c r="HZ351"/>
      <c r="IA351"/>
      <c r="IB351"/>
      <c r="IC351"/>
      <c r="ID351"/>
      <c r="IE351"/>
      <c r="IF351"/>
      <c r="IG351"/>
      <c r="IH351"/>
      <c r="II351"/>
      <c r="IJ351"/>
      <c r="IK351"/>
      <c r="IL351"/>
      <c r="IM351"/>
      <c r="IN351"/>
      <c r="IO351"/>
      <c r="IP351"/>
      <c r="IQ351"/>
      <c r="IR351"/>
      <c r="IS351"/>
      <c r="IT351"/>
      <c r="IU351"/>
      <c r="IV351"/>
      <c r="IW351"/>
      <c r="IX351"/>
      <c r="IY351"/>
      <c r="IZ351"/>
      <c r="JA351"/>
      <c r="JB351"/>
      <c r="JC351"/>
      <c r="JD351"/>
      <c r="JE351"/>
      <c r="JF351"/>
      <c r="JG351"/>
      <c r="JH351"/>
      <c r="JI351"/>
      <c r="JJ351"/>
      <c r="JK351"/>
      <c r="JL351"/>
      <c r="JM351"/>
      <c r="JN351"/>
      <c r="JO351"/>
      <c r="JP351"/>
      <c r="JQ351"/>
      <c r="JR351"/>
      <c r="JS351"/>
      <c r="JT351"/>
      <c r="JU351"/>
      <c r="JV351"/>
      <c r="JW351"/>
      <c r="JX351"/>
      <c r="JY351"/>
      <c r="JZ351"/>
      <c r="KA351"/>
      <c r="KB351"/>
      <c r="KC351"/>
      <c r="KD351"/>
      <c r="KE351"/>
      <c r="KF351"/>
      <c r="KG351"/>
      <c r="KH351"/>
      <c r="KI351"/>
      <c r="KJ351"/>
      <c r="KK351"/>
      <c r="KL351"/>
      <c r="KM351"/>
      <c r="KN351"/>
      <c r="KO351"/>
      <c r="KP351"/>
      <c r="KQ351"/>
      <c r="KR351"/>
      <c r="KS351"/>
    </row>
    <row r="352" spans="2:305" hidden="1" x14ac:dyDescent="0.35">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c r="AS352"/>
      <c r="AT352"/>
      <c r="AU352"/>
      <c r="AV352"/>
      <c r="AW352"/>
      <c r="AX352"/>
      <c r="AY352"/>
      <c r="AZ352"/>
      <c r="BA352"/>
      <c r="BB352"/>
      <c r="BC352"/>
      <c r="BD352"/>
      <c r="BE352"/>
      <c r="BF352"/>
      <c r="BG352"/>
      <c r="BH352"/>
      <c r="BI352"/>
      <c r="BJ352"/>
      <c r="BK352"/>
      <c r="BL352"/>
      <c r="BM352"/>
      <c r="BN352"/>
      <c r="BO352"/>
      <c r="BP352"/>
      <c r="BQ352"/>
      <c r="BR352"/>
      <c r="BS352"/>
      <c r="BT352"/>
      <c r="BU352"/>
      <c r="BV352"/>
      <c r="BW352"/>
      <c r="BX352"/>
      <c r="BY352"/>
      <c r="BZ352"/>
      <c r="CA352"/>
      <c r="CB352"/>
      <c r="CC352"/>
      <c r="CD352"/>
      <c r="CE352"/>
      <c r="CF352"/>
      <c r="CG352"/>
      <c r="CH352"/>
      <c r="CI352"/>
      <c r="CJ352"/>
      <c r="CK352"/>
      <c r="CL352"/>
      <c r="CM352"/>
      <c r="CN352"/>
      <c r="CO352"/>
      <c r="CP352"/>
      <c r="CQ352"/>
      <c r="CR352"/>
      <c r="CS352"/>
      <c r="CT352"/>
      <c r="CU352"/>
      <c r="CV352"/>
      <c r="CW352"/>
      <c r="CX352"/>
      <c r="CY352"/>
      <c r="CZ352"/>
      <c r="DA352"/>
      <c r="DB352"/>
      <c r="DC352"/>
      <c r="DD352"/>
      <c r="DE352"/>
      <c r="DF352"/>
      <c r="DG352"/>
      <c r="DH352"/>
      <c r="DI352"/>
      <c r="DJ352"/>
      <c r="DK352"/>
      <c r="DL352"/>
      <c r="DM352"/>
      <c r="DN352"/>
      <c r="DO352"/>
      <c r="DP352"/>
      <c r="DQ352"/>
      <c r="DR352"/>
      <c r="DS352"/>
      <c r="DT352"/>
      <c r="DU352"/>
      <c r="DV352"/>
      <c r="DW352"/>
      <c r="DX352"/>
      <c r="DY352"/>
      <c r="DZ352"/>
      <c r="EA352"/>
      <c r="EB352"/>
      <c r="EC352"/>
      <c r="ED352"/>
      <c r="EE352"/>
      <c r="EF352"/>
      <c r="EG352"/>
      <c r="EH352"/>
      <c r="EI352"/>
      <c r="EJ352"/>
      <c r="EK352"/>
      <c r="EL352"/>
      <c r="EM352"/>
      <c r="EN352"/>
      <c r="EO352"/>
      <c r="EP352"/>
      <c r="EQ352"/>
      <c r="ER352"/>
      <c r="ES352"/>
      <c r="ET352"/>
      <c r="EU352"/>
      <c r="EV352"/>
      <c r="EW352"/>
      <c r="EX352"/>
      <c r="EY352"/>
      <c r="EZ352"/>
      <c r="FA352"/>
      <c r="FB352"/>
      <c r="FC352"/>
      <c r="FD352"/>
      <c r="FE352"/>
      <c r="FF352"/>
      <c r="FG352"/>
      <c r="FH352"/>
      <c r="FI352"/>
      <c r="FJ352"/>
      <c r="FK352"/>
      <c r="FL352"/>
      <c r="FM352"/>
      <c r="FN352"/>
      <c r="FO352"/>
      <c r="FP352"/>
      <c r="FQ352"/>
      <c r="FR352"/>
      <c r="FS352"/>
      <c r="FT352"/>
      <c r="FU352"/>
      <c r="FV352"/>
      <c r="FW352"/>
      <c r="FX352"/>
      <c r="FY352"/>
      <c r="FZ352"/>
      <c r="GA352"/>
      <c r="GB352"/>
      <c r="GC352"/>
      <c r="GD352"/>
      <c r="GE352"/>
      <c r="GF352"/>
      <c r="GG352"/>
      <c r="GH352"/>
      <c r="GI352"/>
      <c r="GJ352"/>
      <c r="GK352"/>
      <c r="GL352"/>
      <c r="GM352"/>
      <c r="GN352"/>
      <c r="GO352"/>
      <c r="GP352"/>
      <c r="GQ352"/>
      <c r="GR352"/>
      <c r="GS352"/>
      <c r="GT352"/>
      <c r="GU352"/>
      <c r="GV352"/>
      <c r="GW352"/>
      <c r="GX352"/>
      <c r="GY352"/>
      <c r="GZ352"/>
      <c r="HA352"/>
      <c r="HB352"/>
      <c r="HC352"/>
      <c r="HD352"/>
      <c r="HE352"/>
      <c r="HF352"/>
      <c r="HG352"/>
      <c r="HH352"/>
      <c r="HI352"/>
      <c r="HJ352"/>
      <c r="HK352"/>
      <c r="HL352"/>
      <c r="HM352"/>
      <c r="HN352"/>
      <c r="HO352"/>
      <c r="HP352"/>
      <c r="HQ352"/>
      <c r="HR352"/>
      <c r="HS352"/>
      <c r="HT352"/>
      <c r="HU352"/>
      <c r="HV352"/>
      <c r="HW352"/>
      <c r="HX352"/>
      <c r="HY352"/>
      <c r="HZ352"/>
      <c r="IA352"/>
      <c r="IB352"/>
      <c r="IC352"/>
      <c r="ID352"/>
      <c r="IE352"/>
      <c r="IF352"/>
      <c r="IG352"/>
      <c r="IH352"/>
      <c r="II352"/>
      <c r="IJ352"/>
      <c r="IK352"/>
      <c r="IL352"/>
      <c r="IM352"/>
      <c r="IN352"/>
      <c r="IO352"/>
      <c r="IP352"/>
      <c r="IQ352"/>
      <c r="IR352"/>
      <c r="IS352"/>
      <c r="IT352"/>
      <c r="IU352"/>
      <c r="IV352"/>
      <c r="IW352"/>
      <c r="IX352"/>
      <c r="IY352"/>
      <c r="IZ352"/>
      <c r="JA352"/>
      <c r="JB352"/>
      <c r="JC352"/>
      <c r="JD352"/>
      <c r="JE352"/>
      <c r="JF352"/>
      <c r="JG352"/>
      <c r="JH352"/>
      <c r="JI352"/>
      <c r="JJ352"/>
      <c r="JK352"/>
      <c r="JL352"/>
      <c r="JM352"/>
      <c r="JN352"/>
      <c r="JO352"/>
      <c r="JP352"/>
      <c r="JQ352"/>
      <c r="JR352"/>
      <c r="JS352"/>
      <c r="JT352"/>
      <c r="JU352"/>
      <c r="JV352"/>
      <c r="JW352"/>
      <c r="JX352"/>
      <c r="JY352"/>
      <c r="JZ352"/>
      <c r="KA352"/>
      <c r="KB352"/>
      <c r="KC352"/>
      <c r="KD352"/>
      <c r="KE352"/>
      <c r="KF352"/>
      <c r="KG352"/>
      <c r="KH352"/>
      <c r="KI352"/>
      <c r="KJ352"/>
      <c r="KK352"/>
      <c r="KL352"/>
      <c r="KM352"/>
      <c r="KN352"/>
      <c r="KO352"/>
      <c r="KP352"/>
      <c r="KQ352"/>
      <c r="KR352"/>
      <c r="KS352"/>
    </row>
    <row r="353" spans="2:305" hidden="1" x14ac:dyDescent="0.35">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c r="AS353"/>
      <c r="AT353"/>
      <c r="AU353"/>
      <c r="AV353"/>
      <c r="AW353"/>
      <c r="AX353"/>
      <c r="AY353"/>
      <c r="AZ353"/>
      <c r="BA353"/>
      <c r="BB353"/>
      <c r="BC353"/>
      <c r="BD353"/>
      <c r="BE353"/>
      <c r="BF353"/>
      <c r="BG353"/>
      <c r="BH353"/>
      <c r="BI353"/>
      <c r="BJ353"/>
      <c r="BK353"/>
      <c r="BL353"/>
      <c r="BM353"/>
      <c r="BN353"/>
      <c r="BO353"/>
      <c r="BP353"/>
      <c r="BQ353"/>
      <c r="BR353"/>
      <c r="BS353"/>
      <c r="BT353"/>
      <c r="BU353"/>
      <c r="BV353"/>
      <c r="BW353"/>
      <c r="BX353"/>
      <c r="BY353"/>
      <c r="BZ353"/>
      <c r="CA353"/>
      <c r="CB353"/>
      <c r="CC353"/>
      <c r="CD353"/>
      <c r="CE353"/>
      <c r="CF353"/>
      <c r="CG353"/>
      <c r="CH353"/>
      <c r="CI353"/>
      <c r="CJ353"/>
      <c r="CK353"/>
      <c r="CL353"/>
      <c r="CM353"/>
      <c r="CN353"/>
      <c r="CO353"/>
      <c r="CP353"/>
      <c r="CQ353"/>
      <c r="CR353"/>
      <c r="CS353"/>
      <c r="CT353"/>
      <c r="CU353"/>
      <c r="CV353"/>
      <c r="CW353"/>
      <c r="CX353"/>
      <c r="CY353"/>
      <c r="CZ353"/>
      <c r="DA353"/>
      <c r="DB353"/>
      <c r="DC353"/>
      <c r="DD353"/>
      <c r="DE353"/>
      <c r="DF353"/>
      <c r="DG353"/>
      <c r="DH353"/>
      <c r="DI353"/>
      <c r="DJ353"/>
      <c r="DK353"/>
      <c r="DL353"/>
      <c r="DM353"/>
      <c r="DN353"/>
      <c r="DO353"/>
      <c r="DP353"/>
      <c r="DQ353"/>
      <c r="DR353"/>
      <c r="DS353"/>
      <c r="DT353"/>
      <c r="DU353"/>
      <c r="DV353"/>
      <c r="DW353"/>
      <c r="DX353"/>
      <c r="DY353"/>
      <c r="DZ353"/>
      <c r="EA353"/>
      <c r="EB353"/>
      <c r="EC353"/>
      <c r="ED353"/>
      <c r="EE353"/>
      <c r="EF353"/>
      <c r="EG353"/>
      <c r="EH353"/>
      <c r="EI353"/>
      <c r="EJ353"/>
      <c r="EK353"/>
      <c r="EL353"/>
      <c r="EM353"/>
      <c r="EN353"/>
      <c r="EO353"/>
      <c r="EP353"/>
      <c r="EQ353"/>
      <c r="ER353"/>
      <c r="ES353"/>
      <c r="ET353"/>
      <c r="EU353"/>
      <c r="EV353"/>
      <c r="EW353"/>
      <c r="EX353"/>
      <c r="EY353"/>
      <c r="EZ353"/>
      <c r="FA353"/>
      <c r="FB353"/>
      <c r="FC353"/>
      <c r="FD353"/>
      <c r="FE353"/>
      <c r="FF353"/>
      <c r="FG353"/>
      <c r="FH353"/>
      <c r="FI353"/>
      <c r="FJ353"/>
      <c r="FK353"/>
      <c r="FL353"/>
      <c r="FM353"/>
      <c r="FN353"/>
      <c r="FO353"/>
      <c r="FP353"/>
      <c r="FQ353"/>
      <c r="FR353"/>
      <c r="FS353"/>
      <c r="FT353"/>
      <c r="FU353"/>
      <c r="FV353"/>
      <c r="FW353"/>
      <c r="FX353"/>
      <c r="FY353"/>
      <c r="FZ353"/>
      <c r="GA353"/>
      <c r="GB353"/>
      <c r="GC353"/>
      <c r="GD353"/>
      <c r="GE353"/>
      <c r="GF353"/>
      <c r="GG353"/>
      <c r="GH353"/>
      <c r="GI353"/>
      <c r="GJ353"/>
      <c r="GK353"/>
      <c r="GL353"/>
      <c r="GM353"/>
      <c r="GN353"/>
      <c r="GO353"/>
      <c r="GP353"/>
      <c r="GQ353"/>
      <c r="GR353"/>
      <c r="GS353"/>
      <c r="GT353"/>
      <c r="GU353"/>
      <c r="GV353"/>
      <c r="GW353"/>
      <c r="GX353"/>
      <c r="GY353"/>
      <c r="GZ353"/>
      <c r="HA353"/>
      <c r="HB353"/>
      <c r="HC353"/>
      <c r="HD353"/>
      <c r="HE353"/>
      <c r="HF353"/>
      <c r="HG353"/>
      <c r="HH353"/>
      <c r="HI353"/>
      <c r="HJ353"/>
      <c r="HK353"/>
      <c r="HL353"/>
      <c r="HM353"/>
      <c r="HN353"/>
      <c r="HO353"/>
      <c r="HP353"/>
      <c r="HQ353"/>
      <c r="HR353"/>
      <c r="HS353"/>
      <c r="HT353"/>
      <c r="HU353"/>
      <c r="HV353"/>
      <c r="HW353"/>
      <c r="HX353"/>
      <c r="HY353"/>
      <c r="HZ353"/>
      <c r="IA353"/>
      <c r="IB353"/>
      <c r="IC353"/>
      <c r="ID353"/>
      <c r="IE353"/>
      <c r="IF353"/>
      <c r="IG353"/>
      <c r="IH353"/>
      <c r="II353"/>
      <c r="IJ353"/>
      <c r="IK353"/>
      <c r="IL353"/>
      <c r="IM353"/>
      <c r="IN353"/>
      <c r="IO353"/>
      <c r="IP353"/>
      <c r="IQ353"/>
      <c r="IR353"/>
      <c r="IS353"/>
      <c r="IT353"/>
      <c r="IU353"/>
      <c r="IV353"/>
      <c r="IW353"/>
      <c r="IX353"/>
      <c r="IY353"/>
      <c r="IZ353"/>
      <c r="JA353"/>
      <c r="JB353"/>
      <c r="JC353"/>
      <c r="JD353"/>
      <c r="JE353"/>
      <c r="JF353"/>
      <c r="JG353"/>
      <c r="JH353"/>
      <c r="JI353"/>
      <c r="JJ353"/>
      <c r="JK353"/>
      <c r="JL353"/>
      <c r="JM353"/>
      <c r="JN353"/>
      <c r="JO353"/>
      <c r="JP353"/>
      <c r="JQ353"/>
      <c r="JR353"/>
      <c r="JS353"/>
      <c r="JT353"/>
      <c r="JU353"/>
      <c r="JV353"/>
      <c r="JW353"/>
      <c r="JX353"/>
      <c r="JY353"/>
      <c r="JZ353"/>
      <c r="KA353"/>
      <c r="KB353"/>
      <c r="KC353"/>
      <c r="KD353"/>
      <c r="KE353"/>
      <c r="KF353"/>
      <c r="KG353"/>
      <c r="KH353"/>
      <c r="KI353"/>
      <c r="KJ353"/>
      <c r="KK353"/>
      <c r="KL353"/>
      <c r="KM353"/>
      <c r="KN353"/>
      <c r="KO353"/>
      <c r="KP353"/>
      <c r="KQ353"/>
      <c r="KR353"/>
      <c r="KS353"/>
    </row>
    <row r="354" spans="2:305" hidden="1" x14ac:dyDescent="0.35">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c r="AS354"/>
      <c r="AT354"/>
      <c r="AU354"/>
      <c r="AV354"/>
      <c r="AW354"/>
      <c r="AX354"/>
      <c r="AY354"/>
      <c r="AZ354"/>
      <c r="BA354"/>
      <c r="BB354"/>
      <c r="BC354"/>
      <c r="BD354"/>
      <c r="BE354"/>
      <c r="BF354"/>
      <c r="BG354"/>
      <c r="BH354"/>
      <c r="BI354"/>
      <c r="BJ354"/>
      <c r="BK354"/>
      <c r="BL354"/>
      <c r="BM354"/>
      <c r="BN354"/>
      <c r="BO354"/>
      <c r="BP354"/>
      <c r="BQ354"/>
      <c r="BR354"/>
      <c r="BS354"/>
      <c r="BT354"/>
      <c r="BU354"/>
      <c r="BV354"/>
      <c r="BW354"/>
      <c r="BX354"/>
      <c r="BY354"/>
      <c r="BZ354"/>
      <c r="CA354"/>
      <c r="CB354"/>
      <c r="CC354"/>
      <c r="CD354"/>
      <c r="CE354"/>
      <c r="CF354"/>
      <c r="CG354"/>
      <c r="CH354"/>
      <c r="CI354"/>
      <c r="CJ354"/>
      <c r="CK354"/>
      <c r="CL354"/>
      <c r="CM354"/>
      <c r="CN354"/>
      <c r="CO354"/>
      <c r="CP354"/>
      <c r="CQ354"/>
      <c r="CR354"/>
      <c r="CS354"/>
      <c r="CT354"/>
      <c r="CU354"/>
      <c r="CV354"/>
      <c r="CW354"/>
      <c r="CX354"/>
      <c r="CY354"/>
      <c r="CZ354"/>
      <c r="DA354"/>
      <c r="DB354"/>
      <c r="DC354"/>
      <c r="DD354"/>
      <c r="DE354"/>
      <c r="DF354"/>
      <c r="DG354"/>
      <c r="DH354"/>
      <c r="DI354"/>
      <c r="DJ354"/>
      <c r="DK354"/>
      <c r="DL354"/>
      <c r="DM354"/>
      <c r="DN354"/>
      <c r="DO354"/>
      <c r="DP354"/>
      <c r="DQ354"/>
      <c r="DR354"/>
      <c r="DS354"/>
      <c r="DT354"/>
      <c r="DU354"/>
      <c r="DV354"/>
      <c r="DW354"/>
      <c r="DX354"/>
      <c r="DY354"/>
      <c r="DZ354"/>
      <c r="EA354"/>
      <c r="EB354"/>
      <c r="EC354"/>
      <c r="ED354"/>
      <c r="EE354"/>
      <c r="EF354"/>
      <c r="EG354"/>
      <c r="EH354"/>
      <c r="EI354"/>
      <c r="EJ354"/>
      <c r="EK354"/>
      <c r="EL354"/>
      <c r="EM354"/>
      <c r="EN354"/>
      <c r="EO354"/>
      <c r="EP354"/>
      <c r="EQ354"/>
      <c r="ER354"/>
      <c r="ES354"/>
      <c r="ET354"/>
      <c r="EU354"/>
      <c r="EV354"/>
      <c r="EW354"/>
      <c r="EX354"/>
      <c r="EY354"/>
      <c r="EZ354"/>
      <c r="FA354"/>
      <c r="FB354"/>
      <c r="FC354"/>
      <c r="FD354"/>
      <c r="FE354"/>
      <c r="FF354"/>
      <c r="FG354"/>
      <c r="FH354"/>
      <c r="FI354"/>
      <c r="FJ354"/>
      <c r="FK354"/>
      <c r="FL354"/>
      <c r="FM354"/>
      <c r="FN354"/>
      <c r="FO354"/>
      <c r="FP354"/>
      <c r="FQ354"/>
      <c r="FR354"/>
      <c r="FS354"/>
      <c r="FT354"/>
      <c r="FU354"/>
      <c r="FV354"/>
      <c r="FW354"/>
      <c r="FX354"/>
      <c r="FY354"/>
      <c r="FZ354"/>
      <c r="GA354"/>
      <c r="GB354"/>
      <c r="GC354"/>
      <c r="GD354"/>
      <c r="GE354"/>
      <c r="GF354"/>
      <c r="GG354"/>
      <c r="GH354"/>
      <c r="GI354"/>
      <c r="GJ354"/>
      <c r="GK354"/>
      <c r="GL354"/>
      <c r="GM354"/>
      <c r="GN354"/>
      <c r="GO354"/>
      <c r="GP354"/>
      <c r="GQ354"/>
      <c r="GR354"/>
      <c r="GS354"/>
      <c r="GT354"/>
      <c r="GU354"/>
      <c r="GV354"/>
      <c r="GW354"/>
      <c r="GX354"/>
      <c r="GY354"/>
      <c r="GZ354"/>
      <c r="HA354"/>
      <c r="HB354"/>
      <c r="HC354"/>
      <c r="HD354"/>
      <c r="HE354"/>
      <c r="HF354"/>
      <c r="HG354"/>
      <c r="HH354"/>
      <c r="HI354"/>
      <c r="HJ354"/>
      <c r="HK354"/>
      <c r="HL354"/>
      <c r="HM354"/>
      <c r="HN354"/>
      <c r="HO354"/>
      <c r="HP354"/>
      <c r="HQ354"/>
      <c r="HR354"/>
      <c r="HS354"/>
      <c r="HT354"/>
      <c r="HU354"/>
      <c r="HV354"/>
      <c r="HW354"/>
      <c r="HX354"/>
      <c r="HY354"/>
      <c r="HZ354"/>
      <c r="IA354"/>
      <c r="IB354"/>
      <c r="IC354"/>
      <c r="ID354"/>
      <c r="IE354"/>
      <c r="IF354"/>
      <c r="IG354"/>
      <c r="IH354"/>
      <c r="II354"/>
      <c r="IJ354"/>
      <c r="IK354"/>
      <c r="IL354"/>
      <c r="IM354"/>
      <c r="IN354"/>
      <c r="IO354"/>
      <c r="IP354"/>
      <c r="IQ354"/>
      <c r="IR354"/>
      <c r="IS354"/>
      <c r="IT354"/>
      <c r="IU354"/>
      <c r="IV354"/>
      <c r="IW354"/>
      <c r="IX354"/>
      <c r="IY354"/>
      <c r="IZ354"/>
      <c r="JA354"/>
      <c r="JB354"/>
      <c r="JC354"/>
      <c r="JD354"/>
      <c r="JE354"/>
      <c r="JF354"/>
      <c r="JG354"/>
      <c r="JH354"/>
      <c r="JI354"/>
      <c r="JJ354"/>
      <c r="JK354"/>
      <c r="JL354"/>
      <c r="JM354"/>
      <c r="JN354"/>
      <c r="JO354"/>
      <c r="JP354"/>
      <c r="JQ354"/>
      <c r="JR354"/>
      <c r="JS354"/>
      <c r="JT354"/>
      <c r="JU354"/>
      <c r="JV354"/>
      <c r="JW354"/>
      <c r="JX354"/>
      <c r="JY354"/>
      <c r="JZ354"/>
      <c r="KA354"/>
      <c r="KB354"/>
      <c r="KC354"/>
      <c r="KD354"/>
      <c r="KE354"/>
      <c r="KF354"/>
      <c r="KG354"/>
      <c r="KH354"/>
      <c r="KI354"/>
      <c r="KJ354"/>
      <c r="KK354"/>
      <c r="KL354"/>
      <c r="KM354"/>
      <c r="KN354"/>
      <c r="KO354"/>
      <c r="KP354"/>
      <c r="KQ354"/>
      <c r="KR354"/>
      <c r="KS354"/>
    </row>
    <row r="355" spans="2:305" hidden="1" x14ac:dyDescent="0.3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c r="AS355"/>
      <c r="AT355"/>
      <c r="AU355"/>
      <c r="AV355"/>
      <c r="AW355"/>
      <c r="AX355"/>
      <c r="AY355"/>
      <c r="AZ355"/>
      <c r="BA355"/>
      <c r="BB355"/>
      <c r="BC355"/>
      <c r="BD355"/>
      <c r="BE355"/>
      <c r="BF355"/>
      <c r="BG355"/>
      <c r="BH355"/>
      <c r="BI355"/>
      <c r="BJ355"/>
      <c r="BK355"/>
      <c r="BL355"/>
      <c r="BM355"/>
      <c r="BN355"/>
      <c r="BO355"/>
      <c r="BP355"/>
      <c r="BQ355"/>
      <c r="BR355"/>
      <c r="BS355"/>
      <c r="BT355"/>
      <c r="BU355"/>
      <c r="BV355"/>
      <c r="BW355"/>
      <c r="BX355"/>
      <c r="BY355"/>
      <c r="BZ355"/>
      <c r="CA355"/>
      <c r="CB355"/>
      <c r="CC355"/>
      <c r="CD355"/>
      <c r="CE355"/>
      <c r="CF355"/>
      <c r="CG355"/>
      <c r="CH355"/>
      <c r="CI355"/>
      <c r="CJ355"/>
      <c r="CK355"/>
      <c r="CL355"/>
      <c r="CM355"/>
      <c r="CN355"/>
      <c r="CO355"/>
      <c r="CP355"/>
      <c r="CQ355"/>
      <c r="CR355"/>
      <c r="CS355"/>
      <c r="CT355"/>
      <c r="CU355"/>
      <c r="CV355"/>
      <c r="CW355"/>
      <c r="CX355"/>
      <c r="CY355"/>
      <c r="CZ355"/>
      <c r="DA355"/>
      <c r="DB355"/>
      <c r="DC355"/>
      <c r="DD355"/>
      <c r="DE355"/>
      <c r="DF355"/>
      <c r="DG355"/>
      <c r="DH355"/>
      <c r="DI355"/>
      <c r="DJ355"/>
      <c r="DK355"/>
      <c r="DL355"/>
      <c r="DM355"/>
      <c r="DN355"/>
      <c r="DO355"/>
      <c r="DP355"/>
      <c r="DQ355"/>
      <c r="DR355"/>
      <c r="DS355"/>
      <c r="DT355"/>
      <c r="DU355"/>
      <c r="DV355"/>
      <c r="DW355"/>
      <c r="DX355"/>
      <c r="DY355"/>
      <c r="DZ355"/>
      <c r="EA355"/>
      <c r="EB355"/>
      <c r="EC355"/>
      <c r="ED355"/>
      <c r="EE355"/>
      <c r="EF355"/>
      <c r="EG355"/>
      <c r="EH355"/>
      <c r="EI355"/>
      <c r="EJ355"/>
      <c r="EK355"/>
      <c r="EL355"/>
      <c r="EM355"/>
      <c r="EN355"/>
      <c r="EO355"/>
      <c r="EP355"/>
      <c r="EQ355"/>
      <c r="ER355"/>
      <c r="ES355"/>
      <c r="ET355"/>
      <c r="EU355"/>
      <c r="EV355"/>
      <c r="EW355"/>
      <c r="EX355"/>
      <c r="EY355"/>
      <c r="EZ355"/>
      <c r="FA355"/>
      <c r="FB355"/>
      <c r="FC355"/>
      <c r="FD355"/>
      <c r="FE355"/>
      <c r="FF355"/>
      <c r="FG355"/>
      <c r="FH355"/>
      <c r="FI355"/>
      <c r="FJ355"/>
      <c r="FK355"/>
      <c r="FL355"/>
      <c r="FM355"/>
      <c r="FN355"/>
      <c r="FO355"/>
      <c r="FP355"/>
      <c r="FQ355"/>
      <c r="FR355"/>
      <c r="FS355"/>
      <c r="FT355"/>
      <c r="FU355"/>
      <c r="FV355"/>
      <c r="FW355"/>
      <c r="FX355"/>
      <c r="FY355"/>
      <c r="FZ355"/>
      <c r="GA355"/>
      <c r="GB355"/>
      <c r="GC355"/>
      <c r="GD355"/>
      <c r="GE355"/>
      <c r="GF355"/>
      <c r="GG355"/>
      <c r="GH355"/>
      <c r="GI355"/>
      <c r="GJ355"/>
      <c r="GK355"/>
      <c r="GL355"/>
      <c r="GM355"/>
      <c r="GN355"/>
      <c r="GO355"/>
      <c r="GP355"/>
      <c r="GQ355"/>
      <c r="GR355"/>
      <c r="GS355"/>
      <c r="GT355"/>
      <c r="GU355"/>
      <c r="GV355"/>
      <c r="GW355"/>
      <c r="GX355"/>
      <c r="GY355"/>
      <c r="GZ355"/>
      <c r="HA355"/>
      <c r="HB355"/>
      <c r="HC355"/>
      <c r="HD355"/>
      <c r="HE355"/>
      <c r="HF355"/>
      <c r="HG355"/>
      <c r="HH355"/>
      <c r="HI355"/>
      <c r="HJ355"/>
      <c r="HK355"/>
      <c r="HL355"/>
      <c r="HM355"/>
      <c r="HN355"/>
      <c r="HO355"/>
      <c r="HP355"/>
      <c r="HQ355"/>
      <c r="HR355"/>
      <c r="HS355"/>
      <c r="HT355"/>
      <c r="HU355"/>
      <c r="HV355"/>
      <c r="HW355"/>
      <c r="HX355"/>
      <c r="HY355"/>
      <c r="HZ355"/>
      <c r="IA355"/>
      <c r="IB355"/>
      <c r="IC355"/>
      <c r="ID355"/>
      <c r="IE355"/>
      <c r="IF355"/>
      <c r="IG355"/>
      <c r="IH355"/>
      <c r="II355"/>
      <c r="IJ355"/>
      <c r="IK355"/>
      <c r="IL355"/>
      <c r="IM355"/>
      <c r="IN355"/>
      <c r="IO355"/>
      <c r="IP355"/>
      <c r="IQ355"/>
      <c r="IR355"/>
      <c r="IS355"/>
      <c r="IT355"/>
      <c r="IU355"/>
      <c r="IV355"/>
      <c r="IW355"/>
      <c r="IX355"/>
      <c r="IY355"/>
      <c r="IZ355"/>
      <c r="JA355"/>
      <c r="JB355"/>
      <c r="JC355"/>
      <c r="JD355"/>
      <c r="JE355"/>
      <c r="JF355"/>
      <c r="JG355"/>
      <c r="JH355"/>
      <c r="JI355"/>
      <c r="JJ355"/>
      <c r="JK355"/>
      <c r="JL355"/>
      <c r="JM355"/>
      <c r="JN355"/>
      <c r="JO355"/>
      <c r="JP355"/>
      <c r="JQ355"/>
      <c r="JR355"/>
      <c r="JS355"/>
      <c r="JT355"/>
      <c r="JU355"/>
      <c r="JV355"/>
      <c r="JW355"/>
      <c r="JX355"/>
      <c r="JY355"/>
      <c r="JZ355"/>
      <c r="KA355"/>
      <c r="KB355"/>
      <c r="KC355"/>
      <c r="KD355"/>
      <c r="KE355"/>
      <c r="KF355"/>
      <c r="KG355"/>
      <c r="KH355"/>
      <c r="KI355"/>
      <c r="KJ355"/>
      <c r="KK355"/>
      <c r="KL355"/>
      <c r="KM355"/>
      <c r="KN355"/>
      <c r="KO355"/>
      <c r="KP355"/>
      <c r="KQ355"/>
      <c r="KR355"/>
      <c r="KS355"/>
    </row>
    <row r="356" spans="2:305" hidden="1" x14ac:dyDescent="0.35">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c r="AS356"/>
      <c r="AT356"/>
      <c r="AU356"/>
      <c r="AV356"/>
      <c r="AW356"/>
      <c r="AX356"/>
      <c r="AY356"/>
      <c r="AZ356"/>
      <c r="BA356"/>
      <c r="BB356"/>
      <c r="BC356"/>
      <c r="BD356"/>
      <c r="BE356"/>
      <c r="BF356"/>
      <c r="BG356"/>
      <c r="BH356"/>
      <c r="BI356"/>
      <c r="BJ356"/>
      <c r="BK356"/>
      <c r="BL356"/>
      <c r="BM356"/>
      <c r="BN356"/>
      <c r="BO356"/>
      <c r="BP356"/>
      <c r="BQ356"/>
      <c r="BR356"/>
      <c r="BS356"/>
      <c r="BT356"/>
      <c r="BU356"/>
      <c r="BV356"/>
      <c r="BW356"/>
      <c r="BX356"/>
      <c r="BY356"/>
      <c r="BZ356"/>
      <c r="CA356"/>
      <c r="CB356"/>
      <c r="CC356"/>
      <c r="CD356"/>
      <c r="CE356"/>
      <c r="CF356"/>
      <c r="CG356"/>
      <c r="CH356"/>
      <c r="CI356"/>
      <c r="CJ356"/>
      <c r="CK356"/>
      <c r="CL356"/>
      <c r="CM356"/>
      <c r="CN356"/>
      <c r="CO356"/>
      <c r="CP356"/>
      <c r="CQ356"/>
      <c r="CR356"/>
      <c r="CS356"/>
      <c r="CT356"/>
      <c r="CU356"/>
      <c r="CV356"/>
      <c r="CW356"/>
      <c r="CX356"/>
      <c r="CY356"/>
      <c r="CZ356"/>
      <c r="DA356"/>
      <c r="DB356"/>
      <c r="DC356"/>
      <c r="DD356"/>
      <c r="DE356"/>
      <c r="DF356"/>
      <c r="DG356"/>
      <c r="DH356"/>
      <c r="DI356"/>
      <c r="DJ356"/>
      <c r="DK356"/>
      <c r="DL356"/>
      <c r="DM356"/>
      <c r="DN356"/>
      <c r="DO356"/>
      <c r="DP356"/>
      <c r="DQ356"/>
      <c r="DR356"/>
      <c r="DS356"/>
      <c r="DT356"/>
      <c r="DU356"/>
      <c r="DV356"/>
      <c r="DW356"/>
      <c r="DX356"/>
      <c r="DY356"/>
      <c r="DZ356"/>
      <c r="EA356"/>
      <c r="EB356"/>
      <c r="EC356"/>
      <c r="ED356"/>
      <c r="EE356"/>
      <c r="EF356"/>
      <c r="EG356"/>
      <c r="EH356"/>
      <c r="EI356"/>
      <c r="EJ356"/>
      <c r="EK356"/>
      <c r="EL356"/>
      <c r="EM356"/>
      <c r="EN356"/>
      <c r="EO356"/>
      <c r="EP356"/>
      <c r="EQ356"/>
      <c r="ER356"/>
      <c r="ES356"/>
      <c r="ET356"/>
      <c r="EU356"/>
      <c r="EV356"/>
      <c r="EW356"/>
      <c r="EX356"/>
      <c r="EY356"/>
      <c r="EZ356"/>
      <c r="FA356"/>
      <c r="FB356"/>
      <c r="FC356"/>
      <c r="FD356"/>
      <c r="FE356"/>
      <c r="FF356"/>
      <c r="FG356"/>
      <c r="FH356"/>
      <c r="FI356"/>
      <c r="FJ356"/>
      <c r="FK356"/>
      <c r="FL356"/>
      <c r="FM356"/>
      <c r="FN356"/>
      <c r="FO356"/>
      <c r="FP356"/>
      <c r="FQ356"/>
      <c r="FR356"/>
      <c r="FS356"/>
      <c r="FT356"/>
      <c r="FU356"/>
      <c r="FV356"/>
      <c r="FW356"/>
      <c r="FX356"/>
      <c r="FY356"/>
      <c r="FZ356"/>
      <c r="GA356"/>
      <c r="GB356"/>
      <c r="GC356"/>
      <c r="GD356"/>
      <c r="GE356"/>
      <c r="GF356"/>
      <c r="GG356"/>
      <c r="GH356"/>
      <c r="GI356"/>
      <c r="GJ356"/>
      <c r="GK356"/>
      <c r="GL356"/>
      <c r="GM356"/>
      <c r="GN356"/>
      <c r="GO356"/>
      <c r="GP356"/>
      <c r="GQ356"/>
      <c r="GR356"/>
      <c r="GS356"/>
      <c r="GT356"/>
      <c r="GU356"/>
      <c r="GV356"/>
      <c r="GW356"/>
      <c r="GX356"/>
      <c r="GY356"/>
      <c r="GZ356"/>
      <c r="HA356"/>
      <c r="HB356"/>
      <c r="HC356"/>
      <c r="HD356"/>
      <c r="HE356"/>
      <c r="HF356"/>
      <c r="HG356"/>
      <c r="HH356"/>
      <c r="HI356"/>
      <c r="HJ356"/>
      <c r="HK356"/>
      <c r="HL356"/>
      <c r="HM356"/>
      <c r="HN356"/>
      <c r="HO356"/>
      <c r="HP356"/>
      <c r="HQ356"/>
      <c r="HR356"/>
      <c r="HS356"/>
      <c r="HT356"/>
      <c r="HU356"/>
      <c r="HV356"/>
      <c r="HW356"/>
      <c r="HX356"/>
      <c r="HY356"/>
      <c r="HZ356"/>
      <c r="IA356"/>
      <c r="IB356"/>
      <c r="IC356"/>
      <c r="ID356"/>
      <c r="IE356"/>
      <c r="IF356"/>
      <c r="IG356"/>
      <c r="IH356"/>
      <c r="II356"/>
      <c r="IJ356"/>
      <c r="IK356"/>
      <c r="IL356"/>
      <c r="IM356"/>
      <c r="IN356"/>
      <c r="IO356"/>
      <c r="IP356"/>
      <c r="IQ356"/>
      <c r="IR356"/>
      <c r="IS356"/>
      <c r="IT356"/>
      <c r="IU356"/>
      <c r="IV356"/>
      <c r="IW356"/>
      <c r="IX356"/>
      <c r="IY356"/>
      <c r="IZ356"/>
      <c r="JA356"/>
      <c r="JB356"/>
      <c r="JC356"/>
      <c r="JD356"/>
      <c r="JE356"/>
      <c r="JF356"/>
      <c r="JG356"/>
      <c r="JH356"/>
      <c r="JI356"/>
      <c r="JJ356"/>
      <c r="JK356"/>
      <c r="JL356"/>
      <c r="JM356"/>
      <c r="JN356"/>
      <c r="JO356"/>
      <c r="JP356"/>
      <c r="JQ356"/>
      <c r="JR356"/>
      <c r="JS356"/>
      <c r="JT356"/>
      <c r="JU356"/>
      <c r="JV356"/>
      <c r="JW356"/>
      <c r="JX356"/>
      <c r="JY356"/>
      <c r="JZ356"/>
      <c r="KA356"/>
      <c r="KB356"/>
      <c r="KC356"/>
      <c r="KD356"/>
      <c r="KE356"/>
      <c r="KF356"/>
      <c r="KG356"/>
      <c r="KH356"/>
      <c r="KI356"/>
      <c r="KJ356"/>
      <c r="KK356"/>
      <c r="KL356"/>
      <c r="KM356"/>
      <c r="KN356"/>
      <c r="KO356"/>
      <c r="KP356"/>
      <c r="KQ356"/>
      <c r="KR356"/>
      <c r="KS356"/>
    </row>
    <row r="357" spans="2:305" hidden="1" x14ac:dyDescent="0.35">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c r="AS357"/>
      <c r="AT357"/>
      <c r="AU357"/>
      <c r="AV357"/>
      <c r="AW357"/>
      <c r="AX357"/>
      <c r="AY357"/>
      <c r="AZ357"/>
      <c r="BA357"/>
      <c r="BB357"/>
      <c r="BC357"/>
      <c r="BD357"/>
      <c r="BE357"/>
      <c r="BF357"/>
      <c r="BG357"/>
      <c r="BH357"/>
      <c r="BI357"/>
      <c r="BJ357"/>
      <c r="BK357"/>
      <c r="BL357"/>
      <c r="BM357"/>
      <c r="BN357"/>
      <c r="BO357"/>
      <c r="BP357"/>
      <c r="BQ357"/>
      <c r="BR357"/>
      <c r="BS357"/>
      <c r="BT357"/>
      <c r="BU357"/>
      <c r="BV357"/>
      <c r="BW357"/>
      <c r="BX357"/>
      <c r="BY357"/>
      <c r="BZ357"/>
      <c r="CA357"/>
      <c r="CB357"/>
      <c r="CC357"/>
      <c r="CD357"/>
      <c r="CE357"/>
      <c r="CF357"/>
      <c r="CG357"/>
      <c r="CH357"/>
      <c r="CI357"/>
      <c r="CJ357"/>
      <c r="CK357"/>
      <c r="CL357"/>
      <c r="CM357"/>
      <c r="CN357"/>
      <c r="CO357"/>
      <c r="CP357"/>
      <c r="CQ357"/>
      <c r="CR357"/>
      <c r="CS357"/>
      <c r="CT357"/>
      <c r="CU357"/>
      <c r="CV357"/>
      <c r="CW357"/>
      <c r="CX357"/>
      <c r="CY357"/>
      <c r="CZ357"/>
      <c r="DA357"/>
      <c r="DB357"/>
      <c r="DC357"/>
      <c r="DD357"/>
      <c r="DE357"/>
      <c r="DF357"/>
      <c r="DG357"/>
      <c r="DH357"/>
      <c r="DI357"/>
      <c r="DJ357"/>
      <c r="DK357"/>
      <c r="DL357"/>
      <c r="DM357"/>
      <c r="DN357"/>
      <c r="DO357"/>
      <c r="DP357"/>
      <c r="DQ357"/>
      <c r="DR357"/>
      <c r="DS357"/>
      <c r="DT357"/>
      <c r="DU357"/>
      <c r="DV357"/>
      <c r="DW357"/>
      <c r="DX357"/>
      <c r="DY357"/>
      <c r="DZ357"/>
      <c r="EA357"/>
      <c r="EB357"/>
      <c r="EC357"/>
      <c r="ED357"/>
      <c r="EE357"/>
      <c r="EF357"/>
      <c r="EG357"/>
      <c r="EH357"/>
      <c r="EI357"/>
      <c r="EJ357"/>
      <c r="EK357"/>
      <c r="EL357"/>
      <c r="EM357"/>
      <c r="EN357"/>
      <c r="EO357"/>
      <c r="EP357"/>
      <c r="EQ357"/>
      <c r="ER357"/>
      <c r="ES357"/>
      <c r="ET357"/>
      <c r="EU357"/>
      <c r="EV357"/>
      <c r="EW357"/>
      <c r="EX357"/>
      <c r="EY357"/>
      <c r="EZ357"/>
      <c r="FA357"/>
      <c r="FB357"/>
      <c r="FC357"/>
      <c r="FD357"/>
      <c r="FE357"/>
      <c r="FF357"/>
      <c r="FG357"/>
      <c r="FH357"/>
      <c r="FI357"/>
      <c r="FJ357"/>
      <c r="FK357"/>
      <c r="FL357"/>
      <c r="FM357"/>
      <c r="FN357"/>
      <c r="FO357"/>
      <c r="FP357"/>
      <c r="FQ357"/>
      <c r="FR357"/>
      <c r="FS357"/>
      <c r="FT357"/>
      <c r="FU357"/>
      <c r="FV357"/>
      <c r="FW357"/>
      <c r="FX357"/>
      <c r="FY357"/>
      <c r="FZ357"/>
      <c r="GA357"/>
      <c r="GB357"/>
      <c r="GC357"/>
      <c r="GD357"/>
      <c r="GE357"/>
      <c r="GF357"/>
      <c r="GG357"/>
      <c r="GH357"/>
      <c r="GI357"/>
      <c r="GJ357"/>
      <c r="GK357"/>
      <c r="GL357"/>
      <c r="GM357"/>
      <c r="GN357"/>
      <c r="GO357"/>
      <c r="GP357"/>
      <c r="GQ357"/>
      <c r="GR357"/>
      <c r="GS357"/>
      <c r="GT357"/>
      <c r="GU357"/>
      <c r="GV357"/>
      <c r="GW357"/>
      <c r="GX357"/>
      <c r="GY357"/>
      <c r="GZ357"/>
      <c r="HA357"/>
      <c r="HB357"/>
      <c r="HC357"/>
      <c r="HD357"/>
      <c r="HE357"/>
      <c r="HF357"/>
      <c r="HG357"/>
      <c r="HH357"/>
      <c r="HI357"/>
      <c r="HJ357"/>
      <c r="HK357"/>
      <c r="HL357"/>
      <c r="HM357"/>
      <c r="HN357"/>
      <c r="HO357"/>
      <c r="HP357"/>
      <c r="HQ357"/>
      <c r="HR357"/>
      <c r="HS357"/>
      <c r="HT357"/>
      <c r="HU357"/>
      <c r="HV357"/>
      <c r="HW357"/>
      <c r="HX357"/>
      <c r="HY357"/>
      <c r="HZ357"/>
      <c r="IA357"/>
      <c r="IB357"/>
      <c r="IC357"/>
      <c r="ID357"/>
      <c r="IE357"/>
      <c r="IF357"/>
      <c r="IG357"/>
      <c r="IH357"/>
      <c r="II357"/>
      <c r="IJ357"/>
      <c r="IK357"/>
      <c r="IL357"/>
      <c r="IM357"/>
      <c r="IN357"/>
      <c r="IO357"/>
      <c r="IP357"/>
      <c r="IQ357"/>
      <c r="IR357"/>
      <c r="IS357"/>
      <c r="IT357"/>
      <c r="IU357"/>
      <c r="IV357"/>
      <c r="IW357"/>
      <c r="IX357"/>
      <c r="IY357"/>
      <c r="IZ357"/>
      <c r="JA357"/>
      <c r="JB357"/>
      <c r="JC357"/>
      <c r="JD357"/>
      <c r="JE357"/>
      <c r="JF357"/>
      <c r="JG357"/>
      <c r="JH357"/>
      <c r="JI357"/>
      <c r="JJ357"/>
      <c r="JK357"/>
      <c r="JL357"/>
      <c r="JM357"/>
      <c r="JN357"/>
      <c r="JO357"/>
      <c r="JP357"/>
      <c r="JQ357"/>
      <c r="JR357"/>
      <c r="JS357"/>
      <c r="JT357"/>
      <c r="JU357"/>
      <c r="JV357"/>
      <c r="JW357"/>
      <c r="JX357"/>
      <c r="JY357"/>
      <c r="JZ357"/>
      <c r="KA357"/>
      <c r="KB357"/>
      <c r="KC357"/>
      <c r="KD357"/>
      <c r="KE357"/>
      <c r="KF357"/>
      <c r="KG357"/>
      <c r="KH357"/>
      <c r="KI357"/>
      <c r="KJ357"/>
      <c r="KK357"/>
      <c r="KL357"/>
      <c r="KM357"/>
      <c r="KN357"/>
      <c r="KO357"/>
      <c r="KP357"/>
      <c r="KQ357"/>
      <c r="KR357"/>
      <c r="KS357"/>
    </row>
    <row r="358" spans="2:305" hidden="1" x14ac:dyDescent="0.35">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c r="AS358"/>
      <c r="AT358"/>
      <c r="AU358"/>
      <c r="AV358"/>
      <c r="AW358"/>
      <c r="AX358"/>
      <c r="AY358"/>
      <c r="AZ358"/>
      <c r="BA358"/>
      <c r="BB358"/>
      <c r="BC358"/>
      <c r="BD358"/>
      <c r="BE358"/>
      <c r="BF358"/>
      <c r="BG358"/>
      <c r="BH358"/>
      <c r="BI358"/>
      <c r="BJ358"/>
      <c r="BK358"/>
      <c r="BL358"/>
      <c r="BM358"/>
      <c r="BN358"/>
      <c r="BO358"/>
      <c r="BP358"/>
      <c r="BQ358"/>
      <c r="BR358"/>
      <c r="BS358"/>
      <c r="BT358"/>
      <c r="BU358"/>
      <c r="BV358"/>
      <c r="BW358"/>
      <c r="BX358"/>
      <c r="BY358"/>
      <c r="BZ358"/>
      <c r="CA358"/>
      <c r="CB358"/>
      <c r="CC358"/>
      <c r="CD358"/>
      <c r="CE358"/>
      <c r="CF358"/>
      <c r="CG358"/>
      <c r="CH358"/>
      <c r="CI358"/>
      <c r="CJ358"/>
      <c r="CK358"/>
      <c r="CL358"/>
      <c r="CM358"/>
      <c r="CN358"/>
      <c r="CO358"/>
      <c r="CP358"/>
      <c r="CQ358"/>
      <c r="CR358"/>
      <c r="CS358"/>
      <c r="CT358"/>
      <c r="CU358"/>
      <c r="CV358"/>
      <c r="CW358"/>
      <c r="CX358"/>
      <c r="CY358"/>
      <c r="CZ358"/>
      <c r="DA358"/>
      <c r="DB358"/>
      <c r="DC358"/>
      <c r="DD358"/>
      <c r="DE358"/>
      <c r="DF358"/>
      <c r="DG358"/>
      <c r="DH358"/>
      <c r="DI358"/>
      <c r="DJ358"/>
      <c r="DK358"/>
      <c r="DL358"/>
      <c r="DM358"/>
      <c r="DN358"/>
      <c r="DO358"/>
      <c r="DP358"/>
      <c r="DQ358"/>
      <c r="DR358"/>
      <c r="DS358"/>
      <c r="DT358"/>
      <c r="DU358"/>
      <c r="DV358"/>
      <c r="DW358"/>
      <c r="DX358"/>
      <c r="DY358"/>
      <c r="DZ358"/>
      <c r="EA358"/>
      <c r="EB358"/>
      <c r="EC358"/>
      <c r="ED358"/>
      <c r="EE358"/>
      <c r="EF358"/>
      <c r="EG358"/>
      <c r="EH358"/>
      <c r="EI358"/>
      <c r="EJ358"/>
      <c r="EK358"/>
      <c r="EL358"/>
      <c r="EM358"/>
      <c r="EN358"/>
      <c r="EO358"/>
      <c r="EP358"/>
      <c r="EQ358"/>
      <c r="ER358"/>
      <c r="ES358"/>
      <c r="ET358"/>
      <c r="EU358"/>
      <c r="EV358"/>
      <c r="EW358"/>
      <c r="EX358"/>
      <c r="EY358"/>
      <c r="EZ358"/>
      <c r="FA358"/>
      <c r="FB358"/>
      <c r="FC358"/>
      <c r="FD358"/>
      <c r="FE358"/>
      <c r="FF358"/>
      <c r="FG358"/>
      <c r="FH358"/>
      <c r="FI358"/>
      <c r="FJ358"/>
      <c r="FK358"/>
      <c r="FL358"/>
      <c r="FM358"/>
      <c r="FN358"/>
      <c r="FO358"/>
      <c r="FP358"/>
      <c r="FQ358"/>
      <c r="FR358"/>
      <c r="FS358"/>
      <c r="FT358"/>
      <c r="FU358"/>
      <c r="FV358"/>
      <c r="FW358"/>
      <c r="FX358"/>
      <c r="FY358"/>
      <c r="FZ358"/>
      <c r="GA358"/>
      <c r="GB358"/>
      <c r="GC358"/>
      <c r="GD358"/>
      <c r="GE358"/>
      <c r="GF358"/>
      <c r="GG358"/>
      <c r="GH358"/>
      <c r="GI358"/>
      <c r="GJ358"/>
      <c r="GK358"/>
      <c r="GL358"/>
      <c r="GM358"/>
      <c r="GN358"/>
      <c r="GO358"/>
      <c r="GP358"/>
      <c r="GQ358"/>
      <c r="GR358"/>
      <c r="GS358"/>
      <c r="GT358"/>
      <c r="GU358"/>
      <c r="GV358"/>
      <c r="GW358"/>
      <c r="GX358"/>
      <c r="GY358"/>
      <c r="GZ358"/>
      <c r="HA358"/>
      <c r="HB358"/>
      <c r="HC358"/>
      <c r="HD358"/>
      <c r="HE358"/>
      <c r="HF358"/>
      <c r="HG358"/>
      <c r="HH358"/>
      <c r="HI358"/>
      <c r="HJ358"/>
      <c r="HK358"/>
      <c r="HL358"/>
      <c r="HM358"/>
      <c r="HN358"/>
      <c r="HO358"/>
      <c r="HP358"/>
      <c r="HQ358"/>
      <c r="HR358"/>
      <c r="HS358"/>
      <c r="HT358"/>
      <c r="HU358"/>
      <c r="HV358"/>
      <c r="HW358"/>
      <c r="HX358"/>
      <c r="HY358"/>
      <c r="HZ358"/>
      <c r="IA358"/>
      <c r="IB358"/>
      <c r="IC358"/>
      <c r="ID358"/>
      <c r="IE358"/>
      <c r="IF358"/>
      <c r="IG358"/>
      <c r="IH358"/>
      <c r="II358"/>
      <c r="IJ358"/>
      <c r="IK358"/>
      <c r="IL358"/>
      <c r="IM358"/>
      <c r="IN358"/>
      <c r="IO358"/>
      <c r="IP358"/>
      <c r="IQ358"/>
      <c r="IR358"/>
      <c r="IS358"/>
      <c r="IT358"/>
      <c r="IU358"/>
      <c r="IV358"/>
      <c r="IW358"/>
      <c r="IX358"/>
      <c r="IY358"/>
      <c r="IZ358"/>
      <c r="JA358"/>
      <c r="JB358"/>
      <c r="JC358"/>
      <c r="JD358"/>
      <c r="JE358"/>
      <c r="JF358"/>
      <c r="JG358"/>
      <c r="JH358"/>
      <c r="JI358"/>
      <c r="JJ358"/>
      <c r="JK358"/>
      <c r="JL358"/>
      <c r="JM358"/>
      <c r="JN358"/>
      <c r="JO358"/>
      <c r="JP358"/>
      <c r="JQ358"/>
      <c r="JR358"/>
      <c r="JS358"/>
      <c r="JT358"/>
      <c r="JU358"/>
      <c r="JV358"/>
      <c r="JW358"/>
      <c r="JX358"/>
      <c r="JY358"/>
      <c r="JZ358"/>
      <c r="KA358"/>
      <c r="KB358"/>
      <c r="KC358"/>
      <c r="KD358"/>
      <c r="KE358"/>
      <c r="KF358"/>
      <c r="KG358"/>
      <c r="KH358"/>
      <c r="KI358"/>
      <c r="KJ358"/>
      <c r="KK358"/>
      <c r="KL358"/>
      <c r="KM358"/>
      <c r="KN358"/>
      <c r="KO358"/>
      <c r="KP358"/>
      <c r="KQ358"/>
      <c r="KR358"/>
      <c r="KS358"/>
    </row>
    <row r="359" spans="2:305" hidden="1" x14ac:dyDescent="0.35">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c r="AS359"/>
      <c r="AT359"/>
      <c r="AU359"/>
      <c r="AV359"/>
      <c r="AW359"/>
      <c r="AX359"/>
      <c r="AY359"/>
      <c r="AZ359"/>
      <c r="BA359"/>
      <c r="BB359"/>
      <c r="BC359"/>
      <c r="BD359"/>
      <c r="BE359"/>
      <c r="BF359"/>
      <c r="BG359"/>
      <c r="BH359"/>
      <c r="BI359"/>
      <c r="BJ359"/>
      <c r="BK359"/>
      <c r="BL359"/>
      <c r="BM359"/>
      <c r="BN359"/>
      <c r="BO359"/>
      <c r="BP359"/>
      <c r="BQ359"/>
      <c r="BR359"/>
      <c r="BS359"/>
      <c r="BT359"/>
      <c r="BU359"/>
      <c r="BV359"/>
      <c r="BW359"/>
      <c r="BX359"/>
      <c r="BY359"/>
      <c r="BZ359"/>
      <c r="CA359"/>
      <c r="CB359"/>
      <c r="CC359"/>
      <c r="CD359"/>
      <c r="CE359"/>
      <c r="CF359"/>
      <c r="CG359"/>
      <c r="CH359"/>
      <c r="CI359"/>
      <c r="CJ359"/>
      <c r="CK359"/>
      <c r="CL359"/>
      <c r="CM359"/>
      <c r="CN359"/>
      <c r="CO359"/>
      <c r="CP359"/>
      <c r="CQ359"/>
      <c r="CR359"/>
      <c r="CS359"/>
      <c r="CT359"/>
      <c r="CU359"/>
      <c r="CV359"/>
      <c r="CW359"/>
      <c r="CX359"/>
      <c r="CY359"/>
      <c r="CZ359"/>
      <c r="DA359"/>
      <c r="DB359"/>
      <c r="DC359"/>
      <c r="DD359"/>
      <c r="DE359"/>
      <c r="DF359"/>
      <c r="DG359"/>
      <c r="DH359"/>
      <c r="DI359"/>
      <c r="DJ359"/>
      <c r="DK359"/>
      <c r="DL359"/>
      <c r="DM359"/>
      <c r="DN359"/>
      <c r="DO359"/>
      <c r="DP359"/>
      <c r="DQ359"/>
      <c r="DR359"/>
      <c r="DS359"/>
      <c r="DT359"/>
      <c r="DU359"/>
      <c r="DV359"/>
      <c r="DW359"/>
      <c r="DX359"/>
      <c r="DY359"/>
      <c r="DZ359"/>
      <c r="EA359"/>
      <c r="EB359"/>
      <c r="EC359"/>
      <c r="ED359"/>
      <c r="EE359"/>
      <c r="EF359"/>
      <c r="EG359"/>
      <c r="EH359"/>
      <c r="EI359"/>
      <c r="EJ359"/>
      <c r="EK359"/>
      <c r="EL359"/>
      <c r="EM359"/>
      <c r="EN359"/>
      <c r="EO359"/>
      <c r="EP359"/>
      <c r="EQ359"/>
      <c r="ER359"/>
      <c r="ES359"/>
      <c r="ET359"/>
      <c r="EU359"/>
      <c r="EV359"/>
      <c r="EW359"/>
      <c r="EX359"/>
      <c r="EY359"/>
      <c r="EZ359"/>
      <c r="FA359"/>
      <c r="FB359"/>
      <c r="FC359"/>
      <c r="FD359"/>
      <c r="FE359"/>
      <c r="FF359"/>
      <c r="FG359"/>
      <c r="FH359"/>
      <c r="FI359"/>
      <c r="FJ359"/>
      <c r="FK359"/>
      <c r="FL359"/>
      <c r="FM359"/>
      <c r="FN359"/>
      <c r="FO359"/>
      <c r="FP359"/>
      <c r="FQ359"/>
      <c r="FR359"/>
      <c r="FS359"/>
      <c r="FT359"/>
      <c r="FU359"/>
      <c r="FV359"/>
      <c r="FW359"/>
      <c r="FX359"/>
      <c r="FY359"/>
      <c r="FZ359"/>
      <c r="GA359"/>
      <c r="GB359"/>
      <c r="GC359"/>
      <c r="GD359"/>
      <c r="GE359"/>
      <c r="GF359"/>
      <c r="GG359"/>
      <c r="GH359"/>
      <c r="GI359"/>
      <c r="GJ359"/>
      <c r="GK359"/>
      <c r="GL359"/>
      <c r="GM359"/>
      <c r="GN359"/>
      <c r="GO359"/>
      <c r="GP359"/>
      <c r="GQ359"/>
      <c r="GR359"/>
      <c r="GS359"/>
      <c r="GT359"/>
      <c r="GU359"/>
      <c r="GV359"/>
      <c r="GW359"/>
      <c r="GX359"/>
      <c r="GY359"/>
      <c r="GZ359"/>
      <c r="HA359"/>
      <c r="HB359"/>
      <c r="HC359"/>
      <c r="HD359"/>
      <c r="HE359"/>
      <c r="HF359"/>
      <c r="HG359"/>
      <c r="HH359"/>
      <c r="HI359"/>
      <c r="HJ359"/>
      <c r="HK359"/>
      <c r="HL359"/>
      <c r="HM359"/>
      <c r="HN359"/>
      <c r="HO359"/>
      <c r="HP359"/>
      <c r="HQ359"/>
      <c r="HR359"/>
      <c r="HS359"/>
      <c r="HT359"/>
      <c r="HU359"/>
      <c r="HV359"/>
      <c r="HW359"/>
      <c r="HX359"/>
      <c r="HY359"/>
      <c r="HZ359"/>
      <c r="IA359"/>
      <c r="IB359"/>
      <c r="IC359"/>
      <c r="ID359"/>
      <c r="IE359"/>
      <c r="IF359"/>
      <c r="IG359"/>
      <c r="IH359"/>
      <c r="II359"/>
      <c r="IJ359"/>
      <c r="IK359"/>
      <c r="IL359"/>
      <c r="IM359"/>
      <c r="IN359"/>
      <c r="IO359"/>
      <c r="IP359"/>
      <c r="IQ359"/>
      <c r="IR359"/>
      <c r="IS359"/>
      <c r="IT359"/>
      <c r="IU359"/>
      <c r="IV359"/>
      <c r="IW359"/>
      <c r="IX359"/>
      <c r="IY359"/>
      <c r="IZ359"/>
      <c r="JA359"/>
      <c r="JB359"/>
      <c r="JC359"/>
      <c r="JD359"/>
      <c r="JE359"/>
      <c r="JF359"/>
      <c r="JG359"/>
      <c r="JH359"/>
      <c r="JI359"/>
      <c r="JJ359"/>
      <c r="JK359"/>
      <c r="JL359"/>
      <c r="JM359"/>
      <c r="JN359"/>
      <c r="JO359"/>
      <c r="JP359"/>
      <c r="JQ359"/>
      <c r="JR359"/>
      <c r="JS359"/>
      <c r="JT359"/>
      <c r="JU359"/>
      <c r="JV359"/>
      <c r="JW359"/>
      <c r="JX359"/>
      <c r="JY359"/>
      <c r="JZ359"/>
      <c r="KA359"/>
      <c r="KB359"/>
      <c r="KC359"/>
      <c r="KD359"/>
      <c r="KE359"/>
      <c r="KF359"/>
      <c r="KG359"/>
      <c r="KH359"/>
      <c r="KI359"/>
      <c r="KJ359"/>
      <c r="KK359"/>
      <c r="KL359"/>
      <c r="KM359"/>
      <c r="KN359"/>
      <c r="KO359"/>
      <c r="KP359"/>
      <c r="KQ359"/>
      <c r="KR359"/>
      <c r="KS359"/>
    </row>
    <row r="360" spans="2:305" hidden="1" x14ac:dyDescent="0.35">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c r="AS360"/>
      <c r="AT360"/>
      <c r="AU360"/>
      <c r="AV360"/>
      <c r="AW360"/>
      <c r="AX360"/>
      <c r="AY360"/>
      <c r="AZ360"/>
      <c r="BA360"/>
      <c r="BB360"/>
      <c r="BC360"/>
      <c r="BD360"/>
      <c r="BE360"/>
      <c r="BF360"/>
      <c r="BG360"/>
      <c r="BH360"/>
      <c r="BI360"/>
      <c r="BJ360"/>
      <c r="BK360"/>
      <c r="BL360"/>
      <c r="BM360"/>
      <c r="BN360"/>
      <c r="BO360"/>
      <c r="BP360"/>
      <c r="BQ360"/>
      <c r="BR360"/>
      <c r="BS360"/>
      <c r="BT360"/>
      <c r="BU360"/>
      <c r="BV360"/>
      <c r="BW360"/>
      <c r="BX360"/>
      <c r="BY360"/>
      <c r="BZ360"/>
      <c r="CA360"/>
      <c r="CB360"/>
      <c r="CC360"/>
      <c r="CD360"/>
      <c r="CE360"/>
      <c r="CF360"/>
      <c r="CG360"/>
      <c r="CH360"/>
      <c r="CI360"/>
      <c r="CJ360"/>
      <c r="CK360"/>
      <c r="CL360"/>
      <c r="CM360"/>
      <c r="CN360"/>
      <c r="CO360"/>
      <c r="CP360"/>
      <c r="CQ360"/>
      <c r="CR360"/>
      <c r="CS360"/>
      <c r="CT360"/>
      <c r="CU360"/>
      <c r="CV360"/>
      <c r="CW360"/>
      <c r="CX360"/>
      <c r="CY360"/>
      <c r="CZ360"/>
      <c r="DA360"/>
      <c r="DB360"/>
      <c r="DC360"/>
      <c r="DD360"/>
      <c r="DE360"/>
      <c r="DF360"/>
      <c r="DG360"/>
      <c r="DH360"/>
      <c r="DI360"/>
      <c r="DJ360"/>
      <c r="DK360"/>
      <c r="DL360"/>
      <c r="DM360"/>
      <c r="DN360"/>
      <c r="DO360"/>
      <c r="DP360"/>
      <c r="DQ360"/>
      <c r="DR360"/>
      <c r="DS360"/>
      <c r="DT360"/>
      <c r="DU360"/>
      <c r="DV360"/>
      <c r="DW360"/>
      <c r="DX360"/>
      <c r="DY360"/>
      <c r="DZ360"/>
      <c r="EA360"/>
      <c r="EB360"/>
      <c r="EC360"/>
      <c r="ED360"/>
      <c r="EE360"/>
      <c r="EF360"/>
      <c r="EG360"/>
      <c r="EH360"/>
      <c r="EI360"/>
      <c r="EJ360"/>
      <c r="EK360"/>
      <c r="EL360"/>
      <c r="EM360"/>
      <c r="EN360"/>
      <c r="EO360"/>
      <c r="EP360"/>
      <c r="EQ360"/>
      <c r="ER360"/>
      <c r="ES360"/>
      <c r="ET360"/>
      <c r="EU360"/>
      <c r="EV360"/>
      <c r="EW360"/>
      <c r="EX360"/>
      <c r="EY360"/>
      <c r="EZ360"/>
      <c r="FA360"/>
      <c r="FB360"/>
      <c r="FC360"/>
      <c r="FD360"/>
      <c r="FE360"/>
      <c r="FF360"/>
      <c r="FG360"/>
      <c r="FH360"/>
      <c r="FI360"/>
      <c r="FJ360"/>
      <c r="FK360"/>
      <c r="FL360"/>
      <c r="FM360"/>
      <c r="FN360"/>
      <c r="FO360"/>
      <c r="FP360"/>
      <c r="FQ360"/>
      <c r="FR360"/>
      <c r="FS360"/>
      <c r="FT360"/>
      <c r="FU360"/>
      <c r="FV360"/>
      <c r="FW360"/>
      <c r="FX360"/>
      <c r="FY360"/>
      <c r="FZ360"/>
      <c r="GA360"/>
      <c r="GB360"/>
      <c r="GC360"/>
      <c r="GD360"/>
      <c r="GE360"/>
      <c r="GF360"/>
      <c r="GG360"/>
      <c r="GH360"/>
      <c r="GI360"/>
      <c r="GJ360"/>
      <c r="GK360"/>
      <c r="GL360"/>
      <c r="GM360"/>
      <c r="GN360"/>
      <c r="GO360"/>
      <c r="GP360"/>
      <c r="GQ360"/>
      <c r="GR360"/>
      <c r="GS360"/>
      <c r="GT360"/>
      <c r="GU360"/>
      <c r="GV360"/>
      <c r="GW360"/>
      <c r="GX360"/>
      <c r="GY360"/>
      <c r="GZ360"/>
      <c r="HA360"/>
      <c r="HB360"/>
      <c r="HC360"/>
      <c r="HD360"/>
      <c r="HE360"/>
      <c r="HF360"/>
      <c r="HG360"/>
      <c r="HH360"/>
      <c r="HI360"/>
      <c r="HJ360"/>
      <c r="HK360"/>
      <c r="HL360"/>
      <c r="HM360"/>
      <c r="HN360"/>
      <c r="HO360"/>
      <c r="HP360"/>
      <c r="HQ360"/>
      <c r="HR360"/>
      <c r="HS360"/>
      <c r="HT360"/>
      <c r="HU360"/>
      <c r="HV360"/>
      <c r="HW360"/>
      <c r="HX360"/>
      <c r="HY360"/>
      <c r="HZ360"/>
      <c r="IA360"/>
      <c r="IB360"/>
      <c r="IC360"/>
      <c r="ID360"/>
      <c r="IE360"/>
      <c r="IF360"/>
      <c r="IG360"/>
      <c r="IH360"/>
      <c r="II360"/>
      <c r="IJ360"/>
      <c r="IK360"/>
      <c r="IL360"/>
      <c r="IM360"/>
      <c r="IN360"/>
      <c r="IO360"/>
      <c r="IP360"/>
      <c r="IQ360"/>
      <c r="IR360"/>
      <c r="IS360"/>
      <c r="IT360"/>
      <c r="IU360"/>
      <c r="IV360"/>
      <c r="IW360"/>
      <c r="IX360"/>
      <c r="IY360"/>
      <c r="IZ360"/>
      <c r="JA360"/>
      <c r="JB360"/>
      <c r="JC360"/>
      <c r="JD360"/>
      <c r="JE360"/>
      <c r="JF360"/>
      <c r="JG360"/>
      <c r="JH360"/>
      <c r="JI360"/>
      <c r="JJ360"/>
      <c r="JK360"/>
      <c r="JL360"/>
      <c r="JM360"/>
      <c r="JN360"/>
      <c r="JO360"/>
      <c r="JP360"/>
      <c r="JQ360"/>
      <c r="JR360"/>
      <c r="JS360"/>
      <c r="JT360"/>
      <c r="JU360"/>
      <c r="JV360"/>
      <c r="JW360"/>
      <c r="JX360"/>
      <c r="JY360"/>
      <c r="JZ360"/>
      <c r="KA360"/>
      <c r="KB360"/>
      <c r="KC360"/>
      <c r="KD360"/>
      <c r="KE360"/>
      <c r="KF360"/>
      <c r="KG360"/>
      <c r="KH360"/>
      <c r="KI360"/>
      <c r="KJ360"/>
      <c r="KK360"/>
      <c r="KL360"/>
      <c r="KM360"/>
      <c r="KN360"/>
      <c r="KO360"/>
      <c r="KP360"/>
      <c r="KQ360"/>
      <c r="KR360"/>
      <c r="KS360"/>
    </row>
    <row r="361" spans="2:305" hidden="1" x14ac:dyDescent="0.35">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c r="AS361"/>
      <c r="AT361"/>
      <c r="AU361"/>
      <c r="AV361"/>
      <c r="AW361"/>
      <c r="AX361"/>
      <c r="AY361"/>
      <c r="AZ361"/>
      <c r="BA361"/>
      <c r="BB361"/>
      <c r="BC361"/>
      <c r="BD361"/>
      <c r="BE361"/>
      <c r="BF361"/>
      <c r="BG361"/>
      <c r="BH361"/>
      <c r="BI361"/>
      <c r="BJ361"/>
      <c r="BK361"/>
      <c r="BL361"/>
      <c r="BM361"/>
      <c r="BN361"/>
      <c r="BO361"/>
      <c r="BP361"/>
      <c r="BQ361"/>
      <c r="BR361"/>
      <c r="BS361"/>
      <c r="BT361"/>
      <c r="BU361"/>
      <c r="BV361"/>
      <c r="BW361"/>
      <c r="BX361"/>
      <c r="BY361"/>
      <c r="BZ361"/>
      <c r="CA361"/>
      <c r="CB361"/>
      <c r="CC361"/>
      <c r="CD361"/>
      <c r="CE361"/>
      <c r="CF361"/>
      <c r="CG361"/>
      <c r="CH361"/>
      <c r="CI361"/>
      <c r="CJ361"/>
      <c r="CK361"/>
      <c r="CL361"/>
      <c r="CM361"/>
      <c r="CN361"/>
      <c r="CO361"/>
      <c r="CP361"/>
      <c r="CQ361"/>
      <c r="CR361"/>
      <c r="CS361"/>
      <c r="CT361"/>
      <c r="CU361"/>
      <c r="CV361"/>
      <c r="CW361"/>
      <c r="CX361"/>
      <c r="CY361"/>
      <c r="CZ361"/>
      <c r="DA361"/>
      <c r="DB361"/>
      <c r="DC361"/>
      <c r="DD361"/>
      <c r="DE361"/>
      <c r="DF361"/>
      <c r="DG361"/>
      <c r="DH361"/>
      <c r="DI361"/>
      <c r="DJ361"/>
      <c r="DK361"/>
      <c r="DL361"/>
      <c r="DM361"/>
      <c r="DN361"/>
      <c r="DO361"/>
      <c r="DP361"/>
      <c r="DQ361"/>
      <c r="DR361"/>
      <c r="DS361"/>
      <c r="DT361"/>
      <c r="DU361"/>
      <c r="DV361"/>
      <c r="DW361"/>
      <c r="DX361"/>
      <c r="DY361"/>
      <c r="DZ361"/>
      <c r="EA361"/>
      <c r="EB361"/>
      <c r="EC361"/>
      <c r="ED361"/>
      <c r="EE361"/>
      <c r="EF361"/>
      <c r="EG361"/>
      <c r="EH361"/>
      <c r="EI361"/>
      <c r="EJ361"/>
      <c r="EK361"/>
      <c r="EL361"/>
      <c r="EM361"/>
      <c r="EN361"/>
      <c r="EO361"/>
      <c r="EP361"/>
      <c r="EQ361"/>
      <c r="ER361"/>
      <c r="ES361"/>
      <c r="ET361"/>
      <c r="EU361"/>
      <c r="EV361"/>
      <c r="EW361"/>
      <c r="EX361"/>
      <c r="EY361"/>
      <c r="EZ361"/>
      <c r="FA361"/>
      <c r="FB361"/>
      <c r="FC361"/>
      <c r="FD361"/>
      <c r="FE361"/>
      <c r="FF361"/>
      <c r="FG361"/>
      <c r="FH361"/>
      <c r="FI361"/>
      <c r="FJ361"/>
      <c r="FK361"/>
      <c r="FL361"/>
      <c r="FM361"/>
      <c r="FN361"/>
      <c r="FO361"/>
      <c r="FP361"/>
      <c r="FQ361"/>
      <c r="FR361"/>
      <c r="FS361"/>
      <c r="FT361"/>
      <c r="FU361"/>
      <c r="FV361"/>
      <c r="FW361"/>
      <c r="FX361"/>
      <c r="FY361"/>
      <c r="FZ361"/>
      <c r="GA361"/>
      <c r="GB361"/>
      <c r="GC361"/>
      <c r="GD361"/>
      <c r="GE361"/>
      <c r="GF361"/>
      <c r="GG361"/>
      <c r="GH361"/>
      <c r="GI361"/>
      <c r="GJ361"/>
      <c r="GK361"/>
      <c r="GL361"/>
      <c r="GM361"/>
      <c r="GN361"/>
      <c r="GO361"/>
      <c r="GP361"/>
      <c r="GQ361"/>
      <c r="GR361"/>
      <c r="GS361"/>
      <c r="GT361"/>
      <c r="GU361"/>
      <c r="GV361"/>
      <c r="GW361"/>
      <c r="GX361"/>
      <c r="GY361"/>
      <c r="GZ361"/>
      <c r="HA361"/>
      <c r="HB361"/>
      <c r="HC361"/>
      <c r="HD361"/>
      <c r="HE361"/>
      <c r="HF361"/>
      <c r="HG361"/>
      <c r="HH361"/>
      <c r="HI361"/>
      <c r="HJ361"/>
      <c r="HK361"/>
      <c r="HL361"/>
      <c r="HM361"/>
      <c r="HN361"/>
      <c r="HO361"/>
      <c r="HP361"/>
      <c r="HQ361"/>
      <c r="HR361"/>
      <c r="HS361"/>
      <c r="HT361"/>
      <c r="HU361"/>
      <c r="HV361"/>
      <c r="HW361"/>
      <c r="HX361"/>
      <c r="HY361"/>
      <c r="HZ361"/>
      <c r="IA361"/>
      <c r="IB361"/>
      <c r="IC361"/>
      <c r="ID361"/>
      <c r="IE361"/>
      <c r="IF361"/>
      <c r="IG361"/>
      <c r="IH361"/>
      <c r="II361"/>
      <c r="IJ361"/>
      <c r="IK361"/>
      <c r="IL361"/>
      <c r="IM361"/>
      <c r="IN361"/>
      <c r="IO361"/>
      <c r="IP361"/>
      <c r="IQ361"/>
      <c r="IR361"/>
      <c r="IS361"/>
      <c r="IT361"/>
      <c r="IU361"/>
      <c r="IV361"/>
      <c r="IW361"/>
      <c r="IX361"/>
      <c r="IY361"/>
      <c r="IZ361"/>
      <c r="JA361"/>
      <c r="JB361"/>
      <c r="JC361"/>
      <c r="JD361"/>
      <c r="JE361"/>
      <c r="JF361"/>
      <c r="JG361"/>
      <c r="JH361"/>
      <c r="JI361"/>
      <c r="JJ361"/>
      <c r="JK361"/>
      <c r="JL361"/>
      <c r="JM361"/>
      <c r="JN361"/>
      <c r="JO361"/>
      <c r="JP361"/>
      <c r="JQ361"/>
      <c r="JR361"/>
      <c r="JS361"/>
      <c r="JT361"/>
      <c r="JU361"/>
      <c r="JV361"/>
      <c r="JW361"/>
      <c r="JX361"/>
      <c r="JY361"/>
      <c r="JZ361"/>
      <c r="KA361"/>
      <c r="KB361"/>
      <c r="KC361"/>
      <c r="KD361"/>
      <c r="KE361"/>
      <c r="KF361"/>
      <c r="KG361"/>
      <c r="KH361"/>
      <c r="KI361"/>
      <c r="KJ361"/>
      <c r="KK361"/>
      <c r="KL361"/>
      <c r="KM361"/>
      <c r="KN361"/>
      <c r="KO361"/>
      <c r="KP361"/>
      <c r="KQ361"/>
      <c r="KR361"/>
      <c r="KS361"/>
    </row>
    <row r="362" spans="2:305" hidden="1" x14ac:dyDescent="0.35">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c r="AS362"/>
      <c r="AT362"/>
      <c r="AU362"/>
      <c r="AV362"/>
      <c r="AW362"/>
      <c r="AX362"/>
      <c r="AY362"/>
      <c r="AZ362"/>
      <c r="BA362"/>
      <c r="BB362"/>
      <c r="BC362"/>
      <c r="BD362"/>
      <c r="BE362"/>
      <c r="BF362"/>
      <c r="BG362"/>
      <c r="BH362"/>
      <c r="BI362"/>
      <c r="BJ362"/>
      <c r="BK362"/>
      <c r="BL362"/>
      <c r="BM362"/>
      <c r="BN362"/>
      <c r="BO362"/>
      <c r="BP362"/>
      <c r="BQ362"/>
      <c r="BR362"/>
      <c r="BS362"/>
      <c r="BT362"/>
      <c r="BU362"/>
      <c r="BV362"/>
      <c r="BW362"/>
      <c r="BX362"/>
      <c r="BY362"/>
      <c r="BZ362"/>
      <c r="CA362"/>
      <c r="CB362"/>
      <c r="CC362"/>
      <c r="CD362"/>
      <c r="CE362"/>
      <c r="CF362"/>
      <c r="CG362"/>
      <c r="CH362"/>
      <c r="CI362"/>
      <c r="CJ362"/>
      <c r="CK362"/>
      <c r="CL362"/>
      <c r="CM362"/>
      <c r="CN362"/>
      <c r="CO362"/>
      <c r="CP362"/>
      <c r="CQ362"/>
      <c r="CR362"/>
      <c r="CS362"/>
      <c r="CT362"/>
      <c r="CU362"/>
      <c r="CV362"/>
      <c r="CW362"/>
      <c r="CX362"/>
      <c r="CY362"/>
      <c r="CZ362"/>
      <c r="DA362"/>
      <c r="DB362"/>
      <c r="DC362"/>
      <c r="DD362"/>
      <c r="DE362"/>
      <c r="DF362"/>
      <c r="DG362"/>
      <c r="DH362"/>
      <c r="DI362"/>
      <c r="DJ362"/>
      <c r="DK362"/>
      <c r="DL362"/>
      <c r="DM362"/>
      <c r="DN362"/>
      <c r="DO362"/>
      <c r="DP362"/>
      <c r="DQ362"/>
      <c r="DR362"/>
      <c r="DS362"/>
      <c r="DT362"/>
      <c r="DU362"/>
      <c r="DV362"/>
      <c r="DW362"/>
      <c r="DX362"/>
      <c r="DY362"/>
      <c r="DZ362"/>
      <c r="EA362"/>
      <c r="EB362"/>
      <c r="EC362"/>
      <c r="ED362"/>
      <c r="EE362"/>
      <c r="EF362"/>
      <c r="EG362"/>
      <c r="EH362"/>
      <c r="EI362"/>
      <c r="EJ362"/>
      <c r="EK362"/>
      <c r="EL362"/>
      <c r="EM362"/>
      <c r="EN362"/>
      <c r="EO362"/>
      <c r="EP362"/>
      <c r="EQ362"/>
      <c r="ER362"/>
      <c r="ES362"/>
      <c r="ET362"/>
      <c r="EU362"/>
      <c r="EV362"/>
      <c r="EW362"/>
      <c r="EX362"/>
      <c r="EY362"/>
      <c r="EZ362"/>
      <c r="FA362"/>
      <c r="FB362"/>
      <c r="FC362"/>
      <c r="FD362"/>
      <c r="FE362"/>
      <c r="FF362"/>
      <c r="FG362"/>
      <c r="FH362"/>
      <c r="FI362"/>
      <c r="FJ362"/>
      <c r="FK362"/>
      <c r="FL362"/>
      <c r="FM362"/>
      <c r="FN362"/>
      <c r="FO362"/>
      <c r="FP362"/>
      <c r="FQ362"/>
      <c r="FR362"/>
      <c r="FS362"/>
      <c r="FT362"/>
      <c r="FU362"/>
      <c r="FV362"/>
      <c r="FW362"/>
      <c r="FX362"/>
      <c r="FY362"/>
      <c r="FZ362"/>
      <c r="GA362"/>
      <c r="GB362"/>
      <c r="GC362"/>
      <c r="GD362"/>
      <c r="GE362"/>
      <c r="GF362"/>
      <c r="GG362"/>
      <c r="GH362"/>
      <c r="GI362"/>
      <c r="GJ362"/>
      <c r="GK362"/>
      <c r="GL362"/>
      <c r="GM362"/>
      <c r="GN362"/>
      <c r="GO362"/>
      <c r="GP362"/>
      <c r="GQ362"/>
      <c r="GR362"/>
      <c r="GS362"/>
      <c r="GT362"/>
      <c r="GU362"/>
      <c r="GV362"/>
      <c r="GW362"/>
      <c r="GX362"/>
      <c r="GY362"/>
      <c r="GZ362"/>
      <c r="HA362"/>
      <c r="HB362"/>
      <c r="HC362"/>
      <c r="HD362"/>
      <c r="HE362"/>
      <c r="HF362"/>
      <c r="HG362"/>
      <c r="HH362"/>
      <c r="HI362"/>
      <c r="HJ362"/>
      <c r="HK362"/>
      <c r="HL362"/>
      <c r="HM362"/>
      <c r="HN362"/>
      <c r="HO362"/>
      <c r="HP362"/>
      <c r="HQ362"/>
      <c r="HR362"/>
      <c r="HS362"/>
      <c r="HT362"/>
      <c r="HU362"/>
      <c r="HV362"/>
      <c r="HW362"/>
      <c r="HX362"/>
      <c r="HY362"/>
      <c r="HZ362"/>
      <c r="IA362"/>
      <c r="IB362"/>
      <c r="IC362"/>
      <c r="ID362"/>
      <c r="IE362"/>
      <c r="IF362"/>
      <c r="IG362"/>
      <c r="IH362"/>
      <c r="II362"/>
      <c r="IJ362"/>
      <c r="IK362"/>
      <c r="IL362"/>
      <c r="IM362"/>
      <c r="IN362"/>
      <c r="IO362"/>
      <c r="IP362"/>
      <c r="IQ362"/>
      <c r="IR362"/>
      <c r="IS362"/>
      <c r="IT362"/>
      <c r="IU362"/>
      <c r="IV362"/>
      <c r="IW362"/>
      <c r="IX362"/>
      <c r="IY362"/>
      <c r="IZ362"/>
      <c r="JA362"/>
      <c r="JB362"/>
      <c r="JC362"/>
      <c r="JD362"/>
      <c r="JE362"/>
      <c r="JF362"/>
      <c r="JG362"/>
      <c r="JH362"/>
      <c r="JI362"/>
      <c r="JJ362"/>
      <c r="JK362"/>
      <c r="JL362"/>
      <c r="JM362"/>
      <c r="JN362"/>
      <c r="JO362"/>
      <c r="JP362"/>
      <c r="JQ362"/>
      <c r="JR362"/>
      <c r="JS362"/>
      <c r="JT362"/>
      <c r="JU362"/>
      <c r="JV362"/>
      <c r="JW362"/>
      <c r="JX362"/>
      <c r="JY362"/>
      <c r="JZ362"/>
      <c r="KA362"/>
      <c r="KB362"/>
      <c r="KC362"/>
      <c r="KD362"/>
      <c r="KE362"/>
      <c r="KF362"/>
      <c r="KG362"/>
      <c r="KH362"/>
      <c r="KI362"/>
      <c r="KJ362"/>
      <c r="KK362"/>
      <c r="KL362"/>
      <c r="KM362"/>
      <c r="KN362"/>
      <c r="KO362"/>
      <c r="KP362"/>
      <c r="KQ362"/>
      <c r="KR362"/>
      <c r="KS362"/>
    </row>
    <row r="363" spans="2:305" hidden="1" x14ac:dyDescent="0.35">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c r="AS363"/>
      <c r="AT363"/>
      <c r="AU363"/>
      <c r="AV363"/>
      <c r="AW363"/>
      <c r="AX363"/>
      <c r="AY363"/>
      <c r="AZ363"/>
      <c r="BA363"/>
      <c r="BB363"/>
      <c r="BC363"/>
      <c r="BD363"/>
      <c r="BE363"/>
      <c r="BF363"/>
      <c r="BG363"/>
      <c r="BH363"/>
      <c r="BI363"/>
      <c r="BJ363"/>
      <c r="BK363"/>
      <c r="BL363"/>
      <c r="BM363"/>
      <c r="BN363"/>
      <c r="BO363"/>
      <c r="BP363"/>
      <c r="BQ363"/>
      <c r="BR363"/>
      <c r="BS363"/>
      <c r="BT363"/>
      <c r="BU363"/>
      <c r="BV363"/>
      <c r="BW363"/>
      <c r="BX363"/>
      <c r="BY363"/>
      <c r="BZ363"/>
      <c r="CA363"/>
      <c r="CB363"/>
      <c r="CC363"/>
      <c r="CD363"/>
      <c r="CE363"/>
      <c r="CF363"/>
      <c r="CG363"/>
      <c r="CH363"/>
      <c r="CI363"/>
      <c r="CJ363"/>
      <c r="CK363"/>
      <c r="CL363"/>
      <c r="CM363"/>
      <c r="CN363"/>
      <c r="CO363"/>
      <c r="CP363"/>
      <c r="CQ363"/>
      <c r="CR363"/>
      <c r="CS363"/>
      <c r="CT363"/>
      <c r="CU363"/>
      <c r="CV363"/>
      <c r="CW363"/>
      <c r="CX363"/>
      <c r="CY363"/>
      <c r="CZ363"/>
      <c r="DA363"/>
      <c r="DB363"/>
      <c r="DC363"/>
      <c r="DD363"/>
      <c r="DE363"/>
      <c r="DF363"/>
      <c r="DG363"/>
      <c r="DH363"/>
      <c r="DI363"/>
      <c r="DJ363"/>
      <c r="DK363"/>
      <c r="DL363"/>
      <c r="DM363"/>
      <c r="DN363"/>
      <c r="DO363"/>
      <c r="DP363"/>
      <c r="DQ363"/>
      <c r="DR363"/>
      <c r="DS363"/>
      <c r="DT363"/>
      <c r="DU363"/>
      <c r="DV363"/>
      <c r="DW363"/>
      <c r="DX363"/>
      <c r="DY363"/>
      <c r="DZ363"/>
      <c r="EA363"/>
      <c r="EB363"/>
      <c r="EC363"/>
      <c r="ED363"/>
      <c r="EE363"/>
      <c r="EF363"/>
      <c r="EG363"/>
      <c r="EH363"/>
      <c r="EI363"/>
      <c r="EJ363"/>
      <c r="EK363"/>
      <c r="EL363"/>
      <c r="EM363"/>
      <c r="EN363"/>
      <c r="EO363"/>
      <c r="EP363"/>
      <c r="EQ363"/>
      <c r="ER363"/>
      <c r="ES363"/>
      <c r="ET363"/>
      <c r="EU363"/>
      <c r="EV363"/>
      <c r="EW363"/>
      <c r="EX363"/>
      <c r="EY363"/>
      <c r="EZ363"/>
      <c r="FA363"/>
      <c r="FB363"/>
      <c r="FC363"/>
      <c r="FD363"/>
      <c r="FE363"/>
      <c r="FF363"/>
      <c r="FG363"/>
      <c r="FH363"/>
      <c r="FI363"/>
      <c r="FJ363"/>
      <c r="FK363"/>
      <c r="FL363"/>
      <c r="FM363"/>
      <c r="FN363"/>
      <c r="FO363"/>
      <c r="FP363"/>
      <c r="FQ363"/>
      <c r="FR363"/>
      <c r="FS363"/>
      <c r="FT363"/>
      <c r="FU363"/>
      <c r="FV363"/>
      <c r="FW363"/>
      <c r="FX363"/>
      <c r="FY363"/>
      <c r="FZ363"/>
      <c r="GA363"/>
      <c r="GB363"/>
      <c r="GC363"/>
      <c r="GD363"/>
      <c r="GE363"/>
      <c r="GF363"/>
      <c r="GG363"/>
      <c r="GH363"/>
      <c r="GI363"/>
      <c r="GJ363"/>
      <c r="GK363"/>
      <c r="GL363"/>
      <c r="GM363"/>
      <c r="GN363"/>
      <c r="GO363"/>
      <c r="GP363"/>
      <c r="GQ363"/>
      <c r="GR363"/>
      <c r="GS363"/>
      <c r="GT363"/>
      <c r="GU363"/>
      <c r="GV363"/>
      <c r="GW363"/>
      <c r="GX363"/>
      <c r="GY363"/>
      <c r="GZ363"/>
      <c r="HA363"/>
      <c r="HB363"/>
      <c r="HC363"/>
      <c r="HD363"/>
      <c r="HE363"/>
      <c r="HF363"/>
      <c r="HG363"/>
      <c r="HH363"/>
      <c r="HI363"/>
      <c r="HJ363"/>
      <c r="HK363"/>
      <c r="HL363"/>
      <c r="HM363"/>
      <c r="HN363"/>
      <c r="HO363"/>
      <c r="HP363"/>
      <c r="HQ363"/>
      <c r="HR363"/>
      <c r="HS363"/>
      <c r="HT363"/>
      <c r="HU363"/>
      <c r="HV363"/>
      <c r="HW363"/>
      <c r="HX363"/>
      <c r="HY363"/>
      <c r="HZ363"/>
      <c r="IA363"/>
      <c r="IB363"/>
      <c r="IC363"/>
      <c r="ID363"/>
      <c r="IE363"/>
      <c r="IF363"/>
      <c r="IG363"/>
      <c r="IH363"/>
      <c r="II363"/>
      <c r="IJ363"/>
      <c r="IK363"/>
      <c r="IL363"/>
      <c r="IM363"/>
      <c r="IN363"/>
      <c r="IO363"/>
      <c r="IP363"/>
      <c r="IQ363"/>
      <c r="IR363"/>
      <c r="IS363"/>
      <c r="IT363"/>
      <c r="IU363"/>
      <c r="IV363"/>
      <c r="IW363"/>
      <c r="IX363"/>
      <c r="IY363"/>
      <c r="IZ363"/>
      <c r="JA363"/>
      <c r="JB363"/>
      <c r="JC363"/>
      <c r="JD363"/>
      <c r="JE363"/>
      <c r="JF363"/>
      <c r="JG363"/>
      <c r="JH363"/>
      <c r="JI363"/>
      <c r="JJ363"/>
      <c r="JK363"/>
      <c r="JL363"/>
      <c r="JM363"/>
      <c r="JN363"/>
      <c r="JO363"/>
      <c r="JP363"/>
      <c r="JQ363"/>
      <c r="JR363"/>
      <c r="JS363"/>
      <c r="JT363"/>
      <c r="JU363"/>
      <c r="JV363"/>
      <c r="JW363"/>
      <c r="JX363"/>
      <c r="JY363"/>
      <c r="JZ363"/>
      <c r="KA363"/>
      <c r="KB363"/>
      <c r="KC363"/>
      <c r="KD363"/>
      <c r="KE363"/>
      <c r="KF363"/>
      <c r="KG363"/>
      <c r="KH363"/>
      <c r="KI363"/>
      <c r="KJ363"/>
      <c r="KK363"/>
      <c r="KL363"/>
      <c r="KM363"/>
      <c r="KN363"/>
      <c r="KO363"/>
      <c r="KP363"/>
      <c r="KQ363"/>
      <c r="KR363"/>
      <c r="KS363"/>
    </row>
    <row r="364" spans="2:305" hidden="1" x14ac:dyDescent="0.35">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c r="AS364"/>
      <c r="AT364"/>
      <c r="AU364"/>
      <c r="AV364"/>
      <c r="AW364"/>
      <c r="AX364"/>
      <c r="AY364"/>
      <c r="AZ364"/>
      <c r="BA364"/>
      <c r="BB364"/>
      <c r="BC364"/>
      <c r="BD364"/>
      <c r="BE364"/>
      <c r="BF364"/>
      <c r="BG364"/>
      <c r="BH364"/>
      <c r="BI364"/>
      <c r="BJ364"/>
      <c r="BK364"/>
      <c r="BL364"/>
      <c r="BM364"/>
      <c r="BN364"/>
      <c r="BO364"/>
      <c r="BP364"/>
      <c r="BQ364"/>
      <c r="BR364"/>
      <c r="BS364"/>
      <c r="BT364"/>
      <c r="BU364"/>
      <c r="BV364"/>
      <c r="BW364"/>
      <c r="BX364"/>
      <c r="BY364"/>
      <c r="BZ364"/>
      <c r="CA364"/>
      <c r="CB364"/>
      <c r="CC364"/>
      <c r="CD364"/>
      <c r="CE364"/>
      <c r="CF364"/>
      <c r="CG364"/>
      <c r="CH364"/>
      <c r="CI364"/>
      <c r="CJ364"/>
      <c r="CK364"/>
      <c r="CL364"/>
      <c r="CM364"/>
      <c r="CN364"/>
      <c r="CO364"/>
      <c r="CP364"/>
      <c r="CQ364"/>
      <c r="CR364"/>
      <c r="CS364"/>
      <c r="CT364"/>
      <c r="CU364"/>
      <c r="CV364"/>
      <c r="CW364"/>
      <c r="CX364"/>
      <c r="CY364"/>
      <c r="CZ364"/>
      <c r="DA364"/>
      <c r="DB364"/>
      <c r="DC364"/>
      <c r="DD364"/>
      <c r="DE364"/>
      <c r="DF364"/>
      <c r="DG364"/>
      <c r="DH364"/>
      <c r="DI364"/>
      <c r="DJ364"/>
      <c r="DK364"/>
      <c r="DL364"/>
      <c r="DM364"/>
      <c r="DN364"/>
      <c r="DO364"/>
      <c r="DP364"/>
      <c r="DQ364"/>
      <c r="DR364"/>
      <c r="DS364"/>
      <c r="DT364"/>
      <c r="DU364"/>
      <c r="DV364"/>
      <c r="DW364"/>
      <c r="DX364"/>
      <c r="DY364"/>
      <c r="DZ364"/>
      <c r="EA364"/>
      <c r="EB364"/>
      <c r="EC364"/>
      <c r="ED364"/>
      <c r="EE364"/>
      <c r="EF364"/>
      <c r="EG364"/>
      <c r="EH364"/>
      <c r="EI364"/>
      <c r="EJ364"/>
      <c r="EK364"/>
      <c r="EL364"/>
      <c r="EM364"/>
      <c r="EN364"/>
      <c r="EO364"/>
      <c r="EP364"/>
      <c r="EQ364"/>
      <c r="ER364"/>
      <c r="ES364"/>
      <c r="ET364"/>
      <c r="EU364"/>
      <c r="EV364"/>
      <c r="EW364"/>
      <c r="EX364"/>
      <c r="EY364"/>
      <c r="EZ364"/>
      <c r="FA364"/>
      <c r="FB364"/>
      <c r="FC364"/>
      <c r="FD364"/>
      <c r="FE364"/>
      <c r="FF364"/>
      <c r="FG364"/>
      <c r="FH364"/>
      <c r="FI364"/>
      <c r="FJ364"/>
      <c r="FK364"/>
      <c r="FL364"/>
      <c r="FM364"/>
      <c r="FN364"/>
      <c r="FO364"/>
      <c r="FP364"/>
      <c r="FQ364"/>
      <c r="FR364"/>
      <c r="FS364"/>
      <c r="FT364"/>
      <c r="FU364"/>
      <c r="FV364"/>
      <c r="FW364"/>
      <c r="FX364"/>
      <c r="FY364"/>
      <c r="FZ364"/>
      <c r="GA364"/>
      <c r="GB364"/>
      <c r="GC364"/>
      <c r="GD364"/>
      <c r="GE364"/>
      <c r="GF364"/>
      <c r="GG364"/>
      <c r="GH364"/>
      <c r="GI364"/>
      <c r="GJ364"/>
      <c r="GK364"/>
      <c r="GL364"/>
      <c r="GM364"/>
      <c r="GN364"/>
      <c r="GO364"/>
      <c r="GP364"/>
      <c r="GQ364"/>
      <c r="GR364"/>
      <c r="GS364"/>
      <c r="GT364"/>
      <c r="GU364"/>
      <c r="GV364"/>
      <c r="GW364"/>
      <c r="GX364"/>
      <c r="GY364"/>
      <c r="GZ364"/>
      <c r="HA364"/>
      <c r="HB364"/>
      <c r="HC364"/>
      <c r="HD364"/>
      <c r="HE364"/>
      <c r="HF364"/>
      <c r="HG364"/>
      <c r="HH364"/>
      <c r="HI364"/>
      <c r="HJ364"/>
      <c r="HK364"/>
      <c r="HL364"/>
      <c r="HM364"/>
      <c r="HN364"/>
      <c r="HO364"/>
      <c r="HP364"/>
      <c r="HQ364"/>
      <c r="HR364"/>
      <c r="HS364"/>
      <c r="HT364"/>
      <c r="HU364"/>
      <c r="HV364"/>
      <c r="HW364"/>
      <c r="HX364"/>
      <c r="HY364"/>
      <c r="HZ364"/>
      <c r="IA364"/>
      <c r="IB364"/>
      <c r="IC364"/>
      <c r="ID364"/>
      <c r="IE364"/>
      <c r="IF364"/>
      <c r="IG364"/>
      <c r="IH364"/>
      <c r="II364"/>
      <c r="IJ364"/>
      <c r="IK364"/>
      <c r="IL364"/>
      <c r="IM364"/>
      <c r="IN364"/>
      <c r="IO364"/>
      <c r="IP364"/>
      <c r="IQ364"/>
      <c r="IR364"/>
      <c r="IS364"/>
      <c r="IT364"/>
      <c r="IU364"/>
      <c r="IV364"/>
      <c r="IW364"/>
      <c r="IX364"/>
      <c r="IY364"/>
      <c r="IZ364"/>
      <c r="JA364"/>
      <c r="JB364"/>
      <c r="JC364"/>
      <c r="JD364"/>
      <c r="JE364"/>
      <c r="JF364"/>
      <c r="JG364"/>
      <c r="JH364"/>
      <c r="JI364"/>
      <c r="JJ364"/>
      <c r="JK364"/>
      <c r="JL364"/>
      <c r="JM364"/>
      <c r="JN364"/>
      <c r="JO364"/>
      <c r="JP364"/>
      <c r="JQ364"/>
      <c r="JR364"/>
      <c r="JS364"/>
      <c r="JT364"/>
      <c r="JU364"/>
      <c r="JV364"/>
      <c r="JW364"/>
      <c r="JX364"/>
      <c r="JY364"/>
      <c r="JZ364"/>
      <c r="KA364"/>
      <c r="KB364"/>
      <c r="KC364"/>
      <c r="KD364"/>
      <c r="KE364"/>
      <c r="KF364"/>
      <c r="KG364"/>
      <c r="KH364"/>
      <c r="KI364"/>
      <c r="KJ364"/>
      <c r="KK364"/>
      <c r="KL364"/>
      <c r="KM364"/>
      <c r="KN364"/>
      <c r="KO364"/>
      <c r="KP364"/>
      <c r="KQ364"/>
      <c r="KR364"/>
      <c r="KS364"/>
    </row>
    <row r="365" spans="2:305" hidden="1" x14ac:dyDescent="0.3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c r="AS365"/>
      <c r="AT365"/>
      <c r="AU365"/>
      <c r="AV365"/>
      <c r="AW365"/>
      <c r="AX365"/>
      <c r="AY365"/>
      <c r="AZ365"/>
      <c r="BA365"/>
      <c r="BB365"/>
      <c r="BC365"/>
      <c r="BD365"/>
      <c r="BE365"/>
      <c r="BF365"/>
      <c r="BG365"/>
      <c r="BH365"/>
      <c r="BI365"/>
      <c r="BJ365"/>
      <c r="BK365"/>
      <c r="BL365"/>
      <c r="BM365"/>
      <c r="BN365"/>
      <c r="BO365"/>
      <c r="BP365"/>
      <c r="BQ365"/>
      <c r="BR365"/>
      <c r="BS365"/>
      <c r="BT365"/>
      <c r="BU365"/>
      <c r="BV365"/>
      <c r="BW365"/>
      <c r="BX365"/>
      <c r="BY365"/>
      <c r="BZ365"/>
      <c r="CA365"/>
      <c r="CB365"/>
      <c r="CC365"/>
      <c r="CD365"/>
      <c r="CE365"/>
      <c r="CF365"/>
      <c r="CG365"/>
      <c r="CH365"/>
      <c r="CI365"/>
      <c r="CJ365"/>
      <c r="CK365"/>
      <c r="CL365"/>
      <c r="CM365"/>
      <c r="CN365"/>
      <c r="CO365"/>
      <c r="CP365"/>
      <c r="CQ365"/>
      <c r="CR365"/>
      <c r="CS365"/>
      <c r="CT365"/>
      <c r="CU365"/>
      <c r="CV365"/>
      <c r="CW365"/>
      <c r="CX365"/>
      <c r="CY365"/>
      <c r="CZ365"/>
      <c r="DA365"/>
      <c r="DB365"/>
      <c r="DC365"/>
      <c r="DD365"/>
      <c r="DE365"/>
      <c r="DF365"/>
      <c r="DG365"/>
      <c r="DH365"/>
      <c r="DI365"/>
      <c r="DJ365"/>
      <c r="DK365"/>
      <c r="DL365"/>
      <c r="DM365"/>
      <c r="DN365"/>
      <c r="DO365"/>
      <c r="DP365"/>
      <c r="DQ365"/>
      <c r="DR365"/>
      <c r="DS365"/>
      <c r="DT365"/>
      <c r="DU365"/>
      <c r="DV365"/>
      <c r="DW365"/>
      <c r="DX365"/>
      <c r="DY365"/>
      <c r="DZ365"/>
      <c r="EA365"/>
      <c r="EB365"/>
      <c r="EC365"/>
      <c r="ED365"/>
      <c r="EE365"/>
      <c r="EF365"/>
      <c r="EG365"/>
      <c r="EH365"/>
      <c r="EI365"/>
      <c r="EJ365"/>
      <c r="EK365"/>
      <c r="EL365"/>
      <c r="EM365"/>
      <c r="EN365"/>
      <c r="EO365"/>
      <c r="EP365"/>
      <c r="EQ365"/>
      <c r="ER365"/>
      <c r="ES365"/>
      <c r="ET365"/>
      <c r="EU365"/>
      <c r="EV365"/>
      <c r="EW365"/>
      <c r="EX365"/>
      <c r="EY365"/>
      <c r="EZ365"/>
      <c r="FA365"/>
      <c r="FB365"/>
      <c r="FC365"/>
      <c r="FD365"/>
      <c r="FE365"/>
      <c r="FF365"/>
      <c r="FG365"/>
      <c r="FH365"/>
      <c r="FI365"/>
      <c r="FJ365"/>
      <c r="FK365"/>
      <c r="FL365"/>
      <c r="FM365"/>
      <c r="FN365"/>
      <c r="FO365"/>
      <c r="FP365"/>
      <c r="FQ365"/>
      <c r="FR365"/>
      <c r="FS365"/>
      <c r="FT365"/>
      <c r="FU365"/>
      <c r="FV365"/>
      <c r="FW365"/>
      <c r="FX365"/>
      <c r="FY365"/>
      <c r="FZ365"/>
      <c r="GA365"/>
      <c r="GB365"/>
      <c r="GC365"/>
      <c r="GD365"/>
      <c r="GE365"/>
      <c r="GF365"/>
      <c r="GG365"/>
      <c r="GH365"/>
      <c r="GI365"/>
      <c r="GJ365"/>
      <c r="GK365"/>
      <c r="GL365"/>
      <c r="GM365"/>
      <c r="GN365"/>
      <c r="GO365"/>
      <c r="GP365"/>
      <c r="GQ365"/>
      <c r="GR365"/>
      <c r="GS365"/>
      <c r="GT365"/>
      <c r="GU365"/>
      <c r="GV365"/>
      <c r="GW365"/>
      <c r="GX365"/>
      <c r="GY365"/>
      <c r="GZ365"/>
      <c r="HA365"/>
      <c r="HB365"/>
      <c r="HC365"/>
      <c r="HD365"/>
      <c r="HE365"/>
      <c r="HF365"/>
      <c r="HG365"/>
      <c r="HH365"/>
      <c r="HI365"/>
      <c r="HJ365"/>
      <c r="HK365"/>
      <c r="HL365"/>
      <c r="HM365"/>
      <c r="HN365"/>
      <c r="HO365"/>
      <c r="HP365"/>
      <c r="HQ365"/>
      <c r="HR365"/>
      <c r="HS365"/>
      <c r="HT365"/>
      <c r="HU365"/>
      <c r="HV365"/>
      <c r="HW365"/>
      <c r="HX365"/>
      <c r="HY365"/>
      <c r="HZ365"/>
      <c r="IA365"/>
      <c r="IB365"/>
      <c r="IC365"/>
      <c r="ID365"/>
      <c r="IE365"/>
      <c r="IF365"/>
      <c r="IG365"/>
      <c r="IH365"/>
      <c r="II365"/>
      <c r="IJ365"/>
      <c r="IK365"/>
      <c r="IL365"/>
      <c r="IM365"/>
      <c r="IN365"/>
      <c r="IO365"/>
      <c r="IP365"/>
      <c r="IQ365"/>
      <c r="IR365"/>
      <c r="IS365"/>
      <c r="IT365"/>
      <c r="IU365"/>
      <c r="IV365"/>
      <c r="IW365"/>
      <c r="IX365"/>
      <c r="IY365"/>
      <c r="IZ365"/>
      <c r="JA365"/>
      <c r="JB365"/>
      <c r="JC365"/>
      <c r="JD365"/>
      <c r="JE365"/>
      <c r="JF365"/>
      <c r="JG365"/>
      <c r="JH365"/>
      <c r="JI365"/>
      <c r="JJ365"/>
      <c r="JK365"/>
      <c r="JL365"/>
      <c r="JM365"/>
      <c r="JN365"/>
      <c r="JO365"/>
      <c r="JP365"/>
      <c r="JQ365"/>
      <c r="JR365"/>
      <c r="JS365"/>
      <c r="JT365"/>
      <c r="JU365"/>
      <c r="JV365"/>
      <c r="JW365"/>
      <c r="JX365"/>
      <c r="JY365"/>
      <c r="JZ365"/>
      <c r="KA365"/>
      <c r="KB365"/>
      <c r="KC365"/>
      <c r="KD365"/>
      <c r="KE365"/>
      <c r="KF365"/>
      <c r="KG365"/>
      <c r="KH365"/>
      <c r="KI365"/>
      <c r="KJ365"/>
      <c r="KK365"/>
      <c r="KL365"/>
      <c r="KM365"/>
      <c r="KN365"/>
      <c r="KO365"/>
      <c r="KP365"/>
      <c r="KQ365"/>
      <c r="KR365"/>
      <c r="KS365"/>
    </row>
    <row r="366" spans="2:305" hidden="1" x14ac:dyDescent="0.35">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c r="AS366"/>
      <c r="AT366"/>
      <c r="AU366"/>
      <c r="AV366"/>
      <c r="AW366"/>
      <c r="AX366"/>
      <c r="AY366"/>
      <c r="AZ366"/>
      <c r="BA366"/>
      <c r="BB366"/>
      <c r="BC366"/>
      <c r="BD366"/>
      <c r="BE366"/>
      <c r="BF366"/>
      <c r="BG366"/>
      <c r="BH366"/>
      <c r="BI366"/>
      <c r="BJ366"/>
      <c r="BK366"/>
      <c r="BL366"/>
      <c r="BM366"/>
      <c r="BN366"/>
      <c r="BO366"/>
      <c r="BP366"/>
      <c r="BQ366"/>
      <c r="BR366"/>
      <c r="BS366"/>
      <c r="BT366"/>
      <c r="BU366"/>
      <c r="BV366"/>
      <c r="BW366"/>
      <c r="BX366"/>
      <c r="BY366"/>
      <c r="BZ366"/>
      <c r="CA366"/>
      <c r="CB366"/>
      <c r="CC366"/>
      <c r="CD366"/>
      <c r="CE366"/>
      <c r="CF366"/>
      <c r="CG366"/>
      <c r="CH366"/>
      <c r="CI366"/>
      <c r="CJ366"/>
      <c r="CK366"/>
      <c r="CL366"/>
      <c r="CM366"/>
      <c r="CN366"/>
      <c r="CO366"/>
      <c r="CP366"/>
      <c r="CQ366"/>
      <c r="CR366"/>
      <c r="CS366"/>
      <c r="CT366"/>
      <c r="CU366"/>
      <c r="CV366"/>
      <c r="CW366"/>
      <c r="CX366"/>
      <c r="CY366"/>
      <c r="CZ366"/>
      <c r="DA366"/>
      <c r="DB366"/>
      <c r="DC366"/>
      <c r="DD366"/>
      <c r="DE366"/>
      <c r="DF366"/>
      <c r="DG366"/>
      <c r="DH366"/>
      <c r="DI366"/>
      <c r="DJ366"/>
      <c r="DK366"/>
      <c r="DL366"/>
      <c r="DM366"/>
      <c r="DN366"/>
      <c r="DO366"/>
      <c r="DP366"/>
      <c r="DQ366"/>
      <c r="DR366"/>
      <c r="DS366"/>
      <c r="DT366"/>
      <c r="DU366"/>
      <c r="DV366"/>
      <c r="DW366"/>
      <c r="DX366"/>
      <c r="DY366"/>
      <c r="DZ366"/>
      <c r="EA366"/>
      <c r="EB366"/>
      <c r="EC366"/>
      <c r="ED366"/>
      <c r="EE366"/>
      <c r="EF366"/>
      <c r="EG366"/>
      <c r="EH366"/>
      <c r="EI366"/>
      <c r="EJ366"/>
      <c r="EK366"/>
      <c r="EL366"/>
      <c r="EM366"/>
      <c r="EN366"/>
      <c r="EO366"/>
      <c r="EP366"/>
      <c r="EQ366"/>
      <c r="ER366"/>
      <c r="ES366"/>
      <c r="ET366"/>
      <c r="EU366"/>
      <c r="EV366"/>
      <c r="EW366"/>
      <c r="EX366"/>
      <c r="EY366"/>
      <c r="EZ366"/>
      <c r="FA366"/>
      <c r="FB366"/>
      <c r="FC366"/>
      <c r="FD366"/>
      <c r="FE366"/>
      <c r="FF366"/>
      <c r="FG366"/>
      <c r="FH366"/>
      <c r="FI366"/>
      <c r="FJ366"/>
      <c r="FK366"/>
      <c r="FL366"/>
      <c r="FM366"/>
      <c r="FN366"/>
      <c r="FO366"/>
      <c r="FP366"/>
      <c r="FQ366"/>
      <c r="FR366"/>
      <c r="FS366"/>
      <c r="FT366"/>
      <c r="FU366"/>
      <c r="FV366"/>
      <c r="FW366"/>
      <c r="FX366"/>
      <c r="FY366"/>
      <c r="FZ366"/>
      <c r="GA366"/>
      <c r="GB366"/>
      <c r="GC366"/>
      <c r="GD366"/>
      <c r="GE366"/>
      <c r="GF366"/>
      <c r="GG366"/>
      <c r="GH366"/>
      <c r="GI366"/>
      <c r="GJ366"/>
      <c r="GK366"/>
      <c r="GL366"/>
      <c r="GM366"/>
      <c r="GN366"/>
      <c r="GO366"/>
      <c r="GP366"/>
      <c r="GQ366"/>
      <c r="GR366"/>
      <c r="GS366"/>
      <c r="GT366"/>
      <c r="GU366"/>
      <c r="GV366"/>
      <c r="GW366"/>
      <c r="GX366"/>
      <c r="GY366"/>
      <c r="GZ366"/>
      <c r="HA366"/>
      <c r="HB366"/>
      <c r="HC366"/>
      <c r="HD366"/>
      <c r="HE366"/>
      <c r="HF366"/>
      <c r="HG366"/>
      <c r="HH366"/>
      <c r="HI366"/>
      <c r="HJ366"/>
      <c r="HK366"/>
      <c r="HL366"/>
      <c r="HM366"/>
      <c r="HN366"/>
      <c r="HO366"/>
      <c r="HP366"/>
      <c r="HQ366"/>
      <c r="HR366"/>
      <c r="HS366"/>
      <c r="HT366"/>
      <c r="HU366"/>
      <c r="HV366"/>
      <c r="HW366"/>
      <c r="HX366"/>
      <c r="HY366"/>
      <c r="HZ366"/>
      <c r="IA366"/>
      <c r="IB366"/>
      <c r="IC366"/>
      <c r="ID366"/>
      <c r="IE366"/>
      <c r="IF366"/>
      <c r="IG366"/>
      <c r="IH366"/>
      <c r="II366"/>
      <c r="IJ366"/>
      <c r="IK366"/>
      <c r="IL366"/>
      <c r="IM366"/>
      <c r="IN366"/>
      <c r="IO366"/>
      <c r="IP366"/>
      <c r="IQ366"/>
      <c r="IR366"/>
      <c r="IS366"/>
      <c r="IT366"/>
      <c r="IU366"/>
      <c r="IV366"/>
      <c r="IW366"/>
      <c r="IX366"/>
      <c r="IY366"/>
      <c r="IZ366"/>
      <c r="JA366"/>
      <c r="JB366"/>
      <c r="JC366"/>
      <c r="JD366"/>
      <c r="JE366"/>
      <c r="JF366"/>
      <c r="JG366"/>
      <c r="JH366"/>
      <c r="JI366"/>
      <c r="JJ366"/>
      <c r="JK366"/>
      <c r="JL366"/>
      <c r="JM366"/>
      <c r="JN366"/>
      <c r="JO366"/>
      <c r="JP366"/>
      <c r="JQ366"/>
      <c r="JR366"/>
      <c r="JS366"/>
      <c r="JT366"/>
      <c r="JU366"/>
      <c r="JV366"/>
      <c r="JW366"/>
      <c r="JX366"/>
      <c r="JY366"/>
      <c r="JZ366"/>
      <c r="KA366"/>
      <c r="KB366"/>
      <c r="KC366"/>
      <c r="KD366"/>
      <c r="KE366"/>
      <c r="KF366"/>
      <c r="KG366"/>
      <c r="KH366"/>
      <c r="KI366"/>
      <c r="KJ366"/>
      <c r="KK366"/>
      <c r="KL366"/>
      <c r="KM366"/>
      <c r="KN366"/>
      <c r="KO366"/>
      <c r="KP366"/>
      <c r="KQ366"/>
      <c r="KR366"/>
      <c r="KS366"/>
    </row>
    <row r="367" spans="2:305" hidden="1" x14ac:dyDescent="0.35">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c r="AS367"/>
      <c r="AT367"/>
      <c r="AU367"/>
      <c r="AV367"/>
      <c r="AW367"/>
      <c r="AX367"/>
      <c r="AY367"/>
      <c r="AZ367"/>
      <c r="BA367"/>
      <c r="BB367"/>
      <c r="BC367"/>
      <c r="BD367"/>
      <c r="BE367"/>
      <c r="BF367"/>
      <c r="BG367"/>
      <c r="BH367"/>
      <c r="BI367"/>
      <c r="BJ367"/>
      <c r="BK367"/>
      <c r="BL367"/>
      <c r="BM367"/>
      <c r="BN367"/>
      <c r="BO367"/>
      <c r="BP367"/>
      <c r="BQ367"/>
      <c r="BR367"/>
      <c r="BS367"/>
      <c r="BT367"/>
      <c r="BU367"/>
      <c r="BV367"/>
      <c r="BW367"/>
      <c r="BX367"/>
      <c r="BY367"/>
      <c r="BZ367"/>
      <c r="CA367"/>
      <c r="CB367"/>
      <c r="CC367"/>
      <c r="CD367"/>
      <c r="CE367"/>
      <c r="CF367"/>
      <c r="CG367"/>
      <c r="CH367"/>
      <c r="CI367"/>
      <c r="CJ367"/>
      <c r="CK367"/>
      <c r="CL367"/>
      <c r="CM367"/>
      <c r="CN367"/>
      <c r="CO367"/>
      <c r="CP367"/>
      <c r="CQ367"/>
      <c r="CR367"/>
      <c r="CS367"/>
      <c r="CT367"/>
      <c r="CU367"/>
      <c r="CV367"/>
      <c r="CW367"/>
      <c r="CX367"/>
      <c r="CY367"/>
      <c r="CZ367"/>
      <c r="DA367"/>
      <c r="DB367"/>
      <c r="DC367"/>
      <c r="DD367"/>
      <c r="DE367"/>
      <c r="DF367"/>
      <c r="DG367"/>
      <c r="DH367"/>
      <c r="DI367"/>
      <c r="DJ367"/>
      <c r="DK367"/>
      <c r="DL367"/>
      <c r="DM367"/>
      <c r="DN367"/>
      <c r="DO367"/>
      <c r="DP367"/>
      <c r="DQ367"/>
      <c r="DR367"/>
      <c r="DS367"/>
      <c r="DT367"/>
      <c r="DU367"/>
      <c r="DV367"/>
      <c r="DW367"/>
      <c r="DX367"/>
      <c r="DY367"/>
      <c r="DZ367"/>
      <c r="EA367"/>
      <c r="EB367"/>
      <c r="EC367"/>
      <c r="ED367"/>
      <c r="EE367"/>
      <c r="EF367"/>
      <c r="EG367"/>
      <c r="EH367"/>
      <c r="EI367"/>
      <c r="EJ367"/>
      <c r="EK367"/>
      <c r="EL367"/>
      <c r="EM367"/>
      <c r="EN367"/>
      <c r="EO367"/>
      <c r="EP367"/>
      <c r="EQ367"/>
      <c r="ER367"/>
      <c r="ES367"/>
      <c r="ET367"/>
      <c r="EU367"/>
      <c r="EV367"/>
      <c r="EW367"/>
      <c r="EX367"/>
      <c r="EY367"/>
      <c r="EZ367"/>
      <c r="FA367"/>
      <c r="FB367"/>
      <c r="FC367"/>
      <c r="FD367"/>
      <c r="FE367"/>
      <c r="FF367"/>
      <c r="FG367"/>
      <c r="FH367"/>
      <c r="FI367"/>
      <c r="FJ367"/>
      <c r="FK367"/>
      <c r="FL367"/>
      <c r="FM367"/>
      <c r="FN367"/>
      <c r="FO367"/>
      <c r="FP367"/>
      <c r="FQ367"/>
      <c r="FR367"/>
      <c r="FS367"/>
      <c r="FT367"/>
      <c r="FU367"/>
      <c r="FV367"/>
      <c r="FW367"/>
      <c r="FX367"/>
      <c r="FY367"/>
      <c r="FZ367"/>
      <c r="GA367"/>
      <c r="GB367"/>
      <c r="GC367"/>
      <c r="GD367"/>
      <c r="GE367"/>
      <c r="GF367"/>
      <c r="GG367"/>
      <c r="GH367"/>
      <c r="GI367"/>
      <c r="GJ367"/>
      <c r="GK367"/>
      <c r="GL367"/>
      <c r="GM367"/>
      <c r="GN367"/>
      <c r="GO367"/>
      <c r="GP367"/>
      <c r="GQ367"/>
      <c r="GR367"/>
      <c r="GS367"/>
      <c r="GT367"/>
      <c r="GU367"/>
      <c r="GV367"/>
      <c r="GW367"/>
      <c r="GX367"/>
      <c r="GY367"/>
      <c r="GZ367"/>
      <c r="HA367"/>
      <c r="HB367"/>
      <c r="HC367"/>
      <c r="HD367"/>
      <c r="HE367"/>
      <c r="HF367"/>
      <c r="HG367"/>
      <c r="HH367"/>
      <c r="HI367"/>
      <c r="HJ367"/>
      <c r="HK367"/>
      <c r="HL367"/>
      <c r="HM367"/>
      <c r="HN367"/>
      <c r="HO367"/>
      <c r="HP367"/>
      <c r="HQ367"/>
      <c r="HR367"/>
      <c r="HS367"/>
      <c r="HT367"/>
      <c r="HU367"/>
      <c r="HV367"/>
      <c r="HW367"/>
      <c r="HX367"/>
      <c r="HY367"/>
      <c r="HZ367"/>
      <c r="IA367"/>
      <c r="IB367"/>
      <c r="IC367"/>
      <c r="ID367"/>
      <c r="IE367"/>
      <c r="IF367"/>
      <c r="IG367"/>
      <c r="IH367"/>
      <c r="II367"/>
      <c r="IJ367"/>
      <c r="IK367"/>
      <c r="IL367"/>
      <c r="IM367"/>
      <c r="IN367"/>
      <c r="IO367"/>
      <c r="IP367"/>
      <c r="IQ367"/>
      <c r="IR367"/>
      <c r="IS367"/>
      <c r="IT367"/>
      <c r="IU367"/>
      <c r="IV367"/>
      <c r="IW367"/>
      <c r="IX367"/>
      <c r="IY367"/>
      <c r="IZ367"/>
      <c r="JA367"/>
      <c r="JB367"/>
      <c r="JC367"/>
      <c r="JD367"/>
      <c r="JE367"/>
      <c r="JF367"/>
      <c r="JG367"/>
      <c r="JH367"/>
      <c r="JI367"/>
      <c r="JJ367"/>
      <c r="JK367"/>
      <c r="JL367"/>
      <c r="JM367"/>
      <c r="JN367"/>
      <c r="JO367"/>
      <c r="JP367"/>
      <c r="JQ367"/>
      <c r="JR367"/>
      <c r="JS367"/>
      <c r="JT367"/>
      <c r="JU367"/>
      <c r="JV367"/>
      <c r="JW367"/>
      <c r="JX367"/>
      <c r="JY367"/>
      <c r="JZ367"/>
      <c r="KA367"/>
      <c r="KB367"/>
      <c r="KC367"/>
      <c r="KD367"/>
      <c r="KE367"/>
      <c r="KF367"/>
      <c r="KG367"/>
      <c r="KH367"/>
      <c r="KI367"/>
      <c r="KJ367"/>
      <c r="KK367"/>
      <c r="KL367"/>
      <c r="KM367"/>
      <c r="KN367"/>
      <c r="KO367"/>
      <c r="KP367"/>
      <c r="KQ367"/>
      <c r="KR367"/>
      <c r="KS367"/>
    </row>
    <row r="368" spans="2:305" hidden="1" x14ac:dyDescent="0.35">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c r="AS368"/>
      <c r="AT368"/>
      <c r="AU368"/>
      <c r="AV368"/>
      <c r="AW368"/>
      <c r="AX368"/>
      <c r="AY368"/>
      <c r="AZ368"/>
      <c r="BA368"/>
      <c r="BB368"/>
      <c r="BC368"/>
      <c r="BD368"/>
      <c r="BE368"/>
      <c r="BF368"/>
      <c r="BG368"/>
      <c r="BH368"/>
      <c r="BI368"/>
      <c r="BJ368"/>
      <c r="BK368"/>
      <c r="BL368"/>
      <c r="BM368"/>
      <c r="BN368"/>
      <c r="BO368"/>
      <c r="BP368"/>
      <c r="BQ368"/>
      <c r="BR368"/>
      <c r="BS368"/>
      <c r="BT368"/>
      <c r="BU368"/>
      <c r="BV368"/>
      <c r="BW368"/>
      <c r="BX368"/>
      <c r="BY368"/>
      <c r="BZ368"/>
      <c r="CA368"/>
      <c r="CB368"/>
      <c r="CC368"/>
      <c r="CD368"/>
      <c r="CE368"/>
      <c r="CF368"/>
      <c r="CG368"/>
      <c r="CH368"/>
      <c r="CI368"/>
      <c r="CJ368"/>
      <c r="CK368"/>
      <c r="CL368"/>
      <c r="CM368"/>
      <c r="CN368"/>
      <c r="CO368"/>
      <c r="CP368"/>
      <c r="CQ368"/>
      <c r="CR368"/>
      <c r="CS368"/>
      <c r="CT368"/>
      <c r="CU368"/>
      <c r="CV368"/>
      <c r="CW368"/>
      <c r="CX368"/>
      <c r="CY368"/>
      <c r="CZ368"/>
      <c r="DA368"/>
      <c r="DB368"/>
      <c r="DC368"/>
      <c r="DD368"/>
      <c r="DE368"/>
      <c r="DF368"/>
      <c r="DG368"/>
      <c r="DH368"/>
      <c r="DI368"/>
      <c r="DJ368"/>
      <c r="DK368"/>
      <c r="DL368"/>
      <c r="DM368"/>
      <c r="DN368"/>
      <c r="DO368"/>
      <c r="DP368"/>
      <c r="DQ368"/>
      <c r="DR368"/>
      <c r="DS368"/>
      <c r="DT368"/>
      <c r="DU368"/>
      <c r="DV368"/>
      <c r="DW368"/>
      <c r="DX368"/>
      <c r="DY368"/>
      <c r="DZ368"/>
      <c r="EA368"/>
      <c r="EB368"/>
      <c r="EC368"/>
      <c r="ED368"/>
      <c r="EE368"/>
      <c r="EF368"/>
      <c r="EG368"/>
      <c r="EH368"/>
      <c r="EI368"/>
      <c r="EJ368"/>
      <c r="EK368"/>
      <c r="EL368"/>
      <c r="EM368"/>
      <c r="EN368"/>
      <c r="EO368"/>
      <c r="EP368"/>
      <c r="EQ368"/>
      <c r="ER368"/>
      <c r="ES368"/>
      <c r="ET368"/>
      <c r="EU368"/>
      <c r="EV368"/>
      <c r="EW368"/>
      <c r="EX368"/>
      <c r="EY368"/>
      <c r="EZ368"/>
      <c r="FA368"/>
      <c r="FB368"/>
      <c r="FC368"/>
      <c r="FD368"/>
      <c r="FE368"/>
      <c r="FF368"/>
      <c r="FG368"/>
      <c r="FH368"/>
      <c r="FI368"/>
      <c r="FJ368"/>
      <c r="FK368"/>
      <c r="FL368"/>
      <c r="FM368"/>
      <c r="FN368"/>
      <c r="FO368"/>
      <c r="FP368"/>
      <c r="FQ368"/>
      <c r="FR368"/>
      <c r="FS368"/>
      <c r="FT368"/>
      <c r="FU368"/>
      <c r="FV368"/>
      <c r="FW368"/>
      <c r="FX368"/>
      <c r="FY368"/>
      <c r="FZ368"/>
      <c r="GA368"/>
      <c r="GB368"/>
      <c r="GC368"/>
      <c r="GD368"/>
      <c r="GE368"/>
      <c r="GF368"/>
      <c r="GG368"/>
      <c r="GH368"/>
      <c r="GI368"/>
      <c r="GJ368"/>
      <c r="GK368"/>
      <c r="GL368"/>
      <c r="GM368"/>
      <c r="GN368"/>
      <c r="GO368"/>
      <c r="GP368"/>
      <c r="GQ368"/>
      <c r="GR368"/>
      <c r="GS368"/>
      <c r="GT368"/>
      <c r="GU368"/>
      <c r="GV368"/>
      <c r="GW368"/>
      <c r="GX368"/>
      <c r="GY368"/>
      <c r="GZ368"/>
      <c r="HA368"/>
      <c r="HB368"/>
      <c r="HC368"/>
      <c r="HD368"/>
      <c r="HE368"/>
      <c r="HF368"/>
      <c r="HG368"/>
      <c r="HH368"/>
      <c r="HI368"/>
      <c r="HJ368"/>
      <c r="HK368"/>
      <c r="HL368"/>
      <c r="HM368"/>
      <c r="HN368"/>
      <c r="HO368"/>
      <c r="HP368"/>
      <c r="HQ368"/>
      <c r="HR368"/>
      <c r="HS368"/>
      <c r="HT368"/>
      <c r="HU368"/>
      <c r="HV368"/>
      <c r="HW368"/>
      <c r="HX368"/>
      <c r="HY368"/>
      <c r="HZ368"/>
      <c r="IA368"/>
      <c r="IB368"/>
      <c r="IC368"/>
      <c r="ID368"/>
      <c r="IE368"/>
      <c r="IF368"/>
      <c r="IG368"/>
      <c r="IH368"/>
      <c r="II368"/>
      <c r="IJ368"/>
      <c r="IK368"/>
      <c r="IL368"/>
      <c r="IM368"/>
      <c r="IN368"/>
      <c r="IO368"/>
      <c r="IP368"/>
      <c r="IQ368"/>
      <c r="IR368"/>
      <c r="IS368"/>
      <c r="IT368"/>
      <c r="IU368"/>
      <c r="IV368"/>
      <c r="IW368"/>
      <c r="IX368"/>
      <c r="IY368"/>
      <c r="IZ368"/>
      <c r="JA368"/>
      <c r="JB368"/>
      <c r="JC368"/>
      <c r="JD368"/>
      <c r="JE368"/>
      <c r="JF368"/>
      <c r="JG368"/>
      <c r="JH368"/>
      <c r="JI368"/>
      <c r="JJ368"/>
      <c r="JK368"/>
      <c r="JL368"/>
      <c r="JM368"/>
      <c r="JN368"/>
      <c r="JO368"/>
      <c r="JP368"/>
      <c r="JQ368"/>
      <c r="JR368"/>
      <c r="JS368"/>
      <c r="JT368"/>
      <c r="JU368"/>
      <c r="JV368"/>
      <c r="JW368"/>
      <c r="JX368"/>
      <c r="JY368"/>
      <c r="JZ368"/>
      <c r="KA368"/>
      <c r="KB368"/>
      <c r="KC368"/>
      <c r="KD368"/>
      <c r="KE368"/>
      <c r="KF368"/>
      <c r="KG368"/>
      <c r="KH368"/>
      <c r="KI368"/>
      <c r="KJ368"/>
      <c r="KK368"/>
      <c r="KL368"/>
      <c r="KM368"/>
      <c r="KN368"/>
      <c r="KO368"/>
      <c r="KP368"/>
      <c r="KQ368"/>
      <c r="KR368"/>
      <c r="KS368"/>
    </row>
    <row r="369" spans="2:305" hidden="1" x14ac:dyDescent="0.35">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c r="AS369"/>
      <c r="AT369"/>
      <c r="AU369"/>
      <c r="AV369"/>
      <c r="AW369"/>
      <c r="AX369"/>
      <c r="AY369"/>
      <c r="AZ369"/>
      <c r="BA369"/>
      <c r="BB369"/>
      <c r="BC369"/>
      <c r="BD369"/>
      <c r="BE369"/>
      <c r="BF369"/>
      <c r="BG369"/>
      <c r="BH369"/>
      <c r="BI369"/>
      <c r="BJ369"/>
      <c r="BK369"/>
      <c r="BL369"/>
      <c r="BM369"/>
      <c r="BN369"/>
      <c r="BO369"/>
      <c r="BP369"/>
      <c r="BQ369"/>
      <c r="BR369"/>
      <c r="BS369"/>
      <c r="BT369"/>
      <c r="BU369"/>
      <c r="BV369"/>
      <c r="BW369"/>
      <c r="BX369"/>
      <c r="BY369"/>
      <c r="BZ369"/>
      <c r="CA369"/>
      <c r="CB369"/>
      <c r="CC369"/>
      <c r="CD369"/>
      <c r="CE369"/>
      <c r="CF369"/>
      <c r="CG369"/>
      <c r="CH369"/>
      <c r="CI369"/>
      <c r="CJ369"/>
      <c r="CK369"/>
      <c r="CL369"/>
      <c r="CM369"/>
      <c r="CN369"/>
      <c r="CO369"/>
      <c r="CP369"/>
      <c r="CQ369"/>
      <c r="CR369"/>
      <c r="CS369"/>
      <c r="CT369"/>
      <c r="CU369"/>
      <c r="CV369"/>
      <c r="CW369"/>
      <c r="CX369"/>
      <c r="CY369"/>
      <c r="CZ369"/>
      <c r="DA369"/>
      <c r="DB369"/>
      <c r="DC369"/>
      <c r="DD369"/>
      <c r="DE369"/>
      <c r="DF369"/>
      <c r="DG369"/>
      <c r="DH369"/>
      <c r="DI369"/>
      <c r="DJ369"/>
      <c r="DK369"/>
      <c r="DL369"/>
      <c r="DM369"/>
      <c r="DN369"/>
      <c r="DO369"/>
      <c r="DP369"/>
      <c r="DQ369"/>
      <c r="DR369"/>
      <c r="DS369"/>
      <c r="DT369"/>
      <c r="DU369"/>
      <c r="DV369"/>
      <c r="DW369"/>
      <c r="DX369"/>
      <c r="DY369"/>
      <c r="DZ369"/>
      <c r="EA369"/>
      <c r="EB369"/>
      <c r="EC369"/>
      <c r="ED369"/>
      <c r="EE369"/>
      <c r="EF369"/>
      <c r="EG369"/>
      <c r="EH369"/>
      <c r="EI369"/>
      <c r="EJ369"/>
      <c r="EK369"/>
      <c r="EL369"/>
      <c r="EM369"/>
      <c r="EN369"/>
      <c r="EO369"/>
      <c r="EP369"/>
      <c r="EQ369"/>
      <c r="ER369"/>
      <c r="ES369"/>
      <c r="ET369"/>
      <c r="EU369"/>
      <c r="EV369"/>
      <c r="EW369"/>
      <c r="EX369"/>
      <c r="EY369"/>
      <c r="EZ369"/>
      <c r="FA369"/>
      <c r="FB369"/>
      <c r="FC369"/>
      <c r="FD369"/>
      <c r="FE369"/>
      <c r="FF369"/>
      <c r="FG369"/>
      <c r="FH369"/>
      <c r="FI369"/>
      <c r="FJ369"/>
      <c r="FK369"/>
      <c r="FL369"/>
      <c r="FM369"/>
      <c r="FN369"/>
      <c r="FO369"/>
      <c r="FP369"/>
      <c r="FQ369"/>
      <c r="FR369"/>
      <c r="FS369"/>
      <c r="FT369"/>
      <c r="FU369"/>
      <c r="FV369"/>
      <c r="FW369"/>
      <c r="FX369"/>
      <c r="FY369"/>
      <c r="FZ369"/>
      <c r="GA369"/>
      <c r="GB369"/>
      <c r="GC369"/>
      <c r="GD369"/>
      <c r="GE369"/>
      <c r="GF369"/>
      <c r="GG369"/>
      <c r="GH369"/>
      <c r="GI369"/>
      <c r="GJ369"/>
      <c r="GK369"/>
      <c r="GL369"/>
      <c r="GM369"/>
      <c r="GN369"/>
      <c r="GO369"/>
      <c r="GP369"/>
      <c r="GQ369"/>
      <c r="GR369"/>
      <c r="GS369"/>
      <c r="GT369"/>
      <c r="GU369"/>
      <c r="GV369"/>
      <c r="GW369"/>
      <c r="GX369"/>
      <c r="GY369"/>
      <c r="GZ369"/>
      <c r="HA369"/>
      <c r="HB369"/>
      <c r="HC369"/>
      <c r="HD369"/>
      <c r="HE369"/>
      <c r="HF369"/>
      <c r="HG369"/>
      <c r="HH369"/>
      <c r="HI369"/>
      <c r="HJ369"/>
      <c r="HK369"/>
      <c r="HL369"/>
      <c r="HM369"/>
      <c r="HN369"/>
      <c r="HO369"/>
      <c r="HP369"/>
      <c r="HQ369"/>
      <c r="HR369"/>
      <c r="HS369"/>
      <c r="HT369"/>
      <c r="HU369"/>
      <c r="HV369"/>
      <c r="HW369"/>
      <c r="HX369"/>
      <c r="HY369"/>
      <c r="HZ369"/>
      <c r="IA369"/>
      <c r="IB369"/>
      <c r="IC369"/>
      <c r="ID369"/>
      <c r="IE369"/>
      <c r="IF369"/>
      <c r="IG369"/>
      <c r="IH369"/>
      <c r="II369"/>
      <c r="IJ369"/>
      <c r="IK369"/>
      <c r="IL369"/>
      <c r="IM369"/>
      <c r="IN369"/>
      <c r="IO369"/>
      <c r="IP369"/>
      <c r="IQ369"/>
      <c r="IR369"/>
      <c r="IS369"/>
      <c r="IT369"/>
      <c r="IU369"/>
      <c r="IV369"/>
      <c r="IW369"/>
      <c r="IX369"/>
      <c r="IY369"/>
      <c r="IZ369"/>
      <c r="JA369"/>
      <c r="JB369"/>
      <c r="JC369"/>
      <c r="JD369"/>
      <c r="JE369"/>
      <c r="JF369"/>
      <c r="JG369"/>
      <c r="JH369"/>
      <c r="JI369"/>
      <c r="JJ369"/>
      <c r="JK369"/>
      <c r="JL369"/>
      <c r="JM369"/>
      <c r="JN369"/>
      <c r="JO369"/>
      <c r="JP369"/>
      <c r="JQ369"/>
      <c r="JR369"/>
      <c r="JS369"/>
      <c r="JT369"/>
      <c r="JU369"/>
      <c r="JV369"/>
      <c r="JW369"/>
      <c r="JX369"/>
      <c r="JY369"/>
      <c r="JZ369"/>
      <c r="KA369"/>
      <c r="KB369"/>
      <c r="KC369"/>
      <c r="KD369"/>
      <c r="KE369"/>
      <c r="KF369"/>
      <c r="KG369"/>
      <c r="KH369"/>
      <c r="KI369"/>
      <c r="KJ369"/>
      <c r="KK369"/>
      <c r="KL369"/>
      <c r="KM369"/>
      <c r="KN369"/>
      <c r="KO369"/>
      <c r="KP369"/>
      <c r="KQ369"/>
      <c r="KR369"/>
      <c r="KS369"/>
    </row>
    <row r="370" spans="2:305" hidden="1" x14ac:dyDescent="0.35">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c r="AS370"/>
      <c r="AT370"/>
      <c r="AU370"/>
      <c r="AV370"/>
      <c r="AW370"/>
      <c r="AX370"/>
      <c r="AY370"/>
      <c r="AZ370"/>
      <c r="BA370"/>
      <c r="BB370"/>
      <c r="BC370"/>
      <c r="BD370"/>
      <c r="BE370"/>
      <c r="BF370"/>
      <c r="BG370"/>
      <c r="BH370"/>
      <c r="BI370"/>
      <c r="BJ370"/>
      <c r="BK370"/>
      <c r="BL370"/>
      <c r="BM370"/>
      <c r="BN370"/>
      <c r="BO370"/>
      <c r="BP370"/>
      <c r="BQ370"/>
      <c r="BR370"/>
      <c r="BS370"/>
      <c r="BT370"/>
      <c r="BU370"/>
      <c r="BV370"/>
      <c r="BW370"/>
      <c r="BX370"/>
      <c r="BY370"/>
      <c r="BZ370"/>
      <c r="CA370"/>
      <c r="CB370"/>
      <c r="CC370"/>
      <c r="CD370"/>
      <c r="CE370"/>
      <c r="CF370"/>
      <c r="CG370"/>
      <c r="CH370"/>
      <c r="CI370"/>
      <c r="CJ370"/>
      <c r="CK370"/>
      <c r="CL370"/>
      <c r="CM370"/>
      <c r="CN370"/>
      <c r="CO370"/>
      <c r="CP370"/>
      <c r="CQ370"/>
      <c r="CR370"/>
      <c r="CS370"/>
      <c r="CT370"/>
      <c r="CU370"/>
      <c r="CV370"/>
      <c r="CW370"/>
      <c r="CX370"/>
      <c r="CY370"/>
      <c r="CZ370"/>
      <c r="DA370"/>
      <c r="DB370"/>
      <c r="DC370"/>
      <c r="DD370"/>
      <c r="DE370"/>
      <c r="DF370"/>
      <c r="DG370"/>
      <c r="DH370"/>
      <c r="DI370"/>
      <c r="DJ370"/>
      <c r="DK370"/>
      <c r="DL370"/>
      <c r="DM370"/>
      <c r="DN370"/>
      <c r="DO370"/>
      <c r="DP370"/>
      <c r="DQ370"/>
      <c r="DR370"/>
      <c r="DS370"/>
      <c r="DT370"/>
      <c r="DU370"/>
      <c r="DV370"/>
      <c r="DW370"/>
      <c r="DX370"/>
      <c r="DY370"/>
      <c r="DZ370"/>
      <c r="EA370"/>
      <c r="EB370"/>
      <c r="EC370"/>
      <c r="ED370"/>
      <c r="EE370"/>
      <c r="EF370"/>
      <c r="EG370"/>
      <c r="EH370"/>
      <c r="EI370"/>
      <c r="EJ370"/>
      <c r="EK370"/>
      <c r="EL370"/>
      <c r="EM370"/>
      <c r="EN370"/>
      <c r="EO370"/>
      <c r="EP370"/>
      <c r="EQ370"/>
      <c r="ER370"/>
      <c r="ES370"/>
      <c r="ET370"/>
      <c r="EU370"/>
      <c r="EV370"/>
      <c r="EW370"/>
      <c r="EX370"/>
      <c r="EY370"/>
      <c r="EZ370"/>
      <c r="FA370"/>
      <c r="FB370"/>
      <c r="FC370"/>
      <c r="FD370"/>
      <c r="FE370"/>
      <c r="FF370"/>
      <c r="FG370"/>
      <c r="FH370"/>
      <c r="FI370"/>
      <c r="FJ370"/>
      <c r="FK370"/>
      <c r="FL370"/>
      <c r="FM370"/>
      <c r="FN370"/>
      <c r="FO370"/>
      <c r="FP370"/>
      <c r="FQ370"/>
      <c r="FR370"/>
      <c r="FS370"/>
      <c r="FT370"/>
      <c r="FU370"/>
      <c r="FV370"/>
      <c r="FW370"/>
      <c r="FX370"/>
      <c r="FY370"/>
      <c r="FZ370"/>
      <c r="GA370"/>
      <c r="GB370"/>
      <c r="GC370"/>
      <c r="GD370"/>
      <c r="GE370"/>
      <c r="GF370"/>
      <c r="GG370"/>
      <c r="GH370"/>
      <c r="GI370"/>
      <c r="GJ370"/>
      <c r="GK370"/>
      <c r="GL370"/>
      <c r="GM370"/>
      <c r="GN370"/>
      <c r="GO370"/>
      <c r="GP370"/>
      <c r="GQ370"/>
      <c r="GR370"/>
      <c r="GS370"/>
      <c r="GT370"/>
      <c r="GU370"/>
      <c r="GV370"/>
      <c r="GW370"/>
      <c r="GX370"/>
      <c r="GY370"/>
      <c r="GZ370"/>
      <c r="HA370"/>
      <c r="HB370"/>
      <c r="HC370"/>
      <c r="HD370"/>
      <c r="HE370"/>
      <c r="HF370"/>
      <c r="HG370"/>
      <c r="HH370"/>
      <c r="HI370"/>
      <c r="HJ370"/>
      <c r="HK370"/>
      <c r="HL370"/>
      <c r="HM370"/>
      <c r="HN370"/>
      <c r="HO370"/>
      <c r="HP370"/>
      <c r="HQ370"/>
      <c r="HR370"/>
      <c r="HS370"/>
      <c r="HT370"/>
      <c r="HU370"/>
      <c r="HV370"/>
      <c r="HW370"/>
      <c r="HX370"/>
      <c r="HY370"/>
      <c r="HZ370"/>
      <c r="IA370"/>
      <c r="IB370"/>
      <c r="IC370"/>
      <c r="ID370"/>
      <c r="IE370"/>
      <c r="IF370"/>
      <c r="IG370"/>
      <c r="IH370"/>
      <c r="II370"/>
      <c r="IJ370"/>
      <c r="IK370"/>
      <c r="IL370"/>
      <c r="IM370"/>
      <c r="IN370"/>
      <c r="IO370"/>
      <c r="IP370"/>
      <c r="IQ370"/>
      <c r="IR370"/>
      <c r="IS370"/>
      <c r="IT370"/>
      <c r="IU370"/>
      <c r="IV370"/>
      <c r="IW370"/>
      <c r="IX370"/>
      <c r="IY370"/>
      <c r="IZ370"/>
      <c r="JA370"/>
      <c r="JB370"/>
      <c r="JC370"/>
      <c r="JD370"/>
      <c r="JE370"/>
      <c r="JF370"/>
      <c r="JG370"/>
      <c r="JH370"/>
      <c r="JI370"/>
      <c r="JJ370"/>
      <c r="JK370"/>
      <c r="JL370"/>
      <c r="JM370"/>
      <c r="JN370"/>
      <c r="JO370"/>
      <c r="JP370"/>
      <c r="JQ370"/>
      <c r="JR370"/>
      <c r="JS370"/>
      <c r="JT370"/>
      <c r="JU370"/>
      <c r="JV370"/>
      <c r="JW370"/>
      <c r="JX370"/>
      <c r="JY370"/>
      <c r="JZ370"/>
      <c r="KA370"/>
      <c r="KB370"/>
      <c r="KC370"/>
      <c r="KD370"/>
      <c r="KE370"/>
      <c r="KF370"/>
      <c r="KG370"/>
      <c r="KH370"/>
      <c r="KI370"/>
      <c r="KJ370"/>
      <c r="KK370"/>
      <c r="KL370"/>
      <c r="KM370"/>
      <c r="KN370"/>
      <c r="KO370"/>
      <c r="KP370"/>
      <c r="KQ370"/>
      <c r="KR370"/>
      <c r="KS370"/>
    </row>
    <row r="371" spans="2:305" hidden="1" x14ac:dyDescent="0.35">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c r="AS371"/>
      <c r="AT371"/>
      <c r="AU371"/>
      <c r="AV371"/>
      <c r="AW371"/>
      <c r="AX371"/>
      <c r="AY371"/>
      <c r="AZ371"/>
      <c r="BA371"/>
      <c r="BB371"/>
      <c r="BC371"/>
      <c r="BD371"/>
      <c r="BE371"/>
      <c r="BF371"/>
      <c r="BG371"/>
      <c r="BH371"/>
      <c r="BI371"/>
      <c r="BJ371"/>
      <c r="BK371"/>
      <c r="BL371"/>
      <c r="BM371"/>
      <c r="BN371"/>
      <c r="BO371"/>
      <c r="BP371"/>
      <c r="BQ371"/>
      <c r="BR371"/>
      <c r="BS371"/>
      <c r="BT371"/>
      <c r="BU371"/>
      <c r="BV371"/>
      <c r="BW371"/>
      <c r="BX371"/>
      <c r="BY371"/>
      <c r="BZ371"/>
      <c r="CA371"/>
      <c r="CB371"/>
      <c r="CC371"/>
      <c r="CD371"/>
      <c r="CE371"/>
      <c r="CF371"/>
      <c r="CG371"/>
      <c r="CH371"/>
      <c r="CI371"/>
      <c r="CJ371"/>
      <c r="CK371"/>
      <c r="CL371"/>
      <c r="CM371"/>
      <c r="CN371"/>
      <c r="CO371"/>
      <c r="CP371"/>
      <c r="CQ371"/>
      <c r="CR371"/>
      <c r="CS371"/>
      <c r="CT371"/>
      <c r="CU371"/>
      <c r="CV371"/>
      <c r="CW371"/>
      <c r="CX371"/>
      <c r="CY371"/>
      <c r="CZ371"/>
      <c r="DA371"/>
      <c r="DB371"/>
      <c r="DC371"/>
      <c r="DD371"/>
      <c r="DE371"/>
      <c r="DF371"/>
      <c r="DG371"/>
      <c r="DH371"/>
      <c r="DI371"/>
      <c r="DJ371"/>
      <c r="DK371"/>
      <c r="DL371"/>
      <c r="DM371"/>
      <c r="DN371"/>
      <c r="DO371"/>
      <c r="DP371"/>
      <c r="DQ371"/>
      <c r="DR371"/>
      <c r="DS371"/>
      <c r="DT371"/>
      <c r="DU371"/>
      <c r="DV371"/>
      <c r="DW371"/>
      <c r="DX371"/>
      <c r="DY371"/>
      <c r="DZ371"/>
      <c r="EA371"/>
      <c r="EB371"/>
      <c r="EC371"/>
      <c r="ED371"/>
      <c r="EE371"/>
      <c r="EF371"/>
      <c r="EG371"/>
      <c r="EH371"/>
      <c r="EI371"/>
      <c r="EJ371"/>
      <c r="EK371"/>
      <c r="EL371"/>
      <c r="EM371"/>
      <c r="EN371"/>
      <c r="EO371"/>
      <c r="EP371"/>
      <c r="EQ371"/>
      <c r="ER371"/>
      <c r="ES371"/>
      <c r="ET371"/>
      <c r="EU371"/>
      <c r="EV371"/>
      <c r="EW371"/>
      <c r="EX371"/>
      <c r="EY371"/>
      <c r="EZ371"/>
      <c r="FA371"/>
      <c r="FB371"/>
      <c r="FC371"/>
      <c r="FD371"/>
      <c r="FE371"/>
      <c r="FF371"/>
      <c r="FG371"/>
      <c r="FH371"/>
      <c r="FI371"/>
      <c r="FJ371"/>
      <c r="FK371"/>
      <c r="FL371"/>
      <c r="FM371"/>
      <c r="FN371"/>
      <c r="FO371"/>
      <c r="FP371"/>
      <c r="FQ371"/>
      <c r="FR371"/>
      <c r="FS371"/>
      <c r="FT371"/>
      <c r="FU371"/>
      <c r="FV371"/>
      <c r="FW371"/>
      <c r="FX371"/>
      <c r="FY371"/>
      <c r="FZ371"/>
      <c r="GA371"/>
      <c r="GB371"/>
      <c r="GC371"/>
      <c r="GD371"/>
      <c r="GE371"/>
      <c r="GF371"/>
      <c r="GG371"/>
      <c r="GH371"/>
      <c r="GI371"/>
      <c r="GJ371"/>
      <c r="GK371"/>
      <c r="GL371"/>
      <c r="GM371"/>
      <c r="GN371"/>
      <c r="GO371"/>
      <c r="GP371"/>
      <c r="GQ371"/>
      <c r="GR371"/>
      <c r="GS371"/>
      <c r="GT371"/>
      <c r="GU371"/>
      <c r="GV371"/>
      <c r="GW371"/>
      <c r="GX371"/>
      <c r="GY371"/>
      <c r="GZ371"/>
      <c r="HA371"/>
      <c r="HB371"/>
      <c r="HC371"/>
      <c r="HD371"/>
      <c r="HE371"/>
      <c r="HF371"/>
      <c r="HG371"/>
      <c r="HH371"/>
      <c r="HI371"/>
      <c r="HJ371"/>
      <c r="HK371"/>
      <c r="HL371"/>
      <c r="HM371"/>
      <c r="HN371"/>
      <c r="HO371"/>
      <c r="HP371"/>
      <c r="HQ371"/>
      <c r="HR371"/>
      <c r="HS371"/>
      <c r="HT371"/>
      <c r="HU371"/>
      <c r="HV371"/>
      <c r="HW371"/>
      <c r="HX371"/>
      <c r="HY371"/>
      <c r="HZ371"/>
      <c r="IA371"/>
      <c r="IB371"/>
      <c r="IC371"/>
      <c r="ID371"/>
      <c r="IE371"/>
      <c r="IF371"/>
      <c r="IG371"/>
      <c r="IH371"/>
      <c r="II371"/>
      <c r="IJ371"/>
      <c r="IK371"/>
      <c r="IL371"/>
      <c r="IM371"/>
      <c r="IN371"/>
      <c r="IO371"/>
      <c r="IP371"/>
      <c r="IQ371"/>
      <c r="IR371"/>
      <c r="IS371"/>
      <c r="IT371"/>
      <c r="IU371"/>
      <c r="IV371"/>
      <c r="IW371"/>
      <c r="IX371"/>
      <c r="IY371"/>
      <c r="IZ371"/>
      <c r="JA371"/>
      <c r="JB371"/>
      <c r="JC371"/>
      <c r="JD371"/>
      <c r="JE371"/>
      <c r="JF371"/>
      <c r="JG371"/>
      <c r="JH371"/>
      <c r="JI371"/>
      <c r="JJ371"/>
      <c r="JK371"/>
      <c r="JL371"/>
      <c r="JM371"/>
      <c r="JN371"/>
      <c r="JO371"/>
      <c r="JP371"/>
      <c r="JQ371"/>
      <c r="JR371"/>
      <c r="JS371"/>
      <c r="JT371"/>
      <c r="JU371"/>
      <c r="JV371"/>
      <c r="JW371"/>
      <c r="JX371"/>
      <c r="JY371"/>
      <c r="JZ371"/>
      <c r="KA371"/>
      <c r="KB371"/>
      <c r="KC371"/>
      <c r="KD371"/>
      <c r="KE371"/>
      <c r="KF371"/>
      <c r="KG371"/>
      <c r="KH371"/>
      <c r="KI371"/>
      <c r="KJ371"/>
      <c r="KK371"/>
      <c r="KL371"/>
      <c r="KM371"/>
      <c r="KN371"/>
      <c r="KO371"/>
      <c r="KP371"/>
      <c r="KQ371"/>
      <c r="KR371"/>
      <c r="KS371"/>
    </row>
    <row r="372" spans="2:305" hidden="1" x14ac:dyDescent="0.35">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c r="AZ372"/>
      <c r="BA372"/>
      <c r="BB372"/>
      <c r="BC372"/>
      <c r="BD372"/>
      <c r="BE372"/>
      <c r="BF372"/>
      <c r="BG372"/>
      <c r="BH372"/>
      <c r="BI372"/>
      <c r="BJ372"/>
      <c r="BK372"/>
      <c r="BL372"/>
      <c r="BM372"/>
      <c r="BN372"/>
      <c r="BO372"/>
      <c r="BP372"/>
      <c r="BQ372"/>
      <c r="BR372"/>
      <c r="BS372"/>
      <c r="BT372"/>
      <c r="BU372"/>
      <c r="BV372"/>
      <c r="BW372"/>
      <c r="BX372"/>
      <c r="BY372"/>
      <c r="BZ372"/>
      <c r="CA372"/>
      <c r="CB372"/>
      <c r="CC372"/>
      <c r="CD372"/>
      <c r="CE372"/>
      <c r="CF372"/>
      <c r="CG372"/>
      <c r="CH372"/>
      <c r="CI372"/>
      <c r="CJ372"/>
      <c r="CK372"/>
      <c r="CL372"/>
      <c r="CM372"/>
      <c r="CN372"/>
      <c r="CO372"/>
      <c r="CP372"/>
      <c r="CQ372"/>
      <c r="CR372"/>
      <c r="CS372"/>
      <c r="CT372"/>
      <c r="CU372"/>
      <c r="CV372"/>
      <c r="CW372"/>
      <c r="CX372"/>
      <c r="CY372"/>
      <c r="CZ372"/>
      <c r="DA372"/>
      <c r="DB372"/>
      <c r="DC372"/>
      <c r="DD372"/>
      <c r="DE372"/>
      <c r="DF372"/>
      <c r="DG372"/>
      <c r="DH372"/>
      <c r="DI372"/>
      <c r="DJ372"/>
      <c r="DK372"/>
      <c r="DL372"/>
      <c r="DM372"/>
      <c r="DN372"/>
      <c r="DO372"/>
      <c r="DP372"/>
      <c r="DQ372"/>
      <c r="DR372"/>
      <c r="DS372"/>
      <c r="DT372"/>
      <c r="DU372"/>
      <c r="DV372"/>
      <c r="DW372"/>
      <c r="DX372"/>
      <c r="DY372"/>
      <c r="DZ372"/>
      <c r="EA372"/>
      <c r="EB372"/>
      <c r="EC372"/>
      <c r="ED372"/>
      <c r="EE372"/>
      <c r="EF372"/>
      <c r="EG372"/>
      <c r="EH372"/>
      <c r="EI372"/>
      <c r="EJ372"/>
      <c r="EK372"/>
      <c r="EL372"/>
      <c r="EM372"/>
      <c r="EN372"/>
      <c r="EO372"/>
      <c r="EP372"/>
      <c r="EQ372"/>
      <c r="ER372"/>
      <c r="ES372"/>
      <c r="ET372"/>
      <c r="EU372"/>
      <c r="EV372"/>
      <c r="EW372"/>
      <c r="EX372"/>
      <c r="EY372"/>
      <c r="EZ372"/>
      <c r="FA372"/>
      <c r="FB372"/>
      <c r="FC372"/>
      <c r="FD372"/>
      <c r="FE372"/>
      <c r="FF372"/>
      <c r="FG372"/>
      <c r="FH372"/>
      <c r="FI372"/>
      <c r="FJ372"/>
      <c r="FK372"/>
      <c r="FL372"/>
      <c r="FM372"/>
      <c r="FN372"/>
      <c r="FO372"/>
      <c r="FP372"/>
      <c r="FQ372"/>
      <c r="FR372"/>
      <c r="FS372"/>
      <c r="FT372"/>
      <c r="FU372"/>
      <c r="FV372"/>
      <c r="FW372"/>
      <c r="FX372"/>
      <c r="FY372"/>
      <c r="FZ372"/>
      <c r="GA372"/>
      <c r="GB372"/>
      <c r="GC372"/>
      <c r="GD372"/>
      <c r="GE372"/>
      <c r="GF372"/>
      <c r="GG372"/>
      <c r="GH372"/>
      <c r="GI372"/>
      <c r="GJ372"/>
      <c r="GK372"/>
      <c r="GL372"/>
      <c r="GM372"/>
      <c r="GN372"/>
      <c r="GO372"/>
      <c r="GP372"/>
      <c r="GQ372"/>
      <c r="GR372"/>
      <c r="GS372"/>
      <c r="GT372"/>
      <c r="GU372"/>
      <c r="GV372"/>
      <c r="GW372"/>
      <c r="GX372"/>
      <c r="GY372"/>
      <c r="GZ372"/>
      <c r="HA372"/>
      <c r="HB372"/>
      <c r="HC372"/>
      <c r="HD372"/>
      <c r="HE372"/>
      <c r="HF372"/>
      <c r="HG372"/>
      <c r="HH372"/>
      <c r="HI372"/>
      <c r="HJ372"/>
      <c r="HK372"/>
      <c r="HL372"/>
      <c r="HM372"/>
      <c r="HN372"/>
      <c r="HO372"/>
      <c r="HP372"/>
      <c r="HQ372"/>
      <c r="HR372"/>
      <c r="HS372"/>
      <c r="HT372"/>
      <c r="HU372"/>
      <c r="HV372"/>
      <c r="HW372"/>
      <c r="HX372"/>
      <c r="HY372"/>
      <c r="HZ372"/>
      <c r="IA372"/>
      <c r="IB372"/>
      <c r="IC372"/>
      <c r="ID372"/>
      <c r="IE372"/>
      <c r="IF372"/>
      <c r="IG372"/>
      <c r="IH372"/>
      <c r="II372"/>
      <c r="IJ372"/>
      <c r="IK372"/>
      <c r="IL372"/>
      <c r="IM372"/>
      <c r="IN372"/>
      <c r="IO372"/>
      <c r="IP372"/>
      <c r="IQ372"/>
      <c r="IR372"/>
      <c r="IS372"/>
      <c r="IT372"/>
      <c r="IU372"/>
      <c r="IV372"/>
      <c r="IW372"/>
      <c r="IX372"/>
      <c r="IY372"/>
      <c r="IZ372"/>
      <c r="JA372"/>
      <c r="JB372"/>
      <c r="JC372"/>
      <c r="JD372"/>
      <c r="JE372"/>
      <c r="JF372"/>
      <c r="JG372"/>
      <c r="JH372"/>
      <c r="JI372"/>
      <c r="JJ372"/>
      <c r="JK372"/>
      <c r="JL372"/>
      <c r="JM372"/>
      <c r="JN372"/>
      <c r="JO372"/>
      <c r="JP372"/>
      <c r="JQ372"/>
      <c r="JR372"/>
      <c r="JS372"/>
      <c r="JT372"/>
      <c r="JU372"/>
      <c r="JV372"/>
      <c r="JW372"/>
      <c r="JX372"/>
      <c r="JY372"/>
      <c r="JZ372"/>
      <c r="KA372"/>
      <c r="KB372"/>
      <c r="KC372"/>
      <c r="KD372"/>
      <c r="KE372"/>
      <c r="KF372"/>
      <c r="KG372"/>
      <c r="KH372"/>
      <c r="KI372"/>
      <c r="KJ372"/>
      <c r="KK372"/>
      <c r="KL372"/>
      <c r="KM372"/>
      <c r="KN372"/>
      <c r="KO372"/>
      <c r="KP372"/>
      <c r="KQ372"/>
      <c r="KR372"/>
      <c r="KS372"/>
    </row>
    <row r="373" spans="2:305" hidden="1" x14ac:dyDescent="0.35">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c r="AS373"/>
      <c r="AT373"/>
      <c r="AU373"/>
      <c r="AV373"/>
      <c r="AW373"/>
      <c r="AX373"/>
      <c r="AY373"/>
      <c r="AZ373"/>
      <c r="BA373"/>
      <c r="BB373"/>
      <c r="BC373"/>
      <c r="BD373"/>
      <c r="BE373"/>
      <c r="BF373"/>
      <c r="BG373"/>
      <c r="BH373"/>
      <c r="BI373"/>
      <c r="BJ373"/>
      <c r="BK373"/>
      <c r="BL373"/>
      <c r="BM373"/>
      <c r="BN373"/>
      <c r="BO373"/>
      <c r="BP373"/>
      <c r="BQ373"/>
      <c r="BR373"/>
      <c r="BS373"/>
      <c r="BT373"/>
      <c r="BU373"/>
      <c r="BV373"/>
      <c r="BW373"/>
      <c r="BX373"/>
      <c r="BY373"/>
      <c r="BZ373"/>
      <c r="CA373"/>
      <c r="CB373"/>
      <c r="CC373"/>
      <c r="CD373"/>
      <c r="CE373"/>
      <c r="CF373"/>
      <c r="CG373"/>
      <c r="CH373"/>
      <c r="CI373"/>
      <c r="CJ373"/>
      <c r="CK373"/>
      <c r="CL373"/>
      <c r="CM373"/>
      <c r="CN373"/>
      <c r="CO373"/>
      <c r="CP373"/>
      <c r="CQ373"/>
      <c r="CR373"/>
      <c r="CS373"/>
      <c r="CT373"/>
      <c r="CU373"/>
      <c r="CV373"/>
      <c r="CW373"/>
      <c r="CX373"/>
      <c r="CY373"/>
      <c r="CZ373"/>
      <c r="DA373"/>
      <c r="DB373"/>
      <c r="DC373"/>
      <c r="DD373"/>
      <c r="DE373"/>
      <c r="DF373"/>
      <c r="DG373"/>
      <c r="DH373"/>
      <c r="DI373"/>
      <c r="DJ373"/>
      <c r="DK373"/>
      <c r="DL373"/>
      <c r="DM373"/>
      <c r="DN373"/>
      <c r="DO373"/>
      <c r="DP373"/>
      <c r="DQ373"/>
      <c r="DR373"/>
      <c r="DS373"/>
      <c r="DT373"/>
      <c r="DU373"/>
      <c r="DV373"/>
      <c r="DW373"/>
      <c r="DX373"/>
      <c r="DY373"/>
      <c r="DZ373"/>
      <c r="EA373"/>
      <c r="EB373"/>
      <c r="EC373"/>
      <c r="ED373"/>
      <c r="EE373"/>
      <c r="EF373"/>
      <c r="EG373"/>
      <c r="EH373"/>
      <c r="EI373"/>
      <c r="EJ373"/>
      <c r="EK373"/>
      <c r="EL373"/>
      <c r="EM373"/>
      <c r="EN373"/>
      <c r="EO373"/>
      <c r="EP373"/>
      <c r="EQ373"/>
      <c r="ER373"/>
      <c r="ES373"/>
      <c r="ET373"/>
      <c r="EU373"/>
      <c r="EV373"/>
      <c r="EW373"/>
      <c r="EX373"/>
      <c r="EY373"/>
      <c r="EZ373"/>
      <c r="FA373"/>
      <c r="FB373"/>
      <c r="FC373"/>
      <c r="FD373"/>
      <c r="FE373"/>
      <c r="FF373"/>
      <c r="FG373"/>
      <c r="FH373"/>
      <c r="FI373"/>
      <c r="FJ373"/>
      <c r="FK373"/>
      <c r="FL373"/>
      <c r="FM373"/>
      <c r="FN373"/>
      <c r="FO373"/>
      <c r="FP373"/>
      <c r="FQ373"/>
      <c r="FR373"/>
      <c r="FS373"/>
      <c r="FT373"/>
      <c r="FU373"/>
      <c r="FV373"/>
      <c r="FW373"/>
      <c r="FX373"/>
      <c r="FY373"/>
      <c r="FZ373"/>
      <c r="GA373"/>
      <c r="GB373"/>
      <c r="GC373"/>
      <c r="GD373"/>
      <c r="GE373"/>
      <c r="GF373"/>
      <c r="GG373"/>
      <c r="GH373"/>
      <c r="GI373"/>
      <c r="GJ373"/>
      <c r="GK373"/>
      <c r="GL373"/>
      <c r="GM373"/>
      <c r="GN373"/>
      <c r="GO373"/>
      <c r="GP373"/>
      <c r="GQ373"/>
      <c r="GR373"/>
      <c r="GS373"/>
      <c r="GT373"/>
      <c r="GU373"/>
      <c r="GV373"/>
      <c r="GW373"/>
      <c r="GX373"/>
      <c r="GY373"/>
      <c r="GZ373"/>
      <c r="HA373"/>
      <c r="HB373"/>
      <c r="HC373"/>
      <c r="HD373"/>
      <c r="HE373"/>
      <c r="HF373"/>
      <c r="HG373"/>
      <c r="HH373"/>
      <c r="HI373"/>
      <c r="HJ373"/>
      <c r="HK373"/>
      <c r="HL373"/>
      <c r="HM373"/>
      <c r="HN373"/>
      <c r="HO373"/>
      <c r="HP373"/>
      <c r="HQ373"/>
      <c r="HR373"/>
      <c r="HS373"/>
      <c r="HT373"/>
      <c r="HU373"/>
      <c r="HV373"/>
      <c r="HW373"/>
      <c r="HX373"/>
      <c r="HY373"/>
      <c r="HZ373"/>
      <c r="IA373"/>
      <c r="IB373"/>
      <c r="IC373"/>
      <c r="ID373"/>
      <c r="IE373"/>
      <c r="IF373"/>
      <c r="IG373"/>
      <c r="IH373"/>
      <c r="II373"/>
      <c r="IJ373"/>
      <c r="IK373"/>
      <c r="IL373"/>
      <c r="IM373"/>
      <c r="IN373"/>
      <c r="IO373"/>
      <c r="IP373"/>
      <c r="IQ373"/>
      <c r="IR373"/>
      <c r="IS373"/>
      <c r="IT373"/>
      <c r="IU373"/>
      <c r="IV373"/>
      <c r="IW373"/>
      <c r="IX373"/>
      <c r="IY373"/>
      <c r="IZ373"/>
      <c r="JA373"/>
      <c r="JB373"/>
      <c r="JC373"/>
      <c r="JD373"/>
      <c r="JE373"/>
      <c r="JF373"/>
      <c r="JG373"/>
      <c r="JH373"/>
      <c r="JI373"/>
      <c r="JJ373"/>
      <c r="JK373"/>
      <c r="JL373"/>
      <c r="JM373"/>
      <c r="JN373"/>
      <c r="JO373"/>
      <c r="JP373"/>
      <c r="JQ373"/>
      <c r="JR373"/>
      <c r="JS373"/>
      <c r="JT373"/>
      <c r="JU373"/>
      <c r="JV373"/>
      <c r="JW373"/>
      <c r="JX373"/>
      <c r="JY373"/>
      <c r="JZ373"/>
      <c r="KA373"/>
      <c r="KB373"/>
      <c r="KC373"/>
      <c r="KD373"/>
      <c r="KE373"/>
      <c r="KF373"/>
      <c r="KG373"/>
      <c r="KH373"/>
      <c r="KI373"/>
      <c r="KJ373"/>
      <c r="KK373"/>
      <c r="KL373"/>
      <c r="KM373"/>
      <c r="KN373"/>
      <c r="KO373"/>
      <c r="KP373"/>
      <c r="KQ373"/>
      <c r="KR373"/>
      <c r="KS373"/>
    </row>
    <row r="374" spans="2:305" hidden="1" x14ac:dyDescent="0.35">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c r="AS374"/>
      <c r="AT374"/>
      <c r="AU374"/>
      <c r="AV374"/>
      <c r="AW374"/>
      <c r="AX374"/>
      <c r="AY374"/>
      <c r="AZ374"/>
      <c r="BA374"/>
      <c r="BB374"/>
      <c r="BC374"/>
      <c r="BD374"/>
      <c r="BE374"/>
      <c r="BF374"/>
      <c r="BG374"/>
      <c r="BH374"/>
      <c r="BI374"/>
      <c r="BJ374"/>
      <c r="BK374"/>
      <c r="BL374"/>
      <c r="BM374"/>
      <c r="BN374"/>
      <c r="BO374"/>
      <c r="BP374"/>
      <c r="BQ374"/>
      <c r="BR374"/>
      <c r="BS374"/>
      <c r="BT374"/>
      <c r="BU374"/>
      <c r="BV374"/>
      <c r="BW374"/>
      <c r="BX374"/>
      <c r="BY374"/>
      <c r="BZ374"/>
      <c r="CA374"/>
      <c r="CB374"/>
      <c r="CC374"/>
      <c r="CD374"/>
      <c r="CE374"/>
      <c r="CF374"/>
      <c r="CG374"/>
      <c r="CH374"/>
      <c r="CI374"/>
      <c r="CJ374"/>
      <c r="CK374"/>
      <c r="CL374"/>
      <c r="CM374"/>
      <c r="CN374"/>
      <c r="CO374"/>
      <c r="CP374"/>
      <c r="CQ374"/>
      <c r="CR374"/>
      <c r="CS374"/>
      <c r="CT374"/>
      <c r="CU374"/>
      <c r="CV374"/>
      <c r="CW374"/>
      <c r="CX374"/>
      <c r="CY374"/>
      <c r="CZ374"/>
      <c r="DA374"/>
      <c r="DB374"/>
      <c r="DC374"/>
      <c r="DD374"/>
      <c r="DE374"/>
      <c r="DF374"/>
      <c r="DG374"/>
      <c r="DH374"/>
      <c r="DI374"/>
      <c r="DJ374"/>
      <c r="DK374"/>
      <c r="DL374"/>
      <c r="DM374"/>
      <c r="DN374"/>
      <c r="DO374"/>
      <c r="DP374"/>
      <c r="DQ374"/>
      <c r="DR374"/>
      <c r="DS374"/>
      <c r="DT374"/>
      <c r="DU374"/>
      <c r="DV374"/>
      <c r="DW374"/>
      <c r="DX374"/>
      <c r="DY374"/>
      <c r="DZ374"/>
      <c r="EA374"/>
      <c r="EB374"/>
      <c r="EC374"/>
      <c r="ED374"/>
      <c r="EE374"/>
      <c r="EF374"/>
      <c r="EG374"/>
      <c r="EH374"/>
      <c r="EI374"/>
      <c r="EJ374"/>
      <c r="EK374"/>
      <c r="EL374"/>
      <c r="EM374"/>
      <c r="EN374"/>
      <c r="EO374"/>
      <c r="EP374"/>
      <c r="EQ374"/>
      <c r="ER374"/>
      <c r="ES374"/>
      <c r="ET374"/>
      <c r="EU374"/>
      <c r="EV374"/>
      <c r="EW374"/>
      <c r="EX374"/>
      <c r="EY374"/>
      <c r="EZ374"/>
      <c r="FA374"/>
      <c r="FB374"/>
      <c r="FC374"/>
      <c r="FD374"/>
      <c r="FE374"/>
      <c r="FF374"/>
      <c r="FG374"/>
      <c r="FH374"/>
      <c r="FI374"/>
      <c r="FJ374"/>
      <c r="FK374"/>
      <c r="FL374"/>
      <c r="FM374"/>
      <c r="FN374"/>
      <c r="FO374"/>
      <c r="FP374"/>
      <c r="FQ374"/>
      <c r="FR374"/>
      <c r="FS374"/>
      <c r="FT374"/>
      <c r="FU374"/>
      <c r="FV374"/>
      <c r="FW374"/>
      <c r="FX374"/>
      <c r="FY374"/>
      <c r="FZ374"/>
      <c r="GA374"/>
      <c r="GB374"/>
      <c r="GC374"/>
      <c r="GD374"/>
      <c r="GE374"/>
      <c r="GF374"/>
      <c r="GG374"/>
      <c r="GH374"/>
      <c r="GI374"/>
      <c r="GJ374"/>
      <c r="GK374"/>
      <c r="GL374"/>
      <c r="GM374"/>
      <c r="GN374"/>
      <c r="GO374"/>
      <c r="GP374"/>
      <c r="GQ374"/>
      <c r="GR374"/>
      <c r="GS374"/>
      <c r="GT374"/>
      <c r="GU374"/>
      <c r="GV374"/>
      <c r="GW374"/>
      <c r="GX374"/>
      <c r="GY374"/>
      <c r="GZ374"/>
      <c r="HA374"/>
      <c r="HB374"/>
      <c r="HC374"/>
      <c r="HD374"/>
      <c r="HE374"/>
      <c r="HF374"/>
      <c r="HG374"/>
      <c r="HH374"/>
      <c r="HI374"/>
      <c r="HJ374"/>
      <c r="HK374"/>
      <c r="HL374"/>
      <c r="HM374"/>
      <c r="HN374"/>
      <c r="HO374"/>
      <c r="HP374"/>
      <c r="HQ374"/>
      <c r="HR374"/>
      <c r="HS374"/>
      <c r="HT374"/>
      <c r="HU374"/>
      <c r="HV374"/>
      <c r="HW374"/>
      <c r="HX374"/>
      <c r="HY374"/>
      <c r="HZ374"/>
      <c r="IA374"/>
      <c r="IB374"/>
      <c r="IC374"/>
      <c r="ID374"/>
      <c r="IE374"/>
      <c r="IF374"/>
      <c r="IG374"/>
      <c r="IH374"/>
      <c r="II374"/>
      <c r="IJ374"/>
      <c r="IK374"/>
      <c r="IL374"/>
      <c r="IM374"/>
      <c r="IN374"/>
      <c r="IO374"/>
      <c r="IP374"/>
      <c r="IQ374"/>
      <c r="IR374"/>
      <c r="IS374"/>
      <c r="IT374"/>
      <c r="IU374"/>
      <c r="IV374"/>
      <c r="IW374"/>
      <c r="IX374"/>
      <c r="IY374"/>
      <c r="IZ374"/>
      <c r="JA374"/>
      <c r="JB374"/>
      <c r="JC374"/>
      <c r="JD374"/>
      <c r="JE374"/>
      <c r="JF374"/>
      <c r="JG374"/>
      <c r="JH374"/>
      <c r="JI374"/>
      <c r="JJ374"/>
      <c r="JK374"/>
      <c r="JL374"/>
      <c r="JM374"/>
      <c r="JN374"/>
      <c r="JO374"/>
      <c r="JP374"/>
      <c r="JQ374"/>
      <c r="JR374"/>
      <c r="JS374"/>
      <c r="JT374"/>
      <c r="JU374"/>
      <c r="JV374"/>
      <c r="JW374"/>
      <c r="JX374"/>
      <c r="JY374"/>
      <c r="JZ374"/>
      <c r="KA374"/>
      <c r="KB374"/>
      <c r="KC374"/>
      <c r="KD374"/>
      <c r="KE374"/>
      <c r="KF374"/>
      <c r="KG374"/>
      <c r="KH374"/>
      <c r="KI374"/>
      <c r="KJ374"/>
      <c r="KK374"/>
      <c r="KL374"/>
      <c r="KM374"/>
      <c r="KN374"/>
      <c r="KO374"/>
      <c r="KP374"/>
      <c r="KQ374"/>
      <c r="KR374"/>
      <c r="KS374"/>
    </row>
    <row r="375" spans="2:305" hidden="1" x14ac:dyDescent="0.3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c r="AS375"/>
      <c r="AT375"/>
      <c r="AU375"/>
      <c r="AV375"/>
      <c r="AW375"/>
      <c r="AX375"/>
      <c r="AY375"/>
      <c r="AZ375"/>
      <c r="BA375"/>
      <c r="BB375"/>
      <c r="BC375"/>
      <c r="BD375"/>
      <c r="BE375"/>
      <c r="BF375"/>
      <c r="BG375"/>
      <c r="BH375"/>
      <c r="BI375"/>
      <c r="BJ375"/>
      <c r="BK375"/>
      <c r="BL375"/>
      <c r="BM375"/>
      <c r="BN375"/>
      <c r="BO375"/>
      <c r="BP375"/>
      <c r="BQ375"/>
      <c r="BR375"/>
      <c r="BS375"/>
      <c r="BT375"/>
      <c r="BU375"/>
      <c r="BV375"/>
      <c r="BW375"/>
      <c r="BX375"/>
      <c r="BY375"/>
      <c r="BZ375"/>
      <c r="CA375"/>
      <c r="CB375"/>
      <c r="CC375"/>
      <c r="CD375"/>
      <c r="CE375"/>
      <c r="CF375"/>
      <c r="CG375"/>
      <c r="CH375"/>
      <c r="CI375"/>
      <c r="CJ375"/>
      <c r="CK375"/>
      <c r="CL375"/>
      <c r="CM375"/>
      <c r="CN375"/>
      <c r="CO375"/>
      <c r="CP375"/>
      <c r="CQ375"/>
      <c r="CR375"/>
      <c r="CS375"/>
      <c r="CT375"/>
      <c r="CU375"/>
      <c r="CV375"/>
      <c r="CW375"/>
      <c r="CX375"/>
      <c r="CY375"/>
      <c r="CZ375"/>
      <c r="DA375"/>
      <c r="DB375"/>
      <c r="DC375"/>
      <c r="DD375"/>
      <c r="DE375"/>
      <c r="DF375"/>
      <c r="DG375"/>
      <c r="DH375"/>
      <c r="DI375"/>
      <c r="DJ375"/>
      <c r="DK375"/>
      <c r="DL375"/>
      <c r="DM375"/>
      <c r="DN375"/>
      <c r="DO375"/>
      <c r="DP375"/>
      <c r="DQ375"/>
      <c r="DR375"/>
      <c r="DS375"/>
      <c r="DT375"/>
      <c r="DU375"/>
      <c r="DV375"/>
      <c r="DW375"/>
      <c r="DX375"/>
      <c r="DY375"/>
      <c r="DZ375"/>
      <c r="EA375"/>
      <c r="EB375"/>
      <c r="EC375"/>
      <c r="ED375"/>
      <c r="EE375"/>
      <c r="EF375"/>
      <c r="EG375"/>
      <c r="EH375"/>
      <c r="EI375"/>
      <c r="EJ375"/>
      <c r="EK375"/>
      <c r="EL375"/>
      <c r="EM375"/>
      <c r="EN375"/>
      <c r="EO375"/>
      <c r="EP375"/>
      <c r="EQ375"/>
      <c r="ER375"/>
      <c r="ES375"/>
      <c r="ET375"/>
      <c r="EU375"/>
      <c r="EV375"/>
      <c r="EW375"/>
      <c r="EX375"/>
      <c r="EY375"/>
      <c r="EZ375"/>
      <c r="FA375"/>
      <c r="FB375"/>
      <c r="FC375"/>
      <c r="FD375"/>
      <c r="FE375"/>
      <c r="FF375"/>
      <c r="FG375"/>
      <c r="FH375"/>
      <c r="FI375"/>
      <c r="FJ375"/>
      <c r="FK375"/>
      <c r="FL375"/>
      <c r="FM375"/>
      <c r="FN375"/>
      <c r="FO375"/>
      <c r="FP375"/>
      <c r="FQ375"/>
      <c r="FR375"/>
      <c r="FS375"/>
      <c r="FT375"/>
      <c r="FU375"/>
      <c r="FV375"/>
      <c r="FW375"/>
      <c r="FX375"/>
      <c r="FY375"/>
      <c r="FZ375"/>
      <c r="GA375"/>
      <c r="GB375"/>
      <c r="GC375"/>
      <c r="GD375"/>
      <c r="GE375"/>
      <c r="GF375"/>
      <c r="GG375"/>
      <c r="GH375"/>
      <c r="GI375"/>
      <c r="GJ375"/>
      <c r="GK375"/>
      <c r="GL375"/>
      <c r="GM375"/>
      <c r="GN375"/>
      <c r="GO375"/>
      <c r="GP375"/>
      <c r="GQ375"/>
      <c r="GR375"/>
      <c r="GS375"/>
      <c r="GT375"/>
      <c r="GU375"/>
      <c r="GV375"/>
      <c r="GW375"/>
      <c r="GX375"/>
      <c r="GY375"/>
      <c r="GZ375"/>
      <c r="HA375"/>
      <c r="HB375"/>
      <c r="HC375"/>
      <c r="HD375"/>
      <c r="HE375"/>
      <c r="HF375"/>
      <c r="HG375"/>
      <c r="HH375"/>
      <c r="HI375"/>
      <c r="HJ375"/>
      <c r="HK375"/>
      <c r="HL375"/>
      <c r="HM375"/>
      <c r="HN375"/>
      <c r="HO375"/>
      <c r="HP375"/>
      <c r="HQ375"/>
      <c r="HR375"/>
      <c r="HS375"/>
      <c r="HT375"/>
      <c r="HU375"/>
      <c r="HV375"/>
      <c r="HW375"/>
      <c r="HX375"/>
      <c r="HY375"/>
      <c r="HZ375"/>
      <c r="IA375"/>
      <c r="IB375"/>
      <c r="IC375"/>
      <c r="ID375"/>
      <c r="IE375"/>
      <c r="IF375"/>
      <c r="IG375"/>
      <c r="IH375"/>
      <c r="II375"/>
      <c r="IJ375"/>
      <c r="IK375"/>
      <c r="IL375"/>
      <c r="IM375"/>
      <c r="IN375"/>
      <c r="IO375"/>
      <c r="IP375"/>
      <c r="IQ375"/>
      <c r="IR375"/>
      <c r="IS375"/>
      <c r="IT375"/>
      <c r="IU375"/>
      <c r="IV375"/>
      <c r="IW375"/>
      <c r="IX375"/>
      <c r="IY375"/>
      <c r="IZ375"/>
      <c r="JA375"/>
      <c r="JB375"/>
      <c r="JC375"/>
      <c r="JD375"/>
      <c r="JE375"/>
      <c r="JF375"/>
      <c r="JG375"/>
      <c r="JH375"/>
      <c r="JI375"/>
      <c r="JJ375"/>
      <c r="JK375"/>
      <c r="JL375"/>
      <c r="JM375"/>
      <c r="JN375"/>
      <c r="JO375"/>
      <c r="JP375"/>
      <c r="JQ375"/>
      <c r="JR375"/>
      <c r="JS375"/>
      <c r="JT375"/>
      <c r="JU375"/>
      <c r="JV375"/>
      <c r="JW375"/>
      <c r="JX375"/>
      <c r="JY375"/>
      <c r="JZ375"/>
      <c r="KA375"/>
      <c r="KB375"/>
      <c r="KC375"/>
      <c r="KD375"/>
      <c r="KE375"/>
      <c r="KF375"/>
      <c r="KG375"/>
      <c r="KH375"/>
      <c r="KI375"/>
      <c r="KJ375"/>
      <c r="KK375"/>
      <c r="KL375"/>
      <c r="KM375"/>
      <c r="KN375"/>
      <c r="KO375"/>
      <c r="KP375"/>
      <c r="KQ375"/>
      <c r="KR375"/>
      <c r="KS375"/>
    </row>
    <row r="376" spans="2:305" hidden="1" x14ac:dyDescent="0.35">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c r="AS376"/>
      <c r="AT376"/>
      <c r="AU376"/>
      <c r="AV376"/>
      <c r="AW376"/>
      <c r="AX376"/>
      <c r="AY376"/>
      <c r="AZ376"/>
      <c r="BA376"/>
      <c r="BB376"/>
      <c r="BC376"/>
      <c r="BD376"/>
      <c r="BE376"/>
      <c r="BF376"/>
      <c r="BG376"/>
      <c r="BH376"/>
      <c r="BI376"/>
      <c r="BJ376"/>
      <c r="BK376"/>
      <c r="BL376"/>
      <c r="BM376"/>
      <c r="BN376"/>
      <c r="BO376"/>
      <c r="BP376"/>
      <c r="BQ376"/>
      <c r="BR376"/>
      <c r="BS376"/>
      <c r="BT376"/>
      <c r="BU376"/>
      <c r="BV376"/>
      <c r="BW376"/>
      <c r="BX376"/>
      <c r="BY376"/>
      <c r="BZ376"/>
      <c r="CA376"/>
      <c r="CB376"/>
      <c r="CC376"/>
      <c r="CD376"/>
      <c r="CE376"/>
      <c r="CF376"/>
      <c r="CG376"/>
      <c r="CH376"/>
      <c r="CI376"/>
      <c r="CJ376"/>
      <c r="CK376"/>
      <c r="CL376"/>
      <c r="CM376"/>
      <c r="CN376"/>
      <c r="CO376"/>
      <c r="CP376"/>
      <c r="CQ376"/>
      <c r="CR376"/>
      <c r="CS376"/>
      <c r="CT376"/>
      <c r="CU376"/>
      <c r="CV376"/>
      <c r="CW376"/>
      <c r="CX376"/>
      <c r="CY376"/>
      <c r="CZ376"/>
      <c r="DA376"/>
      <c r="DB376"/>
      <c r="DC376"/>
      <c r="DD376"/>
      <c r="DE376"/>
      <c r="DF376"/>
      <c r="DG376"/>
      <c r="DH376"/>
      <c r="DI376"/>
      <c r="DJ376"/>
      <c r="DK376"/>
      <c r="DL376"/>
      <c r="DM376"/>
      <c r="DN376"/>
      <c r="DO376"/>
      <c r="DP376"/>
      <c r="DQ376"/>
      <c r="DR376"/>
      <c r="DS376"/>
      <c r="DT376"/>
      <c r="DU376"/>
      <c r="DV376"/>
      <c r="DW376"/>
      <c r="DX376"/>
      <c r="DY376"/>
      <c r="DZ376"/>
      <c r="EA376"/>
      <c r="EB376"/>
      <c r="EC376"/>
      <c r="ED376"/>
      <c r="EE376"/>
      <c r="EF376"/>
      <c r="EG376"/>
      <c r="EH376"/>
      <c r="EI376"/>
      <c r="EJ376"/>
      <c r="EK376"/>
      <c r="EL376"/>
      <c r="EM376"/>
      <c r="EN376"/>
      <c r="EO376"/>
      <c r="EP376"/>
      <c r="EQ376"/>
      <c r="ER376"/>
      <c r="ES376"/>
      <c r="ET376"/>
      <c r="EU376"/>
      <c r="EV376"/>
      <c r="EW376"/>
      <c r="EX376"/>
      <c r="EY376"/>
      <c r="EZ376"/>
      <c r="FA376"/>
      <c r="FB376"/>
      <c r="FC376"/>
      <c r="FD376"/>
      <c r="FE376"/>
      <c r="FF376"/>
      <c r="FG376"/>
      <c r="FH376"/>
      <c r="FI376"/>
      <c r="FJ376"/>
      <c r="FK376"/>
      <c r="FL376"/>
      <c r="FM376"/>
      <c r="FN376"/>
      <c r="FO376"/>
      <c r="FP376"/>
      <c r="FQ376"/>
      <c r="FR376"/>
      <c r="FS376"/>
      <c r="FT376"/>
      <c r="FU376"/>
      <c r="FV376"/>
      <c r="FW376"/>
      <c r="FX376"/>
      <c r="FY376"/>
      <c r="FZ376"/>
      <c r="GA376"/>
      <c r="GB376"/>
      <c r="GC376"/>
      <c r="GD376"/>
      <c r="GE376"/>
      <c r="GF376"/>
      <c r="GG376"/>
      <c r="GH376"/>
      <c r="GI376"/>
      <c r="GJ376"/>
      <c r="GK376"/>
      <c r="GL376"/>
      <c r="GM376"/>
      <c r="GN376"/>
      <c r="GO376"/>
      <c r="GP376"/>
      <c r="GQ376"/>
      <c r="GR376"/>
      <c r="GS376"/>
      <c r="GT376"/>
      <c r="GU376"/>
      <c r="GV376"/>
      <c r="GW376"/>
      <c r="GX376"/>
      <c r="GY376"/>
      <c r="GZ376"/>
      <c r="HA376"/>
      <c r="HB376"/>
      <c r="HC376"/>
      <c r="HD376"/>
      <c r="HE376"/>
      <c r="HF376"/>
      <c r="HG376"/>
      <c r="HH376"/>
      <c r="HI376"/>
      <c r="HJ376"/>
      <c r="HK376"/>
      <c r="HL376"/>
      <c r="HM376"/>
      <c r="HN376"/>
      <c r="HO376"/>
      <c r="HP376"/>
      <c r="HQ376"/>
      <c r="HR376"/>
      <c r="HS376"/>
      <c r="HT376"/>
      <c r="HU376"/>
      <c r="HV376"/>
      <c r="HW376"/>
      <c r="HX376"/>
      <c r="HY376"/>
      <c r="HZ376"/>
      <c r="IA376"/>
      <c r="IB376"/>
      <c r="IC376"/>
      <c r="ID376"/>
      <c r="IE376"/>
      <c r="IF376"/>
      <c r="IG376"/>
      <c r="IH376"/>
      <c r="II376"/>
      <c r="IJ376"/>
      <c r="IK376"/>
      <c r="IL376"/>
      <c r="IM376"/>
      <c r="IN376"/>
      <c r="IO376"/>
      <c r="IP376"/>
      <c r="IQ376"/>
      <c r="IR376"/>
      <c r="IS376"/>
      <c r="IT376"/>
      <c r="IU376"/>
      <c r="IV376"/>
      <c r="IW376"/>
      <c r="IX376"/>
      <c r="IY376"/>
      <c r="IZ376"/>
      <c r="JA376"/>
      <c r="JB376"/>
      <c r="JC376"/>
      <c r="JD376"/>
      <c r="JE376"/>
      <c r="JF376"/>
      <c r="JG376"/>
      <c r="JH376"/>
      <c r="JI376"/>
      <c r="JJ376"/>
      <c r="JK376"/>
      <c r="JL376"/>
      <c r="JM376"/>
      <c r="JN376"/>
      <c r="JO376"/>
      <c r="JP376"/>
      <c r="JQ376"/>
      <c r="JR376"/>
      <c r="JS376"/>
      <c r="JT376"/>
      <c r="JU376"/>
      <c r="JV376"/>
      <c r="JW376"/>
      <c r="JX376"/>
      <c r="JY376"/>
      <c r="JZ376"/>
      <c r="KA376"/>
      <c r="KB376"/>
      <c r="KC376"/>
      <c r="KD376"/>
      <c r="KE376"/>
      <c r="KF376"/>
      <c r="KG376"/>
      <c r="KH376"/>
      <c r="KI376"/>
      <c r="KJ376"/>
      <c r="KK376"/>
      <c r="KL376"/>
      <c r="KM376"/>
      <c r="KN376"/>
      <c r="KO376"/>
      <c r="KP376"/>
      <c r="KQ376"/>
      <c r="KR376"/>
      <c r="KS376"/>
    </row>
    <row r="377" spans="2:305" hidden="1" x14ac:dyDescent="0.35">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c r="AS377"/>
      <c r="AT377"/>
      <c r="AU377"/>
      <c r="AV377"/>
      <c r="AW377"/>
      <c r="AX377"/>
      <c r="AY377"/>
      <c r="AZ377"/>
      <c r="BA377"/>
      <c r="BB377"/>
      <c r="BC377"/>
      <c r="BD377"/>
      <c r="BE377"/>
      <c r="BF377"/>
      <c r="BG377"/>
      <c r="BH377"/>
      <c r="BI377"/>
      <c r="BJ377"/>
      <c r="BK377"/>
      <c r="BL377"/>
      <c r="BM377"/>
      <c r="BN377"/>
      <c r="BO377"/>
      <c r="BP377"/>
      <c r="BQ377"/>
      <c r="BR377"/>
      <c r="BS377"/>
      <c r="BT377"/>
      <c r="BU377"/>
      <c r="BV377"/>
      <c r="BW377"/>
      <c r="BX377"/>
      <c r="BY377"/>
      <c r="BZ377"/>
      <c r="CA377"/>
      <c r="CB377"/>
      <c r="CC377"/>
      <c r="CD377"/>
      <c r="CE377"/>
      <c r="CF377"/>
      <c r="CG377"/>
      <c r="CH377"/>
      <c r="CI377"/>
      <c r="CJ377"/>
      <c r="CK377"/>
      <c r="CL377"/>
      <c r="CM377"/>
      <c r="CN377"/>
      <c r="CO377"/>
      <c r="CP377"/>
      <c r="CQ377"/>
      <c r="CR377"/>
      <c r="CS377"/>
      <c r="CT377"/>
      <c r="CU377"/>
      <c r="CV377"/>
      <c r="CW377"/>
      <c r="CX377"/>
      <c r="CY377"/>
      <c r="CZ377"/>
      <c r="DA377"/>
      <c r="DB377"/>
      <c r="DC377"/>
      <c r="DD377"/>
      <c r="DE377"/>
      <c r="DF377"/>
      <c r="DG377"/>
      <c r="DH377"/>
      <c r="DI377"/>
      <c r="DJ377"/>
      <c r="DK377"/>
      <c r="DL377"/>
      <c r="DM377"/>
      <c r="DN377"/>
      <c r="DO377"/>
      <c r="DP377"/>
      <c r="DQ377"/>
      <c r="DR377"/>
      <c r="DS377"/>
      <c r="DT377"/>
      <c r="DU377"/>
      <c r="DV377"/>
      <c r="DW377"/>
      <c r="DX377"/>
      <c r="DY377"/>
      <c r="DZ377"/>
      <c r="EA377"/>
      <c r="EB377"/>
      <c r="EC377"/>
      <c r="ED377"/>
      <c r="EE377"/>
      <c r="EF377"/>
      <c r="EG377"/>
      <c r="EH377"/>
      <c r="EI377"/>
      <c r="EJ377"/>
      <c r="EK377"/>
      <c r="EL377"/>
      <c r="EM377"/>
      <c r="EN377"/>
      <c r="EO377"/>
      <c r="EP377"/>
      <c r="EQ377"/>
      <c r="ER377"/>
      <c r="ES377"/>
      <c r="ET377"/>
      <c r="EU377"/>
      <c r="EV377"/>
      <c r="EW377"/>
      <c r="EX377"/>
      <c r="EY377"/>
      <c r="EZ377"/>
      <c r="FA377"/>
      <c r="FB377"/>
      <c r="FC377"/>
      <c r="FD377"/>
      <c r="FE377"/>
      <c r="FF377"/>
      <c r="FG377"/>
      <c r="FH377"/>
      <c r="FI377"/>
      <c r="FJ377"/>
      <c r="FK377"/>
      <c r="FL377"/>
      <c r="FM377"/>
      <c r="FN377"/>
      <c r="FO377"/>
      <c r="FP377"/>
      <c r="FQ377"/>
      <c r="FR377"/>
      <c r="FS377"/>
      <c r="FT377"/>
      <c r="FU377"/>
      <c r="FV377"/>
      <c r="FW377"/>
      <c r="FX377"/>
      <c r="FY377"/>
      <c r="FZ377"/>
      <c r="GA377"/>
      <c r="GB377"/>
      <c r="GC377"/>
      <c r="GD377"/>
      <c r="GE377"/>
      <c r="GF377"/>
      <c r="GG377"/>
      <c r="GH377"/>
      <c r="GI377"/>
      <c r="GJ377"/>
      <c r="GK377"/>
      <c r="GL377"/>
      <c r="GM377"/>
      <c r="GN377"/>
      <c r="GO377"/>
      <c r="GP377"/>
      <c r="GQ377"/>
      <c r="GR377"/>
      <c r="GS377"/>
      <c r="GT377"/>
      <c r="GU377"/>
      <c r="GV377"/>
      <c r="GW377"/>
      <c r="GX377"/>
      <c r="GY377"/>
      <c r="GZ377"/>
      <c r="HA377"/>
      <c r="HB377"/>
      <c r="HC377"/>
      <c r="HD377"/>
      <c r="HE377"/>
      <c r="HF377"/>
      <c r="HG377"/>
      <c r="HH377"/>
      <c r="HI377"/>
      <c r="HJ377"/>
      <c r="HK377"/>
      <c r="HL377"/>
      <c r="HM377"/>
      <c r="HN377"/>
      <c r="HO377"/>
      <c r="HP377"/>
      <c r="HQ377"/>
      <c r="HR377"/>
      <c r="HS377"/>
      <c r="HT377"/>
      <c r="HU377"/>
      <c r="HV377"/>
      <c r="HW377"/>
      <c r="HX377"/>
      <c r="HY377"/>
      <c r="HZ377"/>
      <c r="IA377"/>
      <c r="IB377"/>
      <c r="IC377"/>
      <c r="ID377"/>
      <c r="IE377"/>
      <c r="IF377"/>
      <c r="IG377"/>
      <c r="IH377"/>
      <c r="II377"/>
      <c r="IJ377"/>
      <c r="IK377"/>
      <c r="IL377"/>
      <c r="IM377"/>
      <c r="IN377"/>
      <c r="IO377"/>
      <c r="IP377"/>
      <c r="IQ377"/>
      <c r="IR377"/>
      <c r="IS377"/>
      <c r="IT377"/>
      <c r="IU377"/>
      <c r="IV377"/>
      <c r="IW377"/>
      <c r="IX377"/>
      <c r="IY377"/>
      <c r="IZ377"/>
      <c r="JA377"/>
      <c r="JB377"/>
      <c r="JC377"/>
      <c r="JD377"/>
      <c r="JE377"/>
      <c r="JF377"/>
      <c r="JG377"/>
      <c r="JH377"/>
      <c r="JI377"/>
      <c r="JJ377"/>
      <c r="JK377"/>
      <c r="JL377"/>
      <c r="JM377"/>
      <c r="JN377"/>
      <c r="JO377"/>
      <c r="JP377"/>
      <c r="JQ377"/>
      <c r="JR377"/>
      <c r="JS377"/>
      <c r="JT377"/>
      <c r="JU377"/>
      <c r="JV377"/>
      <c r="JW377"/>
      <c r="JX377"/>
      <c r="JY377"/>
      <c r="JZ377"/>
      <c r="KA377"/>
      <c r="KB377"/>
      <c r="KC377"/>
      <c r="KD377"/>
      <c r="KE377"/>
      <c r="KF377"/>
      <c r="KG377"/>
      <c r="KH377"/>
      <c r="KI377"/>
      <c r="KJ377"/>
      <c r="KK377"/>
      <c r="KL377"/>
      <c r="KM377"/>
      <c r="KN377"/>
      <c r="KO377"/>
      <c r="KP377"/>
      <c r="KQ377"/>
      <c r="KR377"/>
      <c r="KS377"/>
    </row>
    <row r="378" spans="2:305" hidden="1" x14ac:dyDescent="0.35">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c r="AS378"/>
      <c r="AT378"/>
      <c r="AU378"/>
      <c r="AV378"/>
      <c r="AW378"/>
      <c r="AX378"/>
      <c r="AY378"/>
      <c r="AZ378"/>
      <c r="BA378"/>
      <c r="BB378"/>
      <c r="BC378"/>
      <c r="BD378"/>
      <c r="BE378"/>
      <c r="BF378"/>
      <c r="BG378"/>
      <c r="BH378"/>
      <c r="BI378"/>
      <c r="BJ378"/>
      <c r="BK378"/>
      <c r="BL378"/>
      <c r="BM378"/>
      <c r="BN378"/>
      <c r="BO378"/>
      <c r="BP378"/>
      <c r="BQ378"/>
      <c r="BR378"/>
      <c r="BS378"/>
      <c r="BT378"/>
      <c r="BU378"/>
      <c r="BV378"/>
      <c r="BW378"/>
      <c r="BX378"/>
      <c r="BY378"/>
      <c r="BZ378"/>
      <c r="CA378"/>
      <c r="CB378"/>
      <c r="CC378"/>
      <c r="CD378"/>
      <c r="CE378"/>
      <c r="CF378"/>
      <c r="CG378"/>
      <c r="CH378"/>
      <c r="CI378"/>
      <c r="CJ378"/>
      <c r="CK378"/>
      <c r="CL378"/>
      <c r="CM378"/>
      <c r="CN378"/>
      <c r="CO378"/>
      <c r="CP378"/>
      <c r="CQ378"/>
      <c r="CR378"/>
      <c r="CS378"/>
      <c r="CT378"/>
      <c r="CU378"/>
      <c r="CV378"/>
      <c r="CW378"/>
      <c r="CX378"/>
      <c r="CY378"/>
      <c r="CZ378"/>
      <c r="DA378"/>
      <c r="DB378"/>
      <c r="DC378"/>
      <c r="DD378"/>
      <c r="DE378"/>
      <c r="DF378"/>
      <c r="DG378"/>
      <c r="DH378"/>
      <c r="DI378"/>
      <c r="DJ378"/>
      <c r="DK378"/>
      <c r="DL378"/>
      <c r="DM378"/>
      <c r="DN378"/>
      <c r="DO378"/>
      <c r="DP378"/>
      <c r="DQ378"/>
      <c r="DR378"/>
      <c r="DS378"/>
      <c r="DT378"/>
      <c r="DU378"/>
      <c r="DV378"/>
      <c r="DW378"/>
      <c r="DX378"/>
      <c r="DY378"/>
      <c r="DZ378"/>
      <c r="EA378"/>
      <c r="EB378"/>
      <c r="EC378"/>
      <c r="ED378"/>
      <c r="EE378"/>
      <c r="EF378"/>
      <c r="EG378"/>
      <c r="EH378"/>
      <c r="EI378"/>
      <c r="EJ378"/>
      <c r="EK378"/>
      <c r="EL378"/>
      <c r="EM378"/>
      <c r="EN378"/>
      <c r="EO378"/>
      <c r="EP378"/>
      <c r="EQ378"/>
      <c r="ER378"/>
      <c r="ES378"/>
      <c r="ET378"/>
      <c r="EU378"/>
      <c r="EV378"/>
      <c r="EW378"/>
      <c r="EX378"/>
      <c r="EY378"/>
      <c r="EZ378"/>
      <c r="FA378"/>
      <c r="FB378"/>
      <c r="FC378"/>
      <c r="FD378"/>
      <c r="FE378"/>
      <c r="FF378"/>
      <c r="FG378"/>
      <c r="FH378"/>
      <c r="FI378"/>
      <c r="FJ378"/>
      <c r="FK378"/>
      <c r="FL378"/>
      <c r="FM378"/>
      <c r="FN378"/>
      <c r="FO378"/>
      <c r="FP378"/>
      <c r="FQ378"/>
      <c r="FR378"/>
      <c r="FS378"/>
      <c r="FT378"/>
      <c r="FU378"/>
      <c r="FV378"/>
      <c r="FW378"/>
      <c r="FX378"/>
      <c r="FY378"/>
      <c r="FZ378"/>
      <c r="GA378"/>
      <c r="GB378"/>
      <c r="GC378"/>
      <c r="GD378"/>
      <c r="GE378"/>
      <c r="GF378"/>
      <c r="GG378"/>
      <c r="GH378"/>
      <c r="GI378"/>
      <c r="GJ378"/>
      <c r="GK378"/>
      <c r="GL378"/>
      <c r="GM378"/>
      <c r="GN378"/>
      <c r="GO378"/>
      <c r="GP378"/>
      <c r="GQ378"/>
      <c r="GR378"/>
      <c r="GS378"/>
      <c r="GT378"/>
      <c r="GU378"/>
      <c r="GV378"/>
      <c r="GW378"/>
      <c r="GX378"/>
      <c r="GY378"/>
      <c r="GZ378"/>
      <c r="HA378"/>
      <c r="HB378"/>
      <c r="HC378"/>
      <c r="HD378"/>
      <c r="HE378"/>
      <c r="HF378"/>
      <c r="HG378"/>
      <c r="HH378"/>
      <c r="HI378"/>
      <c r="HJ378"/>
      <c r="HK378"/>
      <c r="HL378"/>
      <c r="HM378"/>
      <c r="HN378"/>
      <c r="HO378"/>
      <c r="HP378"/>
      <c r="HQ378"/>
      <c r="HR378"/>
      <c r="HS378"/>
      <c r="HT378"/>
      <c r="HU378"/>
      <c r="HV378"/>
      <c r="HW378"/>
      <c r="HX378"/>
      <c r="HY378"/>
      <c r="HZ378"/>
      <c r="IA378"/>
      <c r="IB378"/>
      <c r="IC378"/>
      <c r="ID378"/>
      <c r="IE378"/>
      <c r="IF378"/>
      <c r="IG378"/>
      <c r="IH378"/>
      <c r="II378"/>
      <c r="IJ378"/>
      <c r="IK378"/>
      <c r="IL378"/>
      <c r="IM378"/>
      <c r="IN378"/>
      <c r="IO378"/>
      <c r="IP378"/>
      <c r="IQ378"/>
      <c r="IR378"/>
      <c r="IS378"/>
      <c r="IT378"/>
      <c r="IU378"/>
      <c r="IV378"/>
      <c r="IW378"/>
      <c r="IX378"/>
      <c r="IY378"/>
      <c r="IZ378"/>
      <c r="JA378"/>
      <c r="JB378"/>
      <c r="JC378"/>
      <c r="JD378"/>
      <c r="JE378"/>
      <c r="JF378"/>
      <c r="JG378"/>
      <c r="JH378"/>
      <c r="JI378"/>
      <c r="JJ378"/>
      <c r="JK378"/>
      <c r="JL378"/>
      <c r="JM378"/>
      <c r="JN378"/>
      <c r="JO378"/>
      <c r="JP378"/>
      <c r="JQ378"/>
      <c r="JR378"/>
      <c r="JS378"/>
      <c r="JT378"/>
      <c r="JU378"/>
      <c r="JV378"/>
      <c r="JW378"/>
      <c r="JX378"/>
      <c r="JY378"/>
      <c r="JZ378"/>
      <c r="KA378"/>
      <c r="KB378"/>
      <c r="KC378"/>
      <c r="KD378"/>
      <c r="KE378"/>
      <c r="KF378"/>
      <c r="KG378"/>
      <c r="KH378"/>
      <c r="KI378"/>
      <c r="KJ378"/>
      <c r="KK378"/>
      <c r="KL378"/>
      <c r="KM378"/>
      <c r="KN378"/>
      <c r="KO378"/>
      <c r="KP378"/>
      <c r="KQ378"/>
      <c r="KR378"/>
      <c r="KS378"/>
    </row>
    <row r="379" spans="2:305" hidden="1" x14ac:dyDescent="0.35">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c r="AS379"/>
      <c r="AT379"/>
      <c r="AU379"/>
      <c r="AV379"/>
      <c r="AW379"/>
      <c r="AX379"/>
      <c r="AY379"/>
      <c r="AZ379"/>
      <c r="BA379"/>
      <c r="BB379"/>
      <c r="BC379"/>
      <c r="BD379"/>
      <c r="BE379"/>
      <c r="BF379"/>
      <c r="BG379"/>
      <c r="BH379"/>
      <c r="BI379"/>
      <c r="BJ379"/>
      <c r="BK379"/>
      <c r="BL379"/>
      <c r="BM379"/>
      <c r="BN379"/>
      <c r="BO379"/>
      <c r="BP379"/>
      <c r="BQ379"/>
      <c r="BR379"/>
      <c r="BS379"/>
      <c r="BT379"/>
      <c r="BU379"/>
      <c r="BV379"/>
      <c r="BW379"/>
      <c r="BX379"/>
      <c r="BY379"/>
      <c r="BZ379"/>
      <c r="CA379"/>
      <c r="CB379"/>
      <c r="CC379"/>
      <c r="CD379"/>
      <c r="CE379"/>
      <c r="CF379"/>
      <c r="CG379"/>
      <c r="CH379"/>
      <c r="CI379"/>
      <c r="CJ379"/>
      <c r="CK379"/>
      <c r="CL379"/>
      <c r="CM379"/>
      <c r="CN379"/>
      <c r="CO379"/>
      <c r="CP379"/>
      <c r="CQ379"/>
      <c r="CR379"/>
      <c r="CS379"/>
      <c r="CT379"/>
      <c r="CU379"/>
      <c r="CV379"/>
      <c r="CW379"/>
      <c r="CX379"/>
      <c r="CY379"/>
      <c r="CZ379"/>
      <c r="DA379"/>
      <c r="DB379"/>
      <c r="DC379"/>
      <c r="DD379"/>
      <c r="DE379"/>
      <c r="DF379"/>
      <c r="DG379"/>
      <c r="DH379"/>
      <c r="DI379"/>
      <c r="DJ379"/>
      <c r="DK379"/>
      <c r="DL379"/>
      <c r="DM379"/>
      <c r="DN379"/>
      <c r="DO379"/>
      <c r="DP379"/>
      <c r="DQ379"/>
      <c r="DR379"/>
      <c r="DS379"/>
      <c r="DT379"/>
      <c r="DU379"/>
      <c r="DV379"/>
      <c r="DW379"/>
      <c r="DX379"/>
      <c r="DY379"/>
      <c r="DZ379"/>
      <c r="EA379"/>
      <c r="EB379"/>
      <c r="EC379"/>
      <c r="ED379"/>
      <c r="EE379"/>
      <c r="EF379"/>
      <c r="EG379"/>
      <c r="EH379"/>
      <c r="EI379"/>
      <c r="EJ379"/>
      <c r="EK379"/>
      <c r="EL379"/>
      <c r="EM379"/>
      <c r="EN379"/>
      <c r="EO379"/>
      <c r="EP379"/>
      <c r="EQ379"/>
      <c r="ER379"/>
      <c r="ES379"/>
      <c r="ET379"/>
      <c r="EU379"/>
      <c r="EV379"/>
      <c r="EW379"/>
      <c r="EX379"/>
      <c r="EY379"/>
      <c r="EZ379"/>
      <c r="FA379"/>
      <c r="FB379"/>
      <c r="FC379"/>
      <c r="FD379"/>
      <c r="FE379"/>
      <c r="FF379"/>
      <c r="FG379"/>
      <c r="FH379"/>
      <c r="FI379"/>
      <c r="FJ379"/>
      <c r="FK379"/>
      <c r="FL379"/>
      <c r="FM379"/>
      <c r="FN379"/>
      <c r="FO379"/>
      <c r="FP379"/>
      <c r="FQ379"/>
      <c r="FR379"/>
      <c r="FS379"/>
      <c r="FT379"/>
      <c r="FU379"/>
      <c r="FV379"/>
      <c r="FW379"/>
      <c r="FX379"/>
      <c r="FY379"/>
      <c r="FZ379"/>
      <c r="GA379"/>
      <c r="GB379"/>
      <c r="GC379"/>
      <c r="GD379"/>
      <c r="GE379"/>
      <c r="GF379"/>
      <c r="GG379"/>
      <c r="GH379"/>
      <c r="GI379"/>
      <c r="GJ379"/>
      <c r="GK379"/>
      <c r="GL379"/>
      <c r="GM379"/>
      <c r="GN379"/>
      <c r="GO379"/>
      <c r="GP379"/>
      <c r="GQ379"/>
      <c r="GR379"/>
      <c r="GS379"/>
      <c r="GT379"/>
      <c r="GU379"/>
      <c r="GV379"/>
      <c r="GW379"/>
      <c r="GX379"/>
      <c r="GY379"/>
      <c r="GZ379"/>
      <c r="HA379"/>
      <c r="HB379"/>
      <c r="HC379"/>
      <c r="HD379"/>
      <c r="HE379"/>
      <c r="HF379"/>
      <c r="HG379"/>
      <c r="HH379"/>
      <c r="HI379"/>
      <c r="HJ379"/>
      <c r="HK379"/>
      <c r="HL379"/>
      <c r="HM379"/>
      <c r="HN379"/>
      <c r="HO379"/>
      <c r="HP379"/>
      <c r="HQ379"/>
      <c r="HR379"/>
      <c r="HS379"/>
      <c r="HT379"/>
      <c r="HU379"/>
      <c r="HV379"/>
      <c r="HW379"/>
      <c r="HX379"/>
      <c r="HY379"/>
      <c r="HZ379"/>
      <c r="IA379"/>
      <c r="IB379"/>
      <c r="IC379"/>
      <c r="ID379"/>
      <c r="IE379"/>
      <c r="IF379"/>
      <c r="IG379"/>
      <c r="IH379"/>
      <c r="II379"/>
      <c r="IJ379"/>
      <c r="IK379"/>
      <c r="IL379"/>
      <c r="IM379"/>
      <c r="IN379"/>
      <c r="IO379"/>
      <c r="IP379"/>
      <c r="IQ379"/>
      <c r="IR379"/>
      <c r="IS379"/>
      <c r="IT379"/>
      <c r="IU379"/>
      <c r="IV379"/>
      <c r="IW379"/>
      <c r="IX379"/>
      <c r="IY379"/>
      <c r="IZ379"/>
      <c r="JA379"/>
      <c r="JB379"/>
      <c r="JC379"/>
      <c r="JD379"/>
      <c r="JE379"/>
      <c r="JF379"/>
      <c r="JG379"/>
      <c r="JH379"/>
      <c r="JI379"/>
      <c r="JJ379"/>
      <c r="JK379"/>
      <c r="JL379"/>
      <c r="JM379"/>
      <c r="JN379"/>
      <c r="JO379"/>
      <c r="JP379"/>
      <c r="JQ379"/>
      <c r="JR379"/>
      <c r="JS379"/>
      <c r="JT379"/>
      <c r="JU379"/>
      <c r="JV379"/>
      <c r="JW379"/>
      <c r="JX379"/>
      <c r="JY379"/>
      <c r="JZ379"/>
      <c r="KA379"/>
      <c r="KB379"/>
      <c r="KC379"/>
      <c r="KD379"/>
      <c r="KE379"/>
      <c r="KF379"/>
      <c r="KG379"/>
      <c r="KH379"/>
      <c r="KI379"/>
      <c r="KJ379"/>
      <c r="KK379"/>
      <c r="KL379"/>
      <c r="KM379"/>
      <c r="KN379"/>
      <c r="KO379"/>
      <c r="KP379"/>
      <c r="KQ379"/>
      <c r="KR379"/>
      <c r="KS379"/>
    </row>
    <row r="380" spans="2:305" hidden="1" x14ac:dyDescent="0.35">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c r="AS380"/>
      <c r="AT380"/>
      <c r="AU380"/>
      <c r="AV380"/>
      <c r="AW380"/>
      <c r="AX380"/>
      <c r="AY380"/>
      <c r="AZ380"/>
      <c r="BA380"/>
      <c r="BB380"/>
      <c r="BC380"/>
      <c r="BD380"/>
      <c r="BE380"/>
      <c r="BF380"/>
      <c r="BG380"/>
      <c r="BH380"/>
      <c r="BI380"/>
      <c r="BJ380"/>
      <c r="BK380"/>
      <c r="BL380"/>
      <c r="BM380"/>
      <c r="BN380"/>
      <c r="BO380"/>
      <c r="BP380"/>
      <c r="BQ380"/>
      <c r="BR380"/>
      <c r="BS380"/>
      <c r="BT380"/>
      <c r="BU380"/>
      <c r="BV380"/>
      <c r="BW380"/>
      <c r="BX380"/>
      <c r="BY380"/>
      <c r="BZ380"/>
      <c r="CA380"/>
      <c r="CB380"/>
      <c r="CC380"/>
      <c r="CD380"/>
      <c r="CE380"/>
      <c r="CF380"/>
      <c r="CG380"/>
      <c r="CH380"/>
      <c r="CI380"/>
      <c r="CJ380"/>
      <c r="CK380"/>
      <c r="CL380"/>
      <c r="CM380"/>
      <c r="CN380"/>
      <c r="CO380"/>
      <c r="CP380"/>
      <c r="CQ380"/>
      <c r="CR380"/>
      <c r="CS380"/>
      <c r="CT380"/>
      <c r="CU380"/>
      <c r="CV380"/>
      <c r="CW380"/>
      <c r="CX380"/>
      <c r="CY380"/>
      <c r="CZ380"/>
      <c r="DA380"/>
      <c r="DB380"/>
      <c r="DC380"/>
      <c r="DD380"/>
      <c r="DE380"/>
      <c r="DF380"/>
      <c r="DG380"/>
      <c r="DH380"/>
      <c r="DI380"/>
      <c r="DJ380"/>
      <c r="DK380"/>
      <c r="DL380"/>
      <c r="DM380"/>
      <c r="DN380"/>
      <c r="DO380"/>
      <c r="DP380"/>
      <c r="DQ380"/>
      <c r="DR380"/>
      <c r="DS380"/>
      <c r="DT380"/>
      <c r="DU380"/>
      <c r="DV380"/>
      <c r="DW380"/>
      <c r="DX380"/>
      <c r="DY380"/>
      <c r="DZ380"/>
      <c r="EA380"/>
      <c r="EB380"/>
      <c r="EC380"/>
      <c r="ED380"/>
      <c r="EE380"/>
      <c r="EF380"/>
      <c r="EG380"/>
      <c r="EH380"/>
      <c r="EI380"/>
      <c r="EJ380"/>
      <c r="EK380"/>
      <c r="EL380"/>
      <c r="EM380"/>
      <c r="EN380"/>
      <c r="EO380"/>
      <c r="EP380"/>
      <c r="EQ380"/>
      <c r="ER380"/>
      <c r="ES380"/>
      <c r="ET380"/>
      <c r="EU380"/>
      <c r="EV380"/>
      <c r="EW380"/>
      <c r="EX380"/>
      <c r="EY380"/>
      <c r="EZ380"/>
      <c r="FA380"/>
      <c r="FB380"/>
      <c r="FC380"/>
      <c r="FD380"/>
      <c r="FE380"/>
      <c r="FF380"/>
      <c r="FG380"/>
      <c r="FH380"/>
      <c r="FI380"/>
      <c r="FJ380"/>
      <c r="FK380"/>
      <c r="FL380"/>
      <c r="FM380"/>
      <c r="FN380"/>
      <c r="FO380"/>
      <c r="FP380"/>
      <c r="FQ380"/>
      <c r="FR380"/>
      <c r="FS380"/>
      <c r="FT380"/>
      <c r="FU380"/>
      <c r="FV380"/>
      <c r="FW380"/>
      <c r="FX380"/>
      <c r="FY380"/>
      <c r="FZ380"/>
      <c r="GA380"/>
      <c r="GB380"/>
      <c r="GC380"/>
      <c r="GD380"/>
      <c r="GE380"/>
      <c r="GF380"/>
      <c r="GG380"/>
      <c r="GH380"/>
      <c r="GI380"/>
      <c r="GJ380"/>
      <c r="GK380"/>
      <c r="GL380"/>
      <c r="GM380"/>
      <c r="GN380"/>
      <c r="GO380"/>
      <c r="GP380"/>
      <c r="GQ380"/>
      <c r="GR380"/>
      <c r="GS380"/>
      <c r="GT380"/>
      <c r="GU380"/>
      <c r="GV380"/>
      <c r="GW380"/>
      <c r="GX380"/>
      <c r="GY380"/>
      <c r="GZ380"/>
      <c r="HA380"/>
      <c r="HB380"/>
      <c r="HC380"/>
      <c r="HD380"/>
      <c r="HE380"/>
      <c r="HF380"/>
      <c r="HG380"/>
      <c r="HH380"/>
      <c r="HI380"/>
      <c r="HJ380"/>
      <c r="HK380"/>
      <c r="HL380"/>
      <c r="HM380"/>
      <c r="HN380"/>
      <c r="HO380"/>
      <c r="HP380"/>
      <c r="HQ380"/>
      <c r="HR380"/>
      <c r="HS380"/>
      <c r="HT380"/>
      <c r="HU380"/>
      <c r="HV380"/>
      <c r="HW380"/>
      <c r="HX380"/>
      <c r="HY380"/>
      <c r="HZ380"/>
      <c r="IA380"/>
      <c r="IB380"/>
      <c r="IC380"/>
      <c r="ID380"/>
      <c r="IE380"/>
      <c r="IF380"/>
      <c r="IG380"/>
      <c r="IH380"/>
      <c r="II380"/>
      <c r="IJ380"/>
      <c r="IK380"/>
      <c r="IL380"/>
      <c r="IM380"/>
      <c r="IN380"/>
      <c r="IO380"/>
      <c r="IP380"/>
      <c r="IQ380"/>
      <c r="IR380"/>
      <c r="IS380"/>
      <c r="IT380"/>
      <c r="IU380"/>
      <c r="IV380"/>
      <c r="IW380"/>
      <c r="IX380"/>
      <c r="IY380"/>
      <c r="IZ380"/>
      <c r="JA380"/>
      <c r="JB380"/>
      <c r="JC380"/>
      <c r="JD380"/>
      <c r="JE380"/>
      <c r="JF380"/>
      <c r="JG380"/>
      <c r="JH380"/>
      <c r="JI380"/>
      <c r="JJ380"/>
      <c r="JK380"/>
      <c r="JL380"/>
      <c r="JM380"/>
      <c r="JN380"/>
      <c r="JO380"/>
      <c r="JP380"/>
      <c r="JQ380"/>
      <c r="JR380"/>
      <c r="JS380"/>
      <c r="JT380"/>
      <c r="JU380"/>
      <c r="JV380"/>
      <c r="JW380"/>
      <c r="JX380"/>
      <c r="JY380"/>
      <c r="JZ380"/>
      <c r="KA380"/>
      <c r="KB380"/>
      <c r="KC380"/>
      <c r="KD380"/>
      <c r="KE380"/>
      <c r="KF380"/>
      <c r="KG380"/>
      <c r="KH380"/>
      <c r="KI380"/>
      <c r="KJ380"/>
      <c r="KK380"/>
      <c r="KL380"/>
      <c r="KM380"/>
      <c r="KN380"/>
      <c r="KO380"/>
      <c r="KP380"/>
      <c r="KQ380"/>
      <c r="KR380"/>
      <c r="KS380"/>
    </row>
    <row r="381" spans="2:305" hidden="1" x14ac:dyDescent="0.35">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c r="AS381"/>
      <c r="AT381"/>
      <c r="AU381"/>
      <c r="AV381"/>
      <c r="AW381"/>
      <c r="AX381"/>
      <c r="AY381"/>
      <c r="AZ381"/>
      <c r="BA381"/>
      <c r="BB381"/>
      <c r="BC381"/>
      <c r="BD381"/>
      <c r="BE381"/>
      <c r="BF381"/>
      <c r="BG381"/>
      <c r="BH381"/>
      <c r="BI381"/>
      <c r="BJ381"/>
      <c r="BK381"/>
      <c r="BL381"/>
      <c r="BM381"/>
      <c r="BN381"/>
      <c r="BO381"/>
      <c r="BP381"/>
      <c r="BQ381"/>
      <c r="BR381"/>
      <c r="BS381"/>
      <c r="BT381"/>
      <c r="BU381"/>
      <c r="BV381"/>
      <c r="BW381"/>
      <c r="BX381"/>
      <c r="BY381"/>
      <c r="BZ381"/>
      <c r="CA381"/>
      <c r="CB381"/>
      <c r="CC381"/>
      <c r="CD381"/>
      <c r="CE381"/>
      <c r="CF381"/>
      <c r="CG381"/>
      <c r="CH381"/>
      <c r="CI381"/>
      <c r="CJ381"/>
      <c r="CK381"/>
      <c r="CL381"/>
      <c r="CM381"/>
      <c r="CN381"/>
      <c r="CO381"/>
      <c r="CP381"/>
      <c r="CQ381"/>
      <c r="CR381"/>
      <c r="CS381"/>
      <c r="CT381"/>
      <c r="CU381"/>
      <c r="CV381"/>
      <c r="CW381"/>
      <c r="CX381"/>
      <c r="CY381"/>
      <c r="CZ381"/>
      <c r="DA381"/>
      <c r="DB381"/>
      <c r="DC381"/>
      <c r="DD381"/>
      <c r="DE381"/>
      <c r="DF381"/>
      <c r="DG381"/>
      <c r="DH381"/>
      <c r="DI381"/>
      <c r="DJ381"/>
      <c r="DK381"/>
      <c r="DL381"/>
      <c r="DM381"/>
      <c r="DN381"/>
      <c r="DO381"/>
      <c r="DP381"/>
      <c r="DQ381"/>
      <c r="DR381"/>
      <c r="DS381"/>
      <c r="DT381"/>
      <c r="DU381"/>
      <c r="DV381"/>
      <c r="DW381"/>
      <c r="DX381"/>
      <c r="DY381"/>
      <c r="DZ381"/>
      <c r="EA381"/>
      <c r="EB381"/>
      <c r="EC381"/>
      <c r="ED381"/>
      <c r="EE381"/>
      <c r="EF381"/>
      <c r="EG381"/>
      <c r="EH381"/>
      <c r="EI381"/>
      <c r="EJ381"/>
      <c r="EK381"/>
      <c r="EL381"/>
      <c r="EM381"/>
      <c r="EN381"/>
      <c r="EO381"/>
      <c r="EP381"/>
      <c r="EQ381"/>
      <c r="ER381"/>
      <c r="ES381"/>
      <c r="ET381"/>
      <c r="EU381"/>
      <c r="EV381"/>
      <c r="EW381"/>
      <c r="EX381"/>
      <c r="EY381"/>
      <c r="EZ381"/>
      <c r="FA381"/>
      <c r="FB381"/>
      <c r="FC381"/>
      <c r="FD381"/>
      <c r="FE381"/>
      <c r="FF381"/>
      <c r="FG381"/>
      <c r="FH381"/>
      <c r="FI381"/>
      <c r="FJ381"/>
      <c r="FK381"/>
      <c r="FL381"/>
      <c r="FM381"/>
      <c r="FN381"/>
      <c r="FO381"/>
      <c r="FP381"/>
      <c r="FQ381"/>
      <c r="FR381"/>
      <c r="FS381"/>
      <c r="FT381"/>
      <c r="FU381"/>
      <c r="FV381"/>
      <c r="FW381"/>
      <c r="FX381"/>
      <c r="FY381"/>
      <c r="FZ381"/>
      <c r="GA381"/>
      <c r="GB381"/>
      <c r="GC381"/>
      <c r="GD381"/>
      <c r="GE381"/>
      <c r="GF381"/>
      <c r="GG381"/>
      <c r="GH381"/>
      <c r="GI381"/>
      <c r="GJ381"/>
      <c r="GK381"/>
      <c r="GL381"/>
      <c r="GM381"/>
      <c r="GN381"/>
      <c r="GO381"/>
      <c r="GP381"/>
      <c r="GQ381"/>
      <c r="GR381"/>
      <c r="GS381"/>
      <c r="GT381"/>
      <c r="GU381"/>
      <c r="GV381"/>
      <c r="GW381"/>
      <c r="GX381"/>
      <c r="GY381"/>
      <c r="GZ381"/>
      <c r="HA381"/>
      <c r="HB381"/>
      <c r="HC381"/>
      <c r="HD381"/>
      <c r="HE381"/>
      <c r="HF381"/>
      <c r="HG381"/>
      <c r="HH381"/>
      <c r="HI381"/>
      <c r="HJ381"/>
      <c r="HK381"/>
      <c r="HL381"/>
      <c r="HM381"/>
      <c r="HN381"/>
      <c r="HO381"/>
      <c r="HP381"/>
      <c r="HQ381"/>
      <c r="HR381"/>
      <c r="HS381"/>
      <c r="HT381"/>
      <c r="HU381"/>
      <c r="HV381"/>
      <c r="HW381"/>
      <c r="HX381"/>
      <c r="HY381"/>
      <c r="HZ381"/>
      <c r="IA381"/>
      <c r="IB381"/>
      <c r="IC381"/>
      <c r="ID381"/>
      <c r="IE381"/>
      <c r="IF381"/>
      <c r="IG381"/>
      <c r="IH381"/>
      <c r="II381"/>
      <c r="IJ381"/>
      <c r="IK381"/>
      <c r="IL381"/>
      <c r="IM381"/>
      <c r="IN381"/>
      <c r="IO381"/>
      <c r="IP381"/>
      <c r="IQ381"/>
      <c r="IR381"/>
      <c r="IS381"/>
      <c r="IT381"/>
      <c r="IU381"/>
      <c r="IV381"/>
      <c r="IW381"/>
      <c r="IX381"/>
      <c r="IY381"/>
      <c r="IZ381"/>
      <c r="JA381"/>
      <c r="JB381"/>
      <c r="JC381"/>
      <c r="JD381"/>
      <c r="JE381"/>
      <c r="JF381"/>
      <c r="JG381"/>
      <c r="JH381"/>
      <c r="JI381"/>
      <c r="JJ381"/>
      <c r="JK381"/>
      <c r="JL381"/>
      <c r="JM381"/>
      <c r="JN381"/>
      <c r="JO381"/>
      <c r="JP381"/>
      <c r="JQ381"/>
      <c r="JR381"/>
      <c r="JS381"/>
      <c r="JT381"/>
      <c r="JU381"/>
      <c r="JV381"/>
      <c r="JW381"/>
      <c r="JX381"/>
      <c r="JY381"/>
      <c r="JZ381"/>
      <c r="KA381"/>
      <c r="KB381"/>
      <c r="KC381"/>
      <c r="KD381"/>
      <c r="KE381"/>
      <c r="KF381"/>
      <c r="KG381"/>
      <c r="KH381"/>
      <c r="KI381"/>
      <c r="KJ381"/>
      <c r="KK381"/>
      <c r="KL381"/>
      <c r="KM381"/>
      <c r="KN381"/>
      <c r="KO381"/>
      <c r="KP381"/>
      <c r="KQ381"/>
      <c r="KR381"/>
      <c r="KS381"/>
    </row>
    <row r="382" spans="2:305" hidden="1" x14ac:dyDescent="0.35">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c r="AS382"/>
      <c r="AT382"/>
      <c r="AU382"/>
      <c r="AV382"/>
      <c r="AW382"/>
      <c r="AX382"/>
      <c r="AY382"/>
      <c r="AZ382"/>
      <c r="BA382"/>
      <c r="BB382"/>
      <c r="BC382"/>
      <c r="BD382"/>
      <c r="BE382"/>
      <c r="BF382"/>
      <c r="BG382"/>
      <c r="BH382"/>
      <c r="BI382"/>
      <c r="BJ382"/>
      <c r="BK382"/>
      <c r="BL382"/>
      <c r="BM382"/>
      <c r="BN382"/>
      <c r="BO382"/>
      <c r="BP382"/>
      <c r="BQ382"/>
      <c r="BR382"/>
      <c r="BS382"/>
      <c r="BT382"/>
      <c r="BU382"/>
      <c r="BV382"/>
      <c r="BW382"/>
      <c r="BX382"/>
      <c r="BY382"/>
      <c r="BZ382"/>
      <c r="CA382"/>
      <c r="CB382"/>
      <c r="CC382"/>
      <c r="CD382"/>
      <c r="CE382"/>
      <c r="CF382"/>
      <c r="CG382"/>
      <c r="CH382"/>
      <c r="CI382"/>
      <c r="CJ382"/>
      <c r="CK382"/>
      <c r="CL382"/>
      <c r="CM382"/>
      <c r="CN382"/>
      <c r="CO382"/>
      <c r="CP382"/>
      <c r="CQ382"/>
      <c r="CR382"/>
      <c r="CS382"/>
      <c r="CT382"/>
      <c r="CU382"/>
      <c r="CV382"/>
      <c r="CW382"/>
      <c r="CX382"/>
      <c r="CY382"/>
      <c r="CZ382"/>
      <c r="DA382"/>
      <c r="DB382"/>
      <c r="DC382"/>
      <c r="DD382"/>
      <c r="DE382"/>
      <c r="DF382"/>
      <c r="DG382"/>
      <c r="DH382"/>
      <c r="DI382"/>
      <c r="DJ382"/>
      <c r="DK382"/>
      <c r="DL382"/>
      <c r="DM382"/>
      <c r="DN382"/>
      <c r="DO382"/>
      <c r="DP382"/>
      <c r="DQ382"/>
      <c r="DR382"/>
      <c r="DS382"/>
      <c r="DT382"/>
      <c r="DU382"/>
      <c r="DV382"/>
      <c r="DW382"/>
      <c r="DX382"/>
      <c r="DY382"/>
      <c r="DZ382"/>
      <c r="EA382"/>
      <c r="EB382"/>
      <c r="EC382"/>
      <c r="ED382"/>
      <c r="EE382"/>
      <c r="EF382"/>
      <c r="EG382"/>
      <c r="EH382"/>
      <c r="EI382"/>
      <c r="EJ382"/>
      <c r="EK382"/>
      <c r="EL382"/>
      <c r="EM382"/>
      <c r="EN382"/>
      <c r="EO382"/>
      <c r="EP382"/>
      <c r="EQ382"/>
      <c r="ER382"/>
      <c r="ES382"/>
      <c r="ET382"/>
      <c r="EU382"/>
      <c r="EV382"/>
      <c r="EW382"/>
      <c r="EX382"/>
      <c r="EY382"/>
      <c r="EZ382"/>
      <c r="FA382"/>
      <c r="FB382"/>
      <c r="FC382"/>
      <c r="FD382"/>
      <c r="FE382"/>
      <c r="FF382"/>
      <c r="FG382"/>
      <c r="FH382"/>
      <c r="FI382"/>
      <c r="FJ382"/>
      <c r="FK382"/>
      <c r="FL382"/>
      <c r="FM382"/>
      <c r="FN382"/>
      <c r="FO382"/>
      <c r="FP382"/>
      <c r="FQ382"/>
      <c r="FR382"/>
      <c r="FS382"/>
      <c r="FT382"/>
      <c r="FU382"/>
      <c r="FV382"/>
      <c r="FW382"/>
      <c r="FX382"/>
      <c r="FY382"/>
      <c r="FZ382"/>
      <c r="GA382"/>
      <c r="GB382"/>
      <c r="GC382"/>
      <c r="GD382"/>
      <c r="GE382"/>
      <c r="GF382"/>
      <c r="GG382"/>
      <c r="GH382"/>
      <c r="GI382"/>
      <c r="GJ382"/>
      <c r="GK382"/>
      <c r="GL382"/>
      <c r="GM382"/>
      <c r="GN382"/>
      <c r="GO382"/>
      <c r="GP382"/>
      <c r="GQ382"/>
      <c r="GR382"/>
      <c r="GS382"/>
      <c r="GT382"/>
      <c r="GU382"/>
      <c r="GV382"/>
      <c r="GW382"/>
      <c r="GX382"/>
      <c r="GY382"/>
      <c r="GZ382"/>
      <c r="HA382"/>
      <c r="HB382"/>
      <c r="HC382"/>
      <c r="HD382"/>
      <c r="HE382"/>
      <c r="HF382"/>
      <c r="HG382"/>
      <c r="HH382"/>
      <c r="HI382"/>
      <c r="HJ382"/>
      <c r="HK382"/>
      <c r="HL382"/>
      <c r="HM382"/>
      <c r="HN382"/>
      <c r="HO382"/>
      <c r="HP382"/>
      <c r="HQ382"/>
      <c r="HR382"/>
      <c r="HS382"/>
      <c r="HT382"/>
      <c r="HU382"/>
      <c r="HV382"/>
      <c r="HW382"/>
      <c r="HX382"/>
      <c r="HY382"/>
      <c r="HZ382"/>
      <c r="IA382"/>
      <c r="IB382"/>
      <c r="IC382"/>
      <c r="ID382"/>
      <c r="IE382"/>
      <c r="IF382"/>
      <c r="IG382"/>
      <c r="IH382"/>
      <c r="II382"/>
      <c r="IJ382"/>
      <c r="IK382"/>
      <c r="IL382"/>
      <c r="IM382"/>
      <c r="IN382"/>
      <c r="IO382"/>
      <c r="IP382"/>
      <c r="IQ382"/>
      <c r="IR382"/>
      <c r="IS382"/>
      <c r="IT382"/>
      <c r="IU382"/>
      <c r="IV382"/>
      <c r="IW382"/>
      <c r="IX382"/>
      <c r="IY382"/>
      <c r="IZ382"/>
      <c r="JA382"/>
      <c r="JB382"/>
      <c r="JC382"/>
      <c r="JD382"/>
      <c r="JE382"/>
      <c r="JF382"/>
      <c r="JG382"/>
      <c r="JH382"/>
      <c r="JI382"/>
      <c r="JJ382"/>
      <c r="JK382"/>
      <c r="JL382"/>
      <c r="JM382"/>
      <c r="JN382"/>
      <c r="JO382"/>
      <c r="JP382"/>
      <c r="JQ382"/>
      <c r="JR382"/>
      <c r="JS382"/>
      <c r="JT382"/>
      <c r="JU382"/>
      <c r="JV382"/>
      <c r="JW382"/>
      <c r="JX382"/>
      <c r="JY382"/>
      <c r="JZ382"/>
      <c r="KA382"/>
      <c r="KB382"/>
      <c r="KC382"/>
      <c r="KD382"/>
      <c r="KE382"/>
      <c r="KF382"/>
      <c r="KG382"/>
      <c r="KH382"/>
      <c r="KI382"/>
      <c r="KJ382"/>
      <c r="KK382"/>
      <c r="KL382"/>
      <c r="KM382"/>
      <c r="KN382"/>
      <c r="KO382"/>
      <c r="KP382"/>
      <c r="KQ382"/>
      <c r="KR382"/>
      <c r="KS382"/>
    </row>
    <row r="383" spans="2:305" hidden="1" x14ac:dyDescent="0.35">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c r="AS383"/>
      <c r="AT383"/>
      <c r="AU383"/>
      <c r="AV383"/>
      <c r="AW383"/>
      <c r="AX383"/>
      <c r="AY383"/>
      <c r="AZ383"/>
      <c r="BA383"/>
      <c r="BB383"/>
      <c r="BC383"/>
      <c r="BD383"/>
      <c r="BE383"/>
      <c r="BF383"/>
      <c r="BG383"/>
      <c r="BH383"/>
      <c r="BI383"/>
      <c r="BJ383"/>
      <c r="BK383"/>
      <c r="BL383"/>
      <c r="BM383"/>
      <c r="BN383"/>
      <c r="BO383"/>
      <c r="BP383"/>
      <c r="BQ383"/>
      <c r="BR383"/>
      <c r="BS383"/>
      <c r="BT383"/>
      <c r="BU383"/>
      <c r="BV383"/>
      <c r="BW383"/>
      <c r="BX383"/>
      <c r="BY383"/>
      <c r="BZ383"/>
      <c r="CA383"/>
      <c r="CB383"/>
      <c r="CC383"/>
      <c r="CD383"/>
      <c r="CE383"/>
      <c r="CF383"/>
      <c r="CG383"/>
      <c r="CH383"/>
      <c r="CI383"/>
      <c r="CJ383"/>
      <c r="CK383"/>
      <c r="CL383"/>
      <c r="CM383"/>
      <c r="CN383"/>
      <c r="CO383"/>
      <c r="CP383"/>
      <c r="CQ383"/>
      <c r="CR383"/>
      <c r="CS383"/>
      <c r="CT383"/>
      <c r="CU383"/>
      <c r="CV383"/>
      <c r="CW383"/>
      <c r="CX383"/>
      <c r="CY383"/>
      <c r="CZ383"/>
      <c r="DA383"/>
      <c r="DB383"/>
      <c r="DC383"/>
      <c r="DD383"/>
      <c r="DE383"/>
      <c r="DF383"/>
      <c r="DG383"/>
      <c r="DH383"/>
      <c r="DI383"/>
      <c r="DJ383"/>
      <c r="DK383"/>
      <c r="DL383"/>
      <c r="DM383"/>
      <c r="DN383"/>
      <c r="DO383"/>
      <c r="DP383"/>
      <c r="DQ383"/>
      <c r="DR383"/>
      <c r="DS383"/>
      <c r="DT383"/>
      <c r="DU383"/>
      <c r="DV383"/>
      <c r="DW383"/>
      <c r="DX383"/>
      <c r="DY383"/>
      <c r="DZ383"/>
      <c r="EA383"/>
      <c r="EB383"/>
      <c r="EC383"/>
      <c r="ED383"/>
      <c r="EE383"/>
      <c r="EF383"/>
      <c r="EG383"/>
      <c r="EH383"/>
      <c r="EI383"/>
      <c r="EJ383"/>
      <c r="EK383"/>
      <c r="EL383"/>
      <c r="EM383"/>
      <c r="EN383"/>
      <c r="EO383"/>
      <c r="EP383"/>
      <c r="EQ383"/>
      <c r="ER383"/>
      <c r="ES383"/>
      <c r="ET383"/>
      <c r="EU383"/>
      <c r="EV383"/>
      <c r="EW383"/>
      <c r="EX383"/>
      <c r="EY383"/>
      <c r="EZ383"/>
      <c r="FA383"/>
      <c r="FB383"/>
      <c r="FC383"/>
      <c r="FD383"/>
      <c r="FE383"/>
      <c r="FF383"/>
      <c r="FG383"/>
      <c r="FH383"/>
      <c r="FI383"/>
      <c r="FJ383"/>
      <c r="FK383"/>
      <c r="FL383"/>
      <c r="FM383"/>
      <c r="FN383"/>
      <c r="FO383"/>
      <c r="FP383"/>
      <c r="FQ383"/>
      <c r="FR383"/>
      <c r="FS383"/>
      <c r="FT383"/>
      <c r="FU383"/>
      <c r="FV383"/>
      <c r="FW383"/>
      <c r="FX383"/>
      <c r="FY383"/>
      <c r="FZ383"/>
      <c r="GA383"/>
      <c r="GB383"/>
      <c r="GC383"/>
      <c r="GD383"/>
      <c r="GE383"/>
      <c r="GF383"/>
      <c r="GG383"/>
      <c r="GH383"/>
      <c r="GI383"/>
      <c r="GJ383"/>
      <c r="GK383"/>
      <c r="GL383"/>
      <c r="GM383"/>
      <c r="GN383"/>
      <c r="GO383"/>
      <c r="GP383"/>
      <c r="GQ383"/>
      <c r="GR383"/>
      <c r="GS383"/>
      <c r="GT383"/>
      <c r="GU383"/>
      <c r="GV383"/>
      <c r="GW383"/>
      <c r="GX383"/>
      <c r="GY383"/>
      <c r="GZ383"/>
      <c r="HA383"/>
      <c r="HB383"/>
      <c r="HC383"/>
      <c r="HD383"/>
      <c r="HE383"/>
      <c r="HF383"/>
      <c r="HG383"/>
      <c r="HH383"/>
      <c r="HI383"/>
      <c r="HJ383"/>
      <c r="HK383"/>
      <c r="HL383"/>
      <c r="HM383"/>
      <c r="HN383"/>
      <c r="HO383"/>
      <c r="HP383"/>
      <c r="HQ383"/>
      <c r="HR383"/>
      <c r="HS383"/>
      <c r="HT383"/>
      <c r="HU383"/>
      <c r="HV383"/>
      <c r="HW383"/>
      <c r="HX383"/>
      <c r="HY383"/>
      <c r="HZ383"/>
      <c r="IA383"/>
      <c r="IB383"/>
      <c r="IC383"/>
      <c r="ID383"/>
      <c r="IE383"/>
      <c r="IF383"/>
      <c r="IG383"/>
      <c r="IH383"/>
      <c r="II383"/>
      <c r="IJ383"/>
      <c r="IK383"/>
      <c r="IL383"/>
      <c r="IM383"/>
      <c r="IN383"/>
      <c r="IO383"/>
      <c r="IP383"/>
      <c r="IQ383"/>
      <c r="IR383"/>
      <c r="IS383"/>
      <c r="IT383"/>
      <c r="IU383"/>
      <c r="IV383"/>
      <c r="IW383"/>
      <c r="IX383"/>
      <c r="IY383"/>
      <c r="IZ383"/>
      <c r="JA383"/>
      <c r="JB383"/>
      <c r="JC383"/>
      <c r="JD383"/>
      <c r="JE383"/>
      <c r="JF383"/>
      <c r="JG383"/>
      <c r="JH383"/>
      <c r="JI383"/>
      <c r="JJ383"/>
      <c r="JK383"/>
      <c r="JL383"/>
      <c r="JM383"/>
      <c r="JN383"/>
      <c r="JO383"/>
      <c r="JP383"/>
      <c r="JQ383"/>
      <c r="JR383"/>
      <c r="JS383"/>
      <c r="JT383"/>
      <c r="JU383"/>
      <c r="JV383"/>
      <c r="JW383"/>
      <c r="JX383"/>
      <c r="JY383"/>
      <c r="JZ383"/>
      <c r="KA383"/>
      <c r="KB383"/>
      <c r="KC383"/>
      <c r="KD383"/>
      <c r="KE383"/>
      <c r="KF383"/>
      <c r="KG383"/>
      <c r="KH383"/>
      <c r="KI383"/>
      <c r="KJ383"/>
      <c r="KK383"/>
      <c r="KL383"/>
      <c r="KM383"/>
      <c r="KN383"/>
      <c r="KO383"/>
      <c r="KP383"/>
      <c r="KQ383"/>
      <c r="KR383"/>
      <c r="KS383"/>
    </row>
    <row r="384" spans="2:305" hidden="1" x14ac:dyDescent="0.35">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c r="AS384"/>
      <c r="AT384"/>
      <c r="AU384"/>
      <c r="AV384"/>
      <c r="AW384"/>
      <c r="AX384"/>
      <c r="AY384"/>
      <c r="AZ384"/>
      <c r="BA384"/>
      <c r="BB384"/>
      <c r="BC384"/>
      <c r="BD384"/>
      <c r="BE384"/>
      <c r="BF384"/>
      <c r="BG384"/>
      <c r="BH384"/>
      <c r="BI384"/>
      <c r="BJ384"/>
      <c r="BK384"/>
      <c r="BL384"/>
      <c r="BM384"/>
      <c r="BN384"/>
      <c r="BO384"/>
      <c r="BP384"/>
      <c r="BQ384"/>
      <c r="BR384"/>
      <c r="BS384"/>
      <c r="BT384"/>
      <c r="BU384"/>
      <c r="BV384"/>
      <c r="BW384"/>
      <c r="BX384"/>
      <c r="BY384"/>
      <c r="BZ384"/>
      <c r="CA384"/>
      <c r="CB384"/>
      <c r="CC384"/>
      <c r="CD384"/>
      <c r="CE384"/>
      <c r="CF384"/>
      <c r="CG384"/>
      <c r="CH384"/>
      <c r="CI384"/>
      <c r="CJ384"/>
      <c r="CK384"/>
      <c r="CL384"/>
      <c r="CM384"/>
      <c r="CN384"/>
      <c r="CO384"/>
      <c r="CP384"/>
      <c r="CQ384"/>
      <c r="CR384"/>
      <c r="CS384"/>
      <c r="CT384"/>
      <c r="CU384"/>
      <c r="CV384"/>
      <c r="CW384"/>
      <c r="CX384"/>
      <c r="CY384"/>
      <c r="CZ384"/>
      <c r="DA384"/>
      <c r="DB384"/>
      <c r="DC384"/>
      <c r="DD384"/>
      <c r="DE384"/>
      <c r="DF384"/>
      <c r="DG384"/>
      <c r="DH384"/>
      <c r="DI384"/>
      <c r="DJ384"/>
      <c r="DK384"/>
      <c r="DL384"/>
      <c r="DM384"/>
      <c r="DN384"/>
      <c r="DO384"/>
      <c r="DP384"/>
      <c r="DQ384"/>
      <c r="DR384"/>
      <c r="DS384"/>
      <c r="DT384"/>
      <c r="DU384"/>
      <c r="DV384"/>
      <c r="DW384"/>
      <c r="DX384"/>
      <c r="DY384"/>
      <c r="DZ384"/>
      <c r="EA384"/>
      <c r="EB384"/>
      <c r="EC384"/>
      <c r="ED384"/>
      <c r="EE384"/>
      <c r="EF384"/>
      <c r="EG384"/>
      <c r="EH384"/>
      <c r="EI384"/>
      <c r="EJ384"/>
      <c r="EK384"/>
      <c r="EL384"/>
      <c r="EM384"/>
      <c r="EN384"/>
      <c r="EO384"/>
      <c r="EP384"/>
      <c r="EQ384"/>
      <c r="ER384"/>
      <c r="ES384"/>
      <c r="ET384"/>
      <c r="EU384"/>
      <c r="EV384"/>
      <c r="EW384"/>
      <c r="EX384"/>
      <c r="EY384"/>
      <c r="EZ384"/>
      <c r="FA384"/>
      <c r="FB384"/>
      <c r="FC384"/>
      <c r="FD384"/>
      <c r="FE384"/>
      <c r="FF384"/>
      <c r="FG384"/>
      <c r="FH384"/>
      <c r="FI384"/>
      <c r="FJ384"/>
      <c r="FK384"/>
      <c r="FL384"/>
      <c r="FM384"/>
      <c r="FN384"/>
      <c r="FO384"/>
      <c r="FP384"/>
      <c r="FQ384"/>
      <c r="FR384"/>
      <c r="FS384"/>
      <c r="FT384"/>
      <c r="FU384"/>
      <c r="FV384"/>
      <c r="FW384"/>
      <c r="FX384"/>
      <c r="FY384"/>
      <c r="FZ384"/>
      <c r="GA384"/>
      <c r="GB384"/>
      <c r="GC384"/>
      <c r="GD384"/>
      <c r="GE384"/>
      <c r="GF384"/>
      <c r="GG384"/>
      <c r="GH384"/>
      <c r="GI384"/>
      <c r="GJ384"/>
      <c r="GK384"/>
      <c r="GL384"/>
      <c r="GM384"/>
      <c r="GN384"/>
      <c r="GO384"/>
      <c r="GP384"/>
      <c r="GQ384"/>
      <c r="GR384"/>
      <c r="GS384"/>
      <c r="GT384"/>
      <c r="GU384"/>
      <c r="GV384"/>
      <c r="GW384"/>
      <c r="GX384"/>
      <c r="GY384"/>
      <c r="GZ384"/>
      <c r="HA384"/>
      <c r="HB384"/>
      <c r="HC384"/>
      <c r="HD384"/>
      <c r="HE384"/>
      <c r="HF384"/>
      <c r="HG384"/>
      <c r="HH384"/>
      <c r="HI384"/>
      <c r="HJ384"/>
      <c r="HK384"/>
      <c r="HL384"/>
      <c r="HM384"/>
      <c r="HN384"/>
      <c r="HO384"/>
      <c r="HP384"/>
      <c r="HQ384"/>
      <c r="HR384"/>
      <c r="HS384"/>
      <c r="HT384"/>
      <c r="HU384"/>
      <c r="HV384"/>
      <c r="HW384"/>
      <c r="HX384"/>
      <c r="HY384"/>
      <c r="HZ384"/>
      <c r="IA384"/>
      <c r="IB384"/>
      <c r="IC384"/>
      <c r="ID384"/>
      <c r="IE384"/>
      <c r="IF384"/>
      <c r="IG384"/>
      <c r="IH384"/>
      <c r="II384"/>
      <c r="IJ384"/>
      <c r="IK384"/>
      <c r="IL384"/>
      <c r="IM384"/>
      <c r="IN384"/>
      <c r="IO384"/>
      <c r="IP384"/>
      <c r="IQ384"/>
      <c r="IR384"/>
      <c r="IS384"/>
      <c r="IT384"/>
      <c r="IU384"/>
      <c r="IV384"/>
      <c r="IW384"/>
      <c r="IX384"/>
      <c r="IY384"/>
      <c r="IZ384"/>
      <c r="JA384"/>
      <c r="JB384"/>
      <c r="JC384"/>
      <c r="JD384"/>
      <c r="JE384"/>
      <c r="JF384"/>
      <c r="JG384"/>
      <c r="JH384"/>
      <c r="JI384"/>
      <c r="JJ384"/>
      <c r="JK384"/>
      <c r="JL384"/>
      <c r="JM384"/>
      <c r="JN384"/>
      <c r="JO384"/>
      <c r="JP384"/>
      <c r="JQ384"/>
      <c r="JR384"/>
      <c r="JS384"/>
      <c r="JT384"/>
      <c r="JU384"/>
      <c r="JV384"/>
      <c r="JW384"/>
      <c r="JX384"/>
      <c r="JY384"/>
      <c r="JZ384"/>
      <c r="KA384"/>
      <c r="KB384"/>
      <c r="KC384"/>
      <c r="KD384"/>
      <c r="KE384"/>
      <c r="KF384"/>
      <c r="KG384"/>
      <c r="KH384"/>
      <c r="KI384"/>
      <c r="KJ384"/>
      <c r="KK384"/>
      <c r="KL384"/>
      <c r="KM384"/>
      <c r="KN384"/>
      <c r="KO384"/>
      <c r="KP384"/>
      <c r="KQ384"/>
      <c r="KR384"/>
      <c r="KS384"/>
    </row>
    <row r="385" spans="2:305" hidden="1" x14ac:dyDescent="0.3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c r="AS385"/>
      <c r="AT385"/>
      <c r="AU385"/>
      <c r="AV385"/>
      <c r="AW385"/>
      <c r="AX385"/>
      <c r="AY385"/>
      <c r="AZ385"/>
      <c r="BA385"/>
      <c r="BB385"/>
      <c r="BC385"/>
      <c r="BD385"/>
      <c r="BE385"/>
      <c r="BF385"/>
      <c r="BG385"/>
      <c r="BH385"/>
      <c r="BI385"/>
      <c r="BJ385"/>
      <c r="BK385"/>
      <c r="BL385"/>
      <c r="BM385"/>
      <c r="BN385"/>
      <c r="BO385"/>
      <c r="BP385"/>
      <c r="BQ385"/>
      <c r="BR385"/>
      <c r="BS385"/>
      <c r="BT385"/>
      <c r="BU385"/>
      <c r="BV385"/>
      <c r="BW385"/>
      <c r="BX385"/>
      <c r="BY385"/>
      <c r="BZ385"/>
      <c r="CA385"/>
      <c r="CB385"/>
      <c r="CC385"/>
      <c r="CD385"/>
      <c r="CE385"/>
      <c r="CF385"/>
      <c r="CG385"/>
      <c r="CH385"/>
      <c r="CI385"/>
      <c r="CJ385"/>
      <c r="CK385"/>
      <c r="CL385"/>
      <c r="CM385"/>
      <c r="CN385"/>
      <c r="CO385"/>
      <c r="CP385"/>
      <c r="CQ385"/>
      <c r="CR385"/>
      <c r="CS385"/>
      <c r="CT385"/>
      <c r="CU385"/>
      <c r="CV385"/>
      <c r="CW385"/>
      <c r="CX385"/>
      <c r="CY385"/>
      <c r="CZ385"/>
      <c r="DA385"/>
      <c r="DB385"/>
      <c r="DC385"/>
      <c r="DD385"/>
      <c r="DE385"/>
      <c r="DF385"/>
      <c r="DG385"/>
      <c r="DH385"/>
      <c r="DI385"/>
      <c r="DJ385"/>
      <c r="DK385"/>
      <c r="DL385"/>
      <c r="DM385"/>
      <c r="DN385"/>
      <c r="DO385"/>
      <c r="DP385"/>
      <c r="DQ385"/>
      <c r="DR385"/>
      <c r="DS385"/>
      <c r="DT385"/>
      <c r="DU385"/>
      <c r="DV385"/>
      <c r="DW385"/>
      <c r="DX385"/>
      <c r="DY385"/>
      <c r="DZ385"/>
      <c r="EA385"/>
      <c r="EB385"/>
      <c r="EC385"/>
      <c r="ED385"/>
      <c r="EE385"/>
      <c r="EF385"/>
      <c r="EG385"/>
      <c r="EH385"/>
      <c r="EI385"/>
      <c r="EJ385"/>
      <c r="EK385"/>
      <c r="EL385"/>
      <c r="EM385"/>
      <c r="EN385"/>
      <c r="EO385"/>
      <c r="EP385"/>
      <c r="EQ385"/>
      <c r="ER385"/>
      <c r="ES385"/>
      <c r="ET385"/>
      <c r="EU385"/>
      <c r="EV385"/>
      <c r="EW385"/>
      <c r="EX385"/>
      <c r="EY385"/>
      <c r="EZ385"/>
      <c r="FA385"/>
      <c r="FB385"/>
      <c r="FC385"/>
      <c r="FD385"/>
      <c r="FE385"/>
      <c r="FF385"/>
      <c r="FG385"/>
      <c r="FH385"/>
      <c r="FI385"/>
      <c r="FJ385"/>
      <c r="FK385"/>
      <c r="FL385"/>
      <c r="FM385"/>
      <c r="FN385"/>
      <c r="FO385"/>
      <c r="FP385"/>
      <c r="FQ385"/>
      <c r="FR385"/>
      <c r="FS385"/>
      <c r="FT385"/>
      <c r="FU385"/>
      <c r="FV385"/>
      <c r="FW385"/>
      <c r="FX385"/>
      <c r="FY385"/>
      <c r="FZ385"/>
      <c r="GA385"/>
      <c r="GB385"/>
      <c r="GC385"/>
      <c r="GD385"/>
      <c r="GE385"/>
      <c r="GF385"/>
      <c r="GG385"/>
      <c r="GH385"/>
      <c r="GI385"/>
      <c r="GJ385"/>
      <c r="GK385"/>
      <c r="GL385"/>
      <c r="GM385"/>
      <c r="GN385"/>
      <c r="GO385"/>
      <c r="GP385"/>
      <c r="GQ385"/>
      <c r="GR385"/>
      <c r="GS385"/>
      <c r="GT385"/>
      <c r="GU385"/>
      <c r="GV385"/>
      <c r="GW385"/>
      <c r="GX385"/>
      <c r="GY385"/>
      <c r="GZ385"/>
      <c r="HA385"/>
      <c r="HB385"/>
      <c r="HC385"/>
      <c r="HD385"/>
      <c r="HE385"/>
      <c r="HF385"/>
      <c r="HG385"/>
      <c r="HH385"/>
      <c r="HI385"/>
      <c r="HJ385"/>
      <c r="HK385"/>
      <c r="HL385"/>
      <c r="HM385"/>
      <c r="HN385"/>
      <c r="HO385"/>
      <c r="HP385"/>
      <c r="HQ385"/>
      <c r="HR385"/>
      <c r="HS385"/>
      <c r="HT385"/>
      <c r="HU385"/>
      <c r="HV385"/>
      <c r="HW385"/>
      <c r="HX385"/>
      <c r="HY385"/>
      <c r="HZ385"/>
      <c r="IA385"/>
      <c r="IB385"/>
      <c r="IC385"/>
      <c r="ID385"/>
      <c r="IE385"/>
      <c r="IF385"/>
      <c r="IG385"/>
      <c r="IH385"/>
      <c r="II385"/>
      <c r="IJ385"/>
      <c r="IK385"/>
      <c r="IL385"/>
      <c r="IM385"/>
      <c r="IN385"/>
      <c r="IO385"/>
      <c r="IP385"/>
      <c r="IQ385"/>
      <c r="IR385"/>
      <c r="IS385"/>
      <c r="IT385"/>
      <c r="IU385"/>
      <c r="IV385"/>
      <c r="IW385"/>
      <c r="IX385"/>
      <c r="IY385"/>
      <c r="IZ385"/>
      <c r="JA385"/>
      <c r="JB385"/>
      <c r="JC385"/>
      <c r="JD385"/>
      <c r="JE385"/>
      <c r="JF385"/>
      <c r="JG385"/>
      <c r="JH385"/>
      <c r="JI385"/>
      <c r="JJ385"/>
      <c r="JK385"/>
      <c r="JL385"/>
      <c r="JM385"/>
      <c r="JN385"/>
      <c r="JO385"/>
      <c r="JP385"/>
      <c r="JQ385"/>
      <c r="JR385"/>
      <c r="JS385"/>
      <c r="JT385"/>
      <c r="JU385"/>
      <c r="JV385"/>
      <c r="JW385"/>
      <c r="JX385"/>
      <c r="JY385"/>
      <c r="JZ385"/>
      <c r="KA385"/>
      <c r="KB385"/>
      <c r="KC385"/>
      <c r="KD385"/>
      <c r="KE385"/>
      <c r="KF385"/>
      <c r="KG385"/>
      <c r="KH385"/>
      <c r="KI385"/>
      <c r="KJ385"/>
      <c r="KK385"/>
      <c r="KL385"/>
      <c r="KM385"/>
      <c r="KN385"/>
      <c r="KO385"/>
      <c r="KP385"/>
      <c r="KQ385"/>
      <c r="KR385"/>
      <c r="KS385"/>
    </row>
    <row r="386" spans="2:305" hidden="1" x14ac:dyDescent="0.35">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c r="AS386"/>
      <c r="AT386"/>
      <c r="AU386"/>
      <c r="AV386"/>
      <c r="AW386"/>
      <c r="AX386"/>
      <c r="AY386"/>
      <c r="AZ386"/>
      <c r="BA386"/>
      <c r="BB386"/>
      <c r="BC386"/>
      <c r="BD386"/>
      <c r="BE386"/>
      <c r="BF386"/>
      <c r="BG386"/>
      <c r="BH386"/>
      <c r="BI386"/>
      <c r="BJ386"/>
      <c r="BK386"/>
      <c r="BL386"/>
      <c r="BM386"/>
      <c r="BN386"/>
      <c r="BO386"/>
      <c r="BP386"/>
      <c r="BQ386"/>
      <c r="BR386"/>
      <c r="BS386"/>
      <c r="BT386"/>
      <c r="BU386"/>
      <c r="BV386"/>
      <c r="BW386"/>
      <c r="BX386"/>
      <c r="BY386"/>
      <c r="BZ386"/>
      <c r="CA386"/>
      <c r="CB386"/>
      <c r="CC386"/>
      <c r="CD386"/>
      <c r="CE386"/>
      <c r="CF386"/>
      <c r="CG386"/>
      <c r="CH386"/>
      <c r="CI386"/>
      <c r="CJ386"/>
      <c r="CK386"/>
      <c r="CL386"/>
      <c r="CM386"/>
      <c r="CN386"/>
      <c r="CO386"/>
      <c r="CP386"/>
      <c r="CQ386"/>
      <c r="CR386"/>
      <c r="CS386"/>
      <c r="CT386"/>
      <c r="CU386"/>
      <c r="CV386"/>
      <c r="CW386"/>
      <c r="CX386"/>
      <c r="CY386"/>
      <c r="CZ386"/>
      <c r="DA386"/>
      <c r="DB386"/>
      <c r="DC386"/>
      <c r="DD386"/>
      <c r="DE386"/>
      <c r="DF386"/>
      <c r="DG386"/>
      <c r="DH386"/>
      <c r="DI386"/>
      <c r="DJ386"/>
      <c r="DK386"/>
      <c r="DL386"/>
      <c r="DM386"/>
      <c r="DN386"/>
      <c r="DO386"/>
      <c r="DP386"/>
      <c r="DQ386"/>
      <c r="DR386"/>
      <c r="DS386"/>
      <c r="DT386"/>
      <c r="DU386"/>
      <c r="DV386"/>
      <c r="DW386"/>
      <c r="DX386"/>
      <c r="DY386"/>
      <c r="DZ386"/>
      <c r="EA386"/>
      <c r="EB386"/>
      <c r="EC386"/>
      <c r="ED386"/>
      <c r="EE386"/>
      <c r="EF386"/>
      <c r="EG386"/>
      <c r="EH386"/>
      <c r="EI386"/>
      <c r="EJ386"/>
      <c r="EK386"/>
      <c r="EL386"/>
      <c r="EM386"/>
      <c r="EN386"/>
      <c r="EO386"/>
      <c r="EP386"/>
      <c r="EQ386"/>
      <c r="ER386"/>
      <c r="ES386"/>
      <c r="ET386"/>
      <c r="EU386"/>
      <c r="EV386"/>
      <c r="EW386"/>
      <c r="EX386"/>
      <c r="EY386"/>
      <c r="EZ386"/>
      <c r="FA386"/>
      <c r="FB386"/>
      <c r="FC386"/>
      <c r="FD386"/>
      <c r="FE386"/>
      <c r="FF386"/>
      <c r="FG386"/>
      <c r="FH386"/>
      <c r="FI386"/>
      <c r="FJ386"/>
      <c r="FK386"/>
      <c r="FL386"/>
      <c r="FM386"/>
      <c r="FN386"/>
      <c r="FO386"/>
      <c r="FP386"/>
      <c r="FQ386"/>
      <c r="FR386"/>
      <c r="FS386"/>
      <c r="FT386"/>
      <c r="FU386"/>
      <c r="FV386"/>
      <c r="FW386"/>
      <c r="FX386"/>
      <c r="FY386"/>
      <c r="FZ386"/>
      <c r="GA386"/>
      <c r="GB386"/>
      <c r="GC386"/>
      <c r="GD386"/>
      <c r="GE386"/>
      <c r="GF386"/>
      <c r="GG386"/>
      <c r="GH386"/>
      <c r="GI386"/>
      <c r="GJ386"/>
      <c r="GK386"/>
      <c r="GL386"/>
      <c r="GM386"/>
      <c r="GN386"/>
      <c r="GO386"/>
      <c r="GP386"/>
      <c r="GQ386"/>
      <c r="GR386"/>
      <c r="GS386"/>
      <c r="GT386"/>
      <c r="GU386"/>
      <c r="GV386"/>
      <c r="GW386"/>
      <c r="GX386"/>
      <c r="GY386"/>
      <c r="GZ386"/>
      <c r="HA386"/>
      <c r="HB386"/>
      <c r="HC386"/>
      <c r="HD386"/>
      <c r="HE386"/>
      <c r="HF386"/>
      <c r="HG386"/>
      <c r="HH386"/>
      <c r="HI386"/>
      <c r="HJ386"/>
      <c r="HK386"/>
      <c r="HL386"/>
      <c r="HM386"/>
      <c r="HN386"/>
      <c r="HO386"/>
      <c r="HP386"/>
      <c r="HQ386"/>
      <c r="HR386"/>
      <c r="HS386"/>
      <c r="HT386"/>
      <c r="HU386"/>
      <c r="HV386"/>
      <c r="HW386"/>
      <c r="HX386"/>
      <c r="HY386"/>
      <c r="HZ386"/>
      <c r="IA386"/>
      <c r="IB386"/>
      <c r="IC386"/>
      <c r="ID386"/>
      <c r="IE386"/>
      <c r="IF386"/>
      <c r="IG386"/>
      <c r="IH386"/>
      <c r="II386"/>
      <c r="IJ386"/>
      <c r="IK386"/>
      <c r="IL386"/>
      <c r="IM386"/>
      <c r="IN386"/>
      <c r="IO386"/>
      <c r="IP386"/>
      <c r="IQ386"/>
      <c r="IR386"/>
      <c r="IS386"/>
      <c r="IT386"/>
      <c r="IU386"/>
      <c r="IV386"/>
      <c r="IW386"/>
      <c r="IX386"/>
      <c r="IY386"/>
      <c r="IZ386"/>
      <c r="JA386"/>
      <c r="JB386"/>
      <c r="JC386"/>
      <c r="JD386"/>
      <c r="JE386"/>
      <c r="JF386"/>
      <c r="JG386"/>
      <c r="JH386"/>
      <c r="JI386"/>
      <c r="JJ386"/>
      <c r="JK386"/>
      <c r="JL386"/>
      <c r="JM386"/>
      <c r="JN386"/>
      <c r="JO386"/>
      <c r="JP386"/>
      <c r="JQ386"/>
      <c r="JR386"/>
      <c r="JS386"/>
      <c r="JT386"/>
      <c r="JU386"/>
      <c r="JV386"/>
      <c r="JW386"/>
      <c r="JX386"/>
      <c r="JY386"/>
      <c r="JZ386"/>
      <c r="KA386"/>
      <c r="KB386"/>
      <c r="KC386"/>
      <c r="KD386"/>
      <c r="KE386"/>
      <c r="KF386"/>
      <c r="KG386"/>
      <c r="KH386"/>
      <c r="KI386"/>
      <c r="KJ386"/>
      <c r="KK386"/>
      <c r="KL386"/>
      <c r="KM386"/>
      <c r="KN386"/>
      <c r="KO386"/>
      <c r="KP386"/>
      <c r="KQ386"/>
      <c r="KR386"/>
      <c r="KS386"/>
    </row>
    <row r="387" spans="2:305" hidden="1" x14ac:dyDescent="0.35">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c r="AS387"/>
      <c r="AT387"/>
      <c r="AU387"/>
      <c r="AV387"/>
      <c r="AW387"/>
      <c r="AX387"/>
      <c r="AY387"/>
      <c r="AZ387"/>
      <c r="BA387"/>
      <c r="BB387"/>
      <c r="BC387"/>
      <c r="BD387"/>
      <c r="BE387"/>
      <c r="BF387"/>
      <c r="BG387"/>
      <c r="BH387"/>
      <c r="BI387"/>
      <c r="BJ387"/>
      <c r="BK387"/>
      <c r="BL387"/>
      <c r="BM387"/>
      <c r="BN387"/>
      <c r="BO387"/>
      <c r="BP387"/>
      <c r="BQ387"/>
      <c r="BR387"/>
      <c r="BS387"/>
      <c r="BT387"/>
      <c r="BU387"/>
      <c r="BV387"/>
      <c r="BW387"/>
      <c r="BX387"/>
      <c r="BY387"/>
      <c r="BZ387"/>
      <c r="CA387"/>
      <c r="CB387"/>
      <c r="CC387"/>
      <c r="CD387"/>
      <c r="CE387"/>
      <c r="CF387"/>
      <c r="CG387"/>
      <c r="CH387"/>
      <c r="CI387"/>
      <c r="CJ387"/>
      <c r="CK387"/>
      <c r="CL387"/>
      <c r="CM387"/>
      <c r="CN387"/>
      <c r="CO387"/>
      <c r="CP387"/>
      <c r="CQ387"/>
      <c r="CR387"/>
      <c r="CS387"/>
      <c r="CT387"/>
      <c r="CU387"/>
      <c r="CV387"/>
      <c r="CW387"/>
      <c r="CX387"/>
      <c r="CY387"/>
      <c r="CZ387"/>
      <c r="DA387"/>
      <c r="DB387"/>
      <c r="DC387"/>
      <c r="DD387"/>
      <c r="DE387"/>
      <c r="DF387"/>
      <c r="DG387"/>
      <c r="DH387"/>
      <c r="DI387"/>
      <c r="DJ387"/>
      <c r="DK387"/>
      <c r="DL387"/>
      <c r="DM387"/>
      <c r="DN387"/>
      <c r="DO387"/>
      <c r="DP387"/>
      <c r="DQ387"/>
      <c r="DR387"/>
      <c r="DS387"/>
      <c r="DT387"/>
      <c r="DU387"/>
      <c r="DV387"/>
      <c r="DW387"/>
      <c r="DX387"/>
      <c r="DY387"/>
      <c r="DZ387"/>
      <c r="EA387"/>
      <c r="EB387"/>
      <c r="EC387"/>
      <c r="ED387"/>
      <c r="EE387"/>
      <c r="EF387"/>
      <c r="EG387"/>
      <c r="EH387"/>
      <c r="EI387"/>
      <c r="EJ387"/>
      <c r="EK387"/>
      <c r="EL387"/>
      <c r="EM387"/>
      <c r="EN387"/>
      <c r="EO387"/>
      <c r="EP387"/>
      <c r="EQ387"/>
      <c r="ER387"/>
      <c r="ES387"/>
      <c r="ET387"/>
      <c r="EU387"/>
      <c r="EV387"/>
      <c r="EW387"/>
      <c r="EX387"/>
      <c r="EY387"/>
      <c r="EZ387"/>
      <c r="FA387"/>
      <c r="FB387"/>
      <c r="FC387"/>
      <c r="FD387"/>
      <c r="FE387"/>
      <c r="FF387"/>
      <c r="FG387"/>
      <c r="FH387"/>
      <c r="FI387"/>
      <c r="FJ387"/>
      <c r="FK387"/>
      <c r="FL387"/>
      <c r="FM387"/>
      <c r="FN387"/>
      <c r="FO387"/>
      <c r="FP387"/>
      <c r="FQ387"/>
      <c r="FR387"/>
      <c r="FS387"/>
      <c r="FT387"/>
      <c r="FU387"/>
      <c r="FV387"/>
      <c r="FW387"/>
      <c r="FX387"/>
      <c r="FY387"/>
      <c r="FZ387"/>
      <c r="GA387"/>
      <c r="GB387"/>
      <c r="GC387"/>
      <c r="GD387"/>
      <c r="GE387"/>
      <c r="GF387"/>
      <c r="GG387"/>
      <c r="GH387"/>
      <c r="GI387"/>
      <c r="GJ387"/>
      <c r="GK387"/>
      <c r="GL387"/>
      <c r="GM387"/>
      <c r="GN387"/>
      <c r="GO387"/>
      <c r="GP387"/>
      <c r="GQ387"/>
      <c r="GR387"/>
      <c r="GS387"/>
      <c r="GT387"/>
      <c r="GU387"/>
      <c r="GV387"/>
      <c r="GW387"/>
      <c r="GX387"/>
      <c r="GY387"/>
      <c r="GZ387"/>
      <c r="HA387"/>
      <c r="HB387"/>
      <c r="HC387"/>
      <c r="HD387"/>
      <c r="HE387"/>
      <c r="HF387"/>
      <c r="HG387"/>
      <c r="HH387"/>
      <c r="HI387"/>
      <c r="HJ387"/>
      <c r="HK387"/>
      <c r="HL387"/>
      <c r="HM387"/>
      <c r="HN387"/>
      <c r="HO387"/>
      <c r="HP387"/>
      <c r="HQ387"/>
      <c r="HR387"/>
      <c r="HS387"/>
      <c r="HT387"/>
      <c r="HU387"/>
      <c r="HV387"/>
      <c r="HW387"/>
      <c r="HX387"/>
      <c r="HY387"/>
      <c r="HZ387"/>
      <c r="IA387"/>
      <c r="IB387"/>
      <c r="IC387"/>
      <c r="ID387"/>
      <c r="IE387"/>
      <c r="IF387"/>
      <c r="IG387"/>
      <c r="IH387"/>
      <c r="II387"/>
      <c r="IJ387"/>
      <c r="IK387"/>
      <c r="IL387"/>
      <c r="IM387"/>
      <c r="IN387"/>
      <c r="IO387"/>
      <c r="IP387"/>
      <c r="IQ387"/>
      <c r="IR387"/>
      <c r="IS387"/>
      <c r="IT387"/>
      <c r="IU387"/>
      <c r="IV387"/>
      <c r="IW387"/>
      <c r="IX387"/>
      <c r="IY387"/>
      <c r="IZ387"/>
      <c r="JA387"/>
      <c r="JB387"/>
      <c r="JC387"/>
      <c r="JD387"/>
      <c r="JE387"/>
      <c r="JF387"/>
      <c r="JG387"/>
      <c r="JH387"/>
      <c r="JI387"/>
      <c r="JJ387"/>
      <c r="JK387"/>
      <c r="JL387"/>
      <c r="JM387"/>
      <c r="JN387"/>
      <c r="JO387"/>
      <c r="JP387"/>
      <c r="JQ387"/>
      <c r="JR387"/>
      <c r="JS387"/>
      <c r="JT387"/>
      <c r="JU387"/>
      <c r="JV387"/>
      <c r="JW387"/>
      <c r="JX387"/>
      <c r="JY387"/>
      <c r="JZ387"/>
      <c r="KA387"/>
      <c r="KB387"/>
      <c r="KC387"/>
      <c r="KD387"/>
      <c r="KE387"/>
      <c r="KF387"/>
      <c r="KG387"/>
      <c r="KH387"/>
      <c r="KI387"/>
      <c r="KJ387"/>
      <c r="KK387"/>
      <c r="KL387"/>
      <c r="KM387"/>
      <c r="KN387"/>
      <c r="KO387"/>
      <c r="KP387"/>
      <c r="KQ387"/>
      <c r="KR387"/>
      <c r="KS387"/>
    </row>
    <row r="388" spans="2:305" hidden="1" x14ac:dyDescent="0.35">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c r="AS388"/>
      <c r="AT388"/>
      <c r="AU388"/>
      <c r="AV388"/>
      <c r="AW388"/>
      <c r="AX388"/>
      <c r="AY388"/>
      <c r="AZ388"/>
      <c r="BA388"/>
      <c r="BB388"/>
      <c r="BC388"/>
      <c r="BD388"/>
      <c r="BE388"/>
      <c r="BF388"/>
      <c r="BG388"/>
      <c r="BH388"/>
      <c r="BI388"/>
      <c r="BJ388"/>
      <c r="BK388"/>
      <c r="BL388"/>
      <c r="BM388"/>
      <c r="BN388"/>
      <c r="BO388"/>
      <c r="BP388"/>
      <c r="BQ388"/>
      <c r="BR388"/>
      <c r="BS388"/>
      <c r="BT388"/>
      <c r="BU388"/>
      <c r="BV388"/>
      <c r="BW388"/>
      <c r="BX388"/>
      <c r="BY388"/>
      <c r="BZ388"/>
      <c r="CA388"/>
      <c r="CB388"/>
      <c r="CC388"/>
      <c r="CD388"/>
      <c r="CE388"/>
      <c r="CF388"/>
      <c r="CG388"/>
      <c r="CH388"/>
      <c r="CI388"/>
      <c r="CJ388"/>
      <c r="CK388"/>
      <c r="CL388"/>
      <c r="CM388"/>
      <c r="CN388"/>
      <c r="CO388"/>
      <c r="CP388"/>
      <c r="CQ388"/>
      <c r="CR388"/>
      <c r="CS388"/>
      <c r="CT388"/>
      <c r="CU388"/>
      <c r="CV388"/>
      <c r="CW388"/>
      <c r="CX388"/>
      <c r="CY388"/>
      <c r="CZ388"/>
      <c r="DA388"/>
      <c r="DB388"/>
      <c r="DC388"/>
      <c r="DD388"/>
      <c r="DE388"/>
      <c r="DF388"/>
      <c r="DG388"/>
      <c r="DH388"/>
      <c r="DI388"/>
      <c r="DJ388"/>
      <c r="DK388"/>
      <c r="DL388"/>
      <c r="DM388"/>
      <c r="DN388"/>
      <c r="DO388"/>
      <c r="DP388"/>
      <c r="DQ388"/>
      <c r="DR388"/>
      <c r="DS388"/>
      <c r="DT388"/>
      <c r="DU388"/>
      <c r="DV388"/>
      <c r="DW388"/>
      <c r="DX388"/>
      <c r="DY388"/>
      <c r="DZ388"/>
      <c r="EA388"/>
      <c r="EB388"/>
      <c r="EC388"/>
      <c r="ED388"/>
      <c r="EE388"/>
      <c r="EF388"/>
      <c r="EG388"/>
      <c r="EH388"/>
      <c r="EI388"/>
      <c r="EJ388"/>
      <c r="EK388"/>
      <c r="EL388"/>
      <c r="EM388"/>
      <c r="EN388"/>
      <c r="EO388"/>
      <c r="EP388"/>
      <c r="EQ388"/>
      <c r="ER388"/>
      <c r="ES388"/>
      <c r="ET388"/>
      <c r="EU388"/>
      <c r="EV388"/>
      <c r="EW388"/>
      <c r="EX388"/>
      <c r="EY388"/>
      <c r="EZ388"/>
      <c r="FA388"/>
      <c r="FB388"/>
      <c r="FC388"/>
      <c r="FD388"/>
      <c r="FE388"/>
      <c r="FF388"/>
      <c r="FG388"/>
      <c r="FH388"/>
      <c r="FI388"/>
      <c r="FJ388"/>
      <c r="FK388"/>
      <c r="FL388"/>
      <c r="FM388"/>
      <c r="FN388"/>
      <c r="FO388"/>
      <c r="FP388"/>
      <c r="FQ388"/>
      <c r="FR388"/>
      <c r="FS388"/>
      <c r="FT388"/>
      <c r="FU388"/>
      <c r="FV388"/>
      <c r="FW388"/>
      <c r="FX388"/>
      <c r="FY388"/>
      <c r="FZ388"/>
      <c r="GA388"/>
      <c r="GB388"/>
      <c r="GC388"/>
      <c r="GD388"/>
      <c r="GE388"/>
      <c r="GF388"/>
      <c r="GG388"/>
      <c r="GH388"/>
      <c r="GI388"/>
      <c r="GJ388"/>
      <c r="GK388"/>
      <c r="GL388"/>
      <c r="GM388"/>
      <c r="GN388"/>
      <c r="GO388"/>
      <c r="GP388"/>
      <c r="GQ388"/>
      <c r="GR388"/>
      <c r="GS388"/>
      <c r="GT388"/>
      <c r="GU388"/>
      <c r="GV388"/>
      <c r="GW388"/>
      <c r="GX388"/>
      <c r="GY388"/>
      <c r="GZ388"/>
      <c r="HA388"/>
      <c r="HB388"/>
      <c r="HC388"/>
      <c r="HD388"/>
      <c r="HE388"/>
      <c r="HF388"/>
      <c r="HG388"/>
      <c r="HH388"/>
      <c r="HI388"/>
      <c r="HJ388"/>
      <c r="HK388"/>
      <c r="HL388"/>
      <c r="HM388"/>
      <c r="HN388"/>
      <c r="HO388"/>
      <c r="HP388"/>
      <c r="HQ388"/>
      <c r="HR388"/>
      <c r="HS388"/>
      <c r="HT388"/>
      <c r="HU388"/>
      <c r="HV388"/>
      <c r="HW388"/>
      <c r="HX388"/>
      <c r="HY388"/>
      <c r="HZ388"/>
      <c r="IA388"/>
      <c r="IB388"/>
      <c r="IC388"/>
      <c r="ID388"/>
      <c r="IE388"/>
      <c r="IF388"/>
      <c r="IG388"/>
      <c r="IH388"/>
      <c r="II388"/>
      <c r="IJ388"/>
      <c r="IK388"/>
      <c r="IL388"/>
      <c r="IM388"/>
      <c r="IN388"/>
      <c r="IO388"/>
      <c r="IP388"/>
      <c r="IQ388"/>
      <c r="IR388"/>
      <c r="IS388"/>
      <c r="IT388"/>
      <c r="IU388"/>
      <c r="IV388"/>
      <c r="IW388"/>
      <c r="IX388"/>
      <c r="IY388"/>
      <c r="IZ388"/>
      <c r="JA388"/>
      <c r="JB388"/>
      <c r="JC388"/>
      <c r="JD388"/>
      <c r="JE388"/>
      <c r="JF388"/>
      <c r="JG388"/>
      <c r="JH388"/>
      <c r="JI388"/>
      <c r="JJ388"/>
      <c r="JK388"/>
      <c r="JL388"/>
      <c r="JM388"/>
      <c r="JN388"/>
      <c r="JO388"/>
      <c r="JP388"/>
      <c r="JQ388"/>
      <c r="JR388"/>
      <c r="JS388"/>
      <c r="JT388"/>
      <c r="JU388"/>
      <c r="JV388"/>
      <c r="JW388"/>
      <c r="JX388"/>
      <c r="JY388"/>
      <c r="JZ388"/>
      <c r="KA388"/>
      <c r="KB388"/>
      <c r="KC388"/>
      <c r="KD388"/>
      <c r="KE388"/>
      <c r="KF388"/>
      <c r="KG388"/>
      <c r="KH388"/>
      <c r="KI388"/>
      <c r="KJ388"/>
      <c r="KK388"/>
      <c r="KL388"/>
      <c r="KM388"/>
      <c r="KN388"/>
      <c r="KO388"/>
      <c r="KP388"/>
      <c r="KQ388"/>
      <c r="KR388"/>
      <c r="KS388"/>
    </row>
    <row r="389" spans="2:305" hidden="1" x14ac:dyDescent="0.35">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c r="AS389"/>
      <c r="AT389"/>
      <c r="AU389"/>
      <c r="AV389"/>
      <c r="AW389"/>
      <c r="AX389"/>
      <c r="AY389"/>
      <c r="AZ389"/>
      <c r="BA389"/>
      <c r="BB389"/>
      <c r="BC389"/>
      <c r="BD389"/>
      <c r="BE389"/>
      <c r="BF389"/>
      <c r="BG389"/>
      <c r="BH389"/>
      <c r="BI389"/>
      <c r="BJ389"/>
      <c r="BK389"/>
      <c r="BL389"/>
      <c r="BM389"/>
      <c r="BN389"/>
      <c r="BO389"/>
      <c r="BP389"/>
      <c r="BQ389"/>
      <c r="BR389"/>
      <c r="BS389"/>
      <c r="BT389"/>
      <c r="BU389"/>
      <c r="BV389"/>
      <c r="BW389"/>
      <c r="BX389"/>
      <c r="BY389"/>
      <c r="BZ389"/>
      <c r="CA389"/>
      <c r="CB389"/>
      <c r="CC389"/>
      <c r="CD389"/>
      <c r="CE389"/>
      <c r="CF389"/>
      <c r="CG389"/>
      <c r="CH389"/>
      <c r="CI389"/>
      <c r="CJ389"/>
      <c r="CK389"/>
      <c r="CL389"/>
      <c r="CM389"/>
      <c r="CN389"/>
      <c r="CO389"/>
      <c r="CP389"/>
      <c r="CQ389"/>
      <c r="CR389"/>
      <c r="CS389"/>
      <c r="CT389"/>
      <c r="CU389"/>
      <c r="CV389"/>
      <c r="CW389"/>
      <c r="CX389"/>
      <c r="CY389"/>
      <c r="CZ389"/>
      <c r="DA389"/>
      <c r="DB389"/>
      <c r="DC389"/>
      <c r="DD389"/>
      <c r="DE389"/>
      <c r="DF389"/>
      <c r="DG389"/>
      <c r="DH389"/>
      <c r="DI389"/>
      <c r="DJ389"/>
      <c r="DK389"/>
      <c r="DL389"/>
      <c r="DM389"/>
      <c r="DN389"/>
      <c r="DO389"/>
      <c r="DP389"/>
      <c r="DQ389"/>
      <c r="DR389"/>
      <c r="DS389"/>
      <c r="DT389"/>
      <c r="DU389"/>
      <c r="DV389"/>
      <c r="DW389"/>
      <c r="DX389"/>
      <c r="DY389"/>
      <c r="DZ389"/>
      <c r="EA389"/>
      <c r="EB389"/>
      <c r="EC389"/>
      <c r="ED389"/>
      <c r="EE389"/>
      <c r="EF389"/>
      <c r="EG389"/>
      <c r="EH389"/>
      <c r="EI389"/>
      <c r="EJ389"/>
      <c r="EK389"/>
      <c r="EL389"/>
      <c r="EM389"/>
      <c r="EN389"/>
      <c r="EO389"/>
      <c r="EP389"/>
      <c r="EQ389"/>
      <c r="ER389"/>
      <c r="ES389"/>
      <c r="ET389"/>
      <c r="EU389"/>
      <c r="EV389"/>
      <c r="EW389"/>
      <c r="EX389"/>
      <c r="EY389"/>
      <c r="EZ389"/>
      <c r="FA389"/>
      <c r="FB389"/>
      <c r="FC389"/>
      <c r="FD389"/>
      <c r="FE389"/>
      <c r="FF389"/>
      <c r="FG389"/>
      <c r="FH389"/>
      <c r="FI389"/>
      <c r="FJ389"/>
      <c r="FK389"/>
      <c r="FL389"/>
      <c r="FM389"/>
      <c r="FN389"/>
      <c r="FO389"/>
      <c r="FP389"/>
      <c r="FQ389"/>
      <c r="FR389"/>
      <c r="FS389"/>
      <c r="FT389"/>
      <c r="FU389"/>
      <c r="FV389"/>
      <c r="FW389"/>
      <c r="FX389"/>
      <c r="FY389"/>
      <c r="FZ389"/>
      <c r="GA389"/>
      <c r="GB389"/>
      <c r="GC389"/>
      <c r="GD389"/>
      <c r="GE389"/>
      <c r="GF389"/>
      <c r="GG389"/>
      <c r="GH389"/>
      <c r="GI389"/>
      <c r="GJ389"/>
      <c r="GK389"/>
      <c r="GL389"/>
      <c r="GM389"/>
      <c r="GN389"/>
      <c r="GO389"/>
      <c r="GP389"/>
      <c r="GQ389"/>
      <c r="GR389"/>
      <c r="GS389"/>
      <c r="GT389"/>
      <c r="GU389"/>
      <c r="GV389"/>
      <c r="GW389"/>
      <c r="GX389"/>
      <c r="GY389"/>
      <c r="GZ389"/>
      <c r="HA389"/>
      <c r="HB389"/>
      <c r="HC389"/>
      <c r="HD389"/>
      <c r="HE389"/>
      <c r="HF389"/>
      <c r="HG389"/>
      <c r="HH389"/>
      <c r="HI389"/>
      <c r="HJ389"/>
      <c r="HK389"/>
      <c r="HL389"/>
      <c r="HM389"/>
      <c r="HN389"/>
      <c r="HO389"/>
      <c r="HP389"/>
      <c r="HQ389"/>
      <c r="HR389"/>
      <c r="HS389"/>
      <c r="HT389"/>
      <c r="HU389"/>
      <c r="HV389"/>
      <c r="HW389"/>
      <c r="HX389"/>
      <c r="HY389"/>
      <c r="HZ389"/>
      <c r="IA389"/>
      <c r="IB389"/>
      <c r="IC389"/>
      <c r="ID389"/>
      <c r="IE389"/>
      <c r="IF389"/>
      <c r="IG389"/>
      <c r="IH389"/>
      <c r="II389"/>
      <c r="IJ389"/>
      <c r="IK389"/>
      <c r="IL389"/>
      <c r="IM389"/>
      <c r="IN389"/>
      <c r="IO389"/>
      <c r="IP389"/>
      <c r="IQ389"/>
      <c r="IR389"/>
      <c r="IS389"/>
      <c r="IT389"/>
      <c r="IU389"/>
      <c r="IV389"/>
      <c r="IW389"/>
      <c r="IX389"/>
      <c r="IY389"/>
      <c r="IZ389"/>
      <c r="JA389"/>
      <c r="JB389"/>
      <c r="JC389"/>
      <c r="JD389"/>
      <c r="JE389"/>
      <c r="JF389"/>
      <c r="JG389"/>
      <c r="JH389"/>
      <c r="JI389"/>
      <c r="JJ389"/>
      <c r="JK389"/>
      <c r="JL389"/>
      <c r="JM389"/>
      <c r="JN389"/>
      <c r="JO389"/>
      <c r="JP389"/>
      <c r="JQ389"/>
      <c r="JR389"/>
      <c r="JS389"/>
      <c r="JT389"/>
      <c r="JU389"/>
      <c r="JV389"/>
      <c r="JW389"/>
      <c r="JX389"/>
      <c r="JY389"/>
      <c r="JZ389"/>
      <c r="KA389"/>
      <c r="KB389"/>
      <c r="KC389"/>
      <c r="KD389"/>
      <c r="KE389"/>
      <c r="KF389"/>
      <c r="KG389"/>
      <c r="KH389"/>
      <c r="KI389"/>
      <c r="KJ389"/>
      <c r="KK389"/>
      <c r="KL389"/>
      <c r="KM389"/>
      <c r="KN389"/>
      <c r="KO389"/>
      <c r="KP389"/>
      <c r="KQ389"/>
      <c r="KR389"/>
      <c r="KS389"/>
    </row>
    <row r="390" spans="2:305" hidden="1" x14ac:dyDescent="0.35">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c r="AS390"/>
      <c r="AT390"/>
      <c r="AU390"/>
      <c r="AV390"/>
      <c r="AW390"/>
      <c r="AX390"/>
      <c r="AY390"/>
      <c r="AZ390"/>
      <c r="BA390"/>
      <c r="BB390"/>
      <c r="BC390"/>
      <c r="BD390"/>
      <c r="BE390"/>
      <c r="BF390"/>
      <c r="BG390"/>
      <c r="BH390"/>
      <c r="BI390"/>
      <c r="BJ390"/>
      <c r="BK390"/>
      <c r="BL390"/>
      <c r="BM390"/>
      <c r="BN390"/>
      <c r="BO390"/>
      <c r="BP390"/>
      <c r="BQ390"/>
      <c r="BR390"/>
      <c r="BS390"/>
      <c r="BT390"/>
      <c r="BU390"/>
      <c r="BV390"/>
      <c r="BW390"/>
      <c r="BX390"/>
      <c r="BY390"/>
      <c r="BZ390"/>
      <c r="CA390"/>
      <c r="CB390"/>
      <c r="CC390"/>
      <c r="CD390"/>
      <c r="CE390"/>
      <c r="CF390"/>
      <c r="CG390"/>
      <c r="CH390"/>
      <c r="CI390"/>
      <c r="CJ390"/>
      <c r="CK390"/>
      <c r="CL390"/>
      <c r="CM390"/>
      <c r="CN390"/>
      <c r="CO390"/>
      <c r="CP390"/>
      <c r="CQ390"/>
      <c r="CR390"/>
      <c r="CS390"/>
      <c r="CT390"/>
      <c r="CU390"/>
      <c r="CV390"/>
      <c r="CW390"/>
      <c r="CX390"/>
      <c r="CY390"/>
      <c r="CZ390"/>
      <c r="DA390"/>
      <c r="DB390"/>
      <c r="DC390"/>
      <c r="DD390"/>
      <c r="DE390"/>
      <c r="DF390"/>
      <c r="DG390"/>
      <c r="DH390"/>
      <c r="DI390"/>
      <c r="DJ390"/>
      <c r="DK390"/>
      <c r="DL390"/>
      <c r="DM390"/>
      <c r="DN390"/>
      <c r="DO390"/>
      <c r="DP390"/>
      <c r="DQ390"/>
      <c r="DR390"/>
      <c r="DS390"/>
      <c r="DT390"/>
      <c r="DU390"/>
      <c r="DV390"/>
      <c r="DW390"/>
      <c r="DX390"/>
      <c r="DY390"/>
      <c r="DZ390"/>
      <c r="EA390"/>
      <c r="EB390"/>
      <c r="EC390"/>
      <c r="ED390"/>
      <c r="EE390"/>
      <c r="EF390"/>
      <c r="EG390"/>
      <c r="EH390"/>
      <c r="EI390"/>
      <c r="EJ390"/>
      <c r="EK390"/>
      <c r="EL390"/>
      <c r="EM390"/>
      <c r="EN390"/>
      <c r="EO390"/>
      <c r="EP390"/>
      <c r="EQ390"/>
      <c r="ER390"/>
      <c r="ES390"/>
      <c r="ET390"/>
      <c r="EU390"/>
      <c r="EV390"/>
      <c r="EW390"/>
      <c r="EX390"/>
      <c r="EY390"/>
      <c r="EZ390"/>
      <c r="FA390"/>
      <c r="FB390"/>
      <c r="FC390"/>
      <c r="FD390"/>
      <c r="FE390"/>
      <c r="FF390"/>
      <c r="FG390"/>
      <c r="FH390"/>
      <c r="FI390"/>
      <c r="FJ390"/>
      <c r="FK390"/>
      <c r="FL390"/>
      <c r="FM390"/>
      <c r="FN390"/>
      <c r="FO390"/>
      <c r="FP390"/>
      <c r="FQ390"/>
      <c r="FR390"/>
      <c r="FS390"/>
      <c r="FT390"/>
      <c r="FU390"/>
      <c r="FV390"/>
      <c r="FW390"/>
      <c r="FX390"/>
      <c r="FY390"/>
      <c r="FZ390"/>
      <c r="GA390"/>
      <c r="GB390"/>
      <c r="GC390"/>
      <c r="GD390"/>
      <c r="GE390"/>
      <c r="GF390"/>
      <c r="GG390"/>
      <c r="GH390"/>
      <c r="GI390"/>
      <c r="GJ390"/>
      <c r="GK390"/>
      <c r="GL390"/>
      <c r="GM390"/>
      <c r="GN390"/>
      <c r="GO390"/>
      <c r="GP390"/>
      <c r="GQ390"/>
      <c r="GR390"/>
      <c r="GS390"/>
      <c r="GT390"/>
      <c r="GU390"/>
      <c r="GV390"/>
      <c r="GW390"/>
      <c r="GX390"/>
      <c r="GY390"/>
      <c r="GZ390"/>
      <c r="HA390"/>
      <c r="HB390"/>
      <c r="HC390"/>
      <c r="HD390"/>
      <c r="HE390"/>
      <c r="HF390"/>
      <c r="HG390"/>
      <c r="HH390"/>
      <c r="HI390"/>
      <c r="HJ390"/>
      <c r="HK390"/>
      <c r="HL390"/>
      <c r="HM390"/>
      <c r="HN390"/>
      <c r="HO390"/>
      <c r="HP390"/>
      <c r="HQ390"/>
      <c r="HR390"/>
      <c r="HS390"/>
      <c r="HT390"/>
      <c r="HU390"/>
      <c r="HV390"/>
      <c r="HW390"/>
      <c r="HX390"/>
      <c r="HY390"/>
      <c r="HZ390"/>
      <c r="IA390"/>
      <c r="IB390"/>
      <c r="IC390"/>
      <c r="ID390"/>
      <c r="IE390"/>
      <c r="IF390"/>
      <c r="IG390"/>
      <c r="IH390"/>
      <c r="II390"/>
      <c r="IJ390"/>
      <c r="IK390"/>
      <c r="IL390"/>
      <c r="IM390"/>
      <c r="IN390"/>
      <c r="IO390"/>
      <c r="IP390"/>
      <c r="IQ390"/>
      <c r="IR390"/>
      <c r="IS390"/>
      <c r="IT390"/>
      <c r="IU390"/>
      <c r="IV390"/>
      <c r="IW390"/>
      <c r="IX390"/>
      <c r="IY390"/>
      <c r="IZ390"/>
      <c r="JA390"/>
      <c r="JB390"/>
      <c r="JC390"/>
      <c r="JD390"/>
      <c r="JE390"/>
      <c r="JF390"/>
      <c r="JG390"/>
      <c r="JH390"/>
      <c r="JI390"/>
      <c r="JJ390"/>
      <c r="JK390"/>
      <c r="JL390"/>
      <c r="JM390"/>
      <c r="JN390"/>
      <c r="JO390"/>
      <c r="JP390"/>
      <c r="JQ390"/>
      <c r="JR390"/>
      <c r="JS390"/>
      <c r="JT390"/>
      <c r="JU390"/>
      <c r="JV390"/>
      <c r="JW390"/>
      <c r="JX390"/>
      <c r="JY390"/>
      <c r="JZ390"/>
      <c r="KA390"/>
      <c r="KB390"/>
      <c r="KC390"/>
      <c r="KD390"/>
      <c r="KE390"/>
      <c r="KF390"/>
      <c r="KG390"/>
      <c r="KH390"/>
      <c r="KI390"/>
      <c r="KJ390"/>
      <c r="KK390"/>
      <c r="KL390"/>
      <c r="KM390"/>
      <c r="KN390"/>
      <c r="KO390"/>
      <c r="KP390"/>
      <c r="KQ390"/>
      <c r="KR390"/>
      <c r="KS390"/>
    </row>
    <row r="391" spans="2:305" hidden="1" x14ac:dyDescent="0.35">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c r="AS391"/>
      <c r="AT391"/>
      <c r="AU391"/>
      <c r="AV391"/>
      <c r="AW391"/>
      <c r="AX391"/>
      <c r="AY391"/>
      <c r="AZ391"/>
      <c r="BA391"/>
      <c r="BB391"/>
      <c r="BC391"/>
      <c r="BD391"/>
      <c r="BE391"/>
      <c r="BF391"/>
      <c r="BG391"/>
      <c r="BH391"/>
      <c r="BI391"/>
      <c r="BJ391"/>
      <c r="BK391"/>
      <c r="BL391"/>
      <c r="BM391"/>
      <c r="BN391"/>
      <c r="BO391"/>
      <c r="BP391"/>
      <c r="BQ391"/>
      <c r="BR391"/>
      <c r="BS391"/>
      <c r="BT391"/>
      <c r="BU391"/>
      <c r="BV391"/>
      <c r="BW391"/>
      <c r="BX391"/>
      <c r="BY391"/>
      <c r="BZ391"/>
      <c r="CA391"/>
      <c r="CB391"/>
      <c r="CC391"/>
      <c r="CD391"/>
      <c r="CE391"/>
      <c r="CF391"/>
      <c r="CG391"/>
      <c r="CH391"/>
      <c r="CI391"/>
      <c r="CJ391"/>
      <c r="CK391"/>
      <c r="CL391"/>
      <c r="CM391"/>
      <c r="CN391"/>
      <c r="CO391"/>
      <c r="CP391"/>
      <c r="CQ391"/>
      <c r="CR391"/>
      <c r="CS391"/>
      <c r="CT391"/>
      <c r="CU391"/>
      <c r="CV391"/>
      <c r="CW391"/>
      <c r="CX391"/>
      <c r="CY391"/>
      <c r="CZ391"/>
      <c r="DA391"/>
      <c r="DB391"/>
      <c r="DC391"/>
      <c r="DD391"/>
      <c r="DE391"/>
      <c r="DF391"/>
      <c r="DG391"/>
      <c r="DH391"/>
      <c r="DI391"/>
      <c r="DJ391"/>
      <c r="DK391"/>
      <c r="DL391"/>
      <c r="DM391"/>
      <c r="DN391"/>
      <c r="DO391"/>
      <c r="DP391"/>
      <c r="DQ391"/>
      <c r="DR391"/>
      <c r="DS391"/>
      <c r="DT391"/>
      <c r="DU391"/>
      <c r="DV391"/>
      <c r="DW391"/>
      <c r="DX391"/>
      <c r="DY391"/>
      <c r="DZ391"/>
      <c r="EA391"/>
      <c r="EB391"/>
      <c r="EC391"/>
      <c r="ED391"/>
      <c r="EE391"/>
      <c r="EF391"/>
      <c r="EG391"/>
      <c r="EH391"/>
      <c r="EI391"/>
      <c r="EJ391"/>
      <c r="EK391"/>
      <c r="EL391"/>
      <c r="EM391"/>
      <c r="EN391"/>
      <c r="EO391"/>
      <c r="EP391"/>
      <c r="EQ391"/>
      <c r="ER391"/>
      <c r="ES391"/>
      <c r="ET391"/>
      <c r="EU391"/>
      <c r="EV391"/>
      <c r="EW391"/>
      <c r="EX391"/>
      <c r="EY391"/>
      <c r="EZ391"/>
      <c r="FA391"/>
      <c r="FB391"/>
      <c r="FC391"/>
      <c r="FD391"/>
      <c r="FE391"/>
      <c r="FF391"/>
      <c r="FG391"/>
      <c r="FH391"/>
      <c r="FI391"/>
      <c r="FJ391"/>
      <c r="FK391"/>
      <c r="FL391"/>
      <c r="FM391"/>
      <c r="FN391"/>
      <c r="FO391"/>
      <c r="FP391"/>
      <c r="FQ391"/>
      <c r="FR391"/>
      <c r="FS391"/>
      <c r="FT391"/>
      <c r="FU391"/>
      <c r="FV391"/>
      <c r="FW391"/>
      <c r="FX391"/>
      <c r="FY391"/>
      <c r="FZ391"/>
      <c r="GA391"/>
      <c r="GB391"/>
      <c r="GC391"/>
      <c r="GD391"/>
      <c r="GE391"/>
      <c r="GF391"/>
      <c r="GG391"/>
      <c r="GH391"/>
      <c r="GI391"/>
      <c r="GJ391"/>
      <c r="GK391"/>
      <c r="GL391"/>
      <c r="GM391"/>
      <c r="GN391"/>
      <c r="GO391"/>
      <c r="GP391"/>
      <c r="GQ391"/>
      <c r="GR391"/>
      <c r="GS391"/>
      <c r="GT391"/>
      <c r="GU391"/>
      <c r="GV391"/>
      <c r="GW391"/>
      <c r="GX391"/>
      <c r="GY391"/>
      <c r="GZ391"/>
      <c r="HA391"/>
      <c r="HB391"/>
      <c r="HC391"/>
      <c r="HD391"/>
      <c r="HE391"/>
      <c r="HF391"/>
      <c r="HG391"/>
      <c r="HH391"/>
      <c r="HI391"/>
      <c r="HJ391"/>
      <c r="HK391"/>
      <c r="HL391"/>
      <c r="HM391"/>
      <c r="HN391"/>
      <c r="HO391"/>
      <c r="HP391"/>
      <c r="HQ391"/>
      <c r="HR391"/>
      <c r="HS391"/>
      <c r="HT391"/>
      <c r="HU391"/>
      <c r="HV391"/>
      <c r="HW391"/>
      <c r="HX391"/>
      <c r="HY391"/>
      <c r="HZ391"/>
      <c r="IA391"/>
      <c r="IB391"/>
      <c r="IC391"/>
      <c r="ID391"/>
      <c r="IE391"/>
      <c r="IF391"/>
      <c r="IG391"/>
      <c r="IH391"/>
      <c r="II391"/>
      <c r="IJ391"/>
      <c r="IK391"/>
      <c r="IL391"/>
      <c r="IM391"/>
      <c r="IN391"/>
      <c r="IO391"/>
      <c r="IP391"/>
      <c r="IQ391"/>
      <c r="IR391"/>
      <c r="IS391"/>
      <c r="IT391"/>
      <c r="IU391"/>
      <c r="IV391"/>
      <c r="IW391"/>
      <c r="IX391"/>
      <c r="IY391"/>
      <c r="IZ391"/>
      <c r="JA391"/>
      <c r="JB391"/>
      <c r="JC391"/>
      <c r="JD391"/>
      <c r="JE391"/>
      <c r="JF391"/>
      <c r="JG391"/>
      <c r="JH391"/>
      <c r="JI391"/>
      <c r="JJ391"/>
      <c r="JK391"/>
      <c r="JL391"/>
      <c r="JM391"/>
      <c r="JN391"/>
      <c r="JO391"/>
      <c r="JP391"/>
      <c r="JQ391"/>
      <c r="JR391"/>
      <c r="JS391"/>
      <c r="JT391"/>
      <c r="JU391"/>
      <c r="JV391"/>
      <c r="JW391"/>
      <c r="JX391"/>
      <c r="JY391"/>
      <c r="JZ391"/>
      <c r="KA391"/>
      <c r="KB391"/>
      <c r="KC391"/>
      <c r="KD391"/>
      <c r="KE391"/>
      <c r="KF391"/>
      <c r="KG391"/>
      <c r="KH391"/>
      <c r="KI391"/>
      <c r="KJ391"/>
      <c r="KK391"/>
      <c r="KL391"/>
      <c r="KM391"/>
      <c r="KN391"/>
      <c r="KO391"/>
      <c r="KP391"/>
      <c r="KQ391"/>
      <c r="KR391"/>
      <c r="KS391"/>
    </row>
    <row r="392" spans="2:305" hidden="1" x14ac:dyDescent="0.35">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c r="AS392"/>
      <c r="AT392"/>
      <c r="AU392"/>
      <c r="AV392"/>
      <c r="AW392"/>
      <c r="AX392"/>
      <c r="AY392"/>
      <c r="AZ392"/>
      <c r="BA392"/>
      <c r="BB392"/>
      <c r="BC392"/>
      <c r="BD392"/>
      <c r="BE392"/>
      <c r="BF392"/>
      <c r="BG392"/>
      <c r="BH392"/>
      <c r="BI392"/>
      <c r="BJ392"/>
      <c r="BK392"/>
      <c r="BL392"/>
      <c r="BM392"/>
      <c r="BN392"/>
      <c r="BO392"/>
      <c r="BP392"/>
      <c r="BQ392"/>
      <c r="BR392"/>
      <c r="BS392"/>
      <c r="BT392"/>
      <c r="BU392"/>
      <c r="BV392"/>
      <c r="BW392"/>
      <c r="BX392"/>
      <c r="BY392"/>
      <c r="BZ392"/>
      <c r="CA392"/>
      <c r="CB392"/>
      <c r="CC392"/>
      <c r="CD392"/>
      <c r="CE392"/>
      <c r="CF392"/>
      <c r="CG392"/>
      <c r="CH392"/>
      <c r="CI392"/>
      <c r="CJ392"/>
      <c r="CK392"/>
      <c r="CL392"/>
      <c r="CM392"/>
      <c r="CN392"/>
      <c r="CO392"/>
      <c r="CP392"/>
      <c r="CQ392"/>
      <c r="CR392"/>
      <c r="CS392"/>
      <c r="CT392"/>
      <c r="CU392"/>
      <c r="CV392"/>
      <c r="CW392"/>
      <c r="CX392"/>
      <c r="CY392"/>
      <c r="CZ392"/>
      <c r="DA392"/>
      <c r="DB392"/>
      <c r="DC392"/>
      <c r="DD392"/>
      <c r="DE392"/>
      <c r="DF392"/>
      <c r="DG392"/>
      <c r="DH392"/>
      <c r="DI392"/>
      <c r="DJ392"/>
      <c r="DK392"/>
      <c r="DL392"/>
      <c r="DM392"/>
      <c r="DN392"/>
      <c r="DO392"/>
      <c r="DP392"/>
      <c r="DQ392"/>
      <c r="DR392"/>
      <c r="DS392"/>
      <c r="DT392"/>
      <c r="DU392"/>
      <c r="DV392"/>
      <c r="DW392"/>
      <c r="DX392"/>
      <c r="DY392"/>
      <c r="DZ392"/>
      <c r="EA392"/>
      <c r="EB392"/>
      <c r="EC392"/>
      <c r="ED392"/>
      <c r="EE392"/>
      <c r="EF392"/>
      <c r="EG392"/>
      <c r="EH392"/>
      <c r="EI392"/>
      <c r="EJ392"/>
      <c r="EK392"/>
      <c r="EL392"/>
      <c r="EM392"/>
      <c r="EN392"/>
      <c r="EO392"/>
      <c r="EP392"/>
      <c r="EQ392"/>
      <c r="ER392"/>
      <c r="ES392"/>
      <c r="ET392"/>
      <c r="EU392"/>
      <c r="EV392"/>
      <c r="EW392"/>
      <c r="EX392"/>
      <c r="EY392"/>
      <c r="EZ392"/>
      <c r="FA392"/>
      <c r="FB392"/>
      <c r="FC392"/>
      <c r="FD392"/>
      <c r="FE392"/>
      <c r="FF392"/>
      <c r="FG392"/>
      <c r="FH392"/>
      <c r="FI392"/>
      <c r="FJ392"/>
      <c r="FK392"/>
      <c r="FL392"/>
      <c r="FM392"/>
      <c r="FN392"/>
      <c r="FO392"/>
      <c r="FP392"/>
      <c r="FQ392"/>
      <c r="FR392"/>
      <c r="FS392"/>
      <c r="FT392"/>
      <c r="FU392"/>
      <c r="FV392"/>
      <c r="FW392"/>
      <c r="FX392"/>
      <c r="FY392"/>
      <c r="FZ392"/>
      <c r="GA392"/>
      <c r="GB392"/>
      <c r="GC392"/>
      <c r="GD392"/>
      <c r="GE392"/>
      <c r="GF392"/>
      <c r="GG392"/>
      <c r="GH392"/>
      <c r="GI392"/>
      <c r="GJ392"/>
      <c r="GK392"/>
      <c r="GL392"/>
      <c r="GM392"/>
      <c r="GN392"/>
      <c r="GO392"/>
      <c r="GP392"/>
      <c r="GQ392"/>
      <c r="GR392"/>
      <c r="GS392"/>
      <c r="GT392"/>
      <c r="GU392"/>
      <c r="GV392"/>
      <c r="GW392"/>
      <c r="GX392"/>
      <c r="GY392"/>
      <c r="GZ392"/>
      <c r="HA392"/>
      <c r="HB392"/>
      <c r="HC392"/>
      <c r="HD392"/>
      <c r="HE392"/>
      <c r="HF392"/>
      <c r="HG392"/>
      <c r="HH392"/>
      <c r="HI392"/>
      <c r="HJ392"/>
      <c r="HK392"/>
      <c r="HL392"/>
      <c r="HM392"/>
      <c r="HN392"/>
      <c r="HO392"/>
      <c r="HP392"/>
      <c r="HQ392"/>
      <c r="HR392"/>
      <c r="HS392"/>
      <c r="HT392"/>
      <c r="HU392"/>
      <c r="HV392"/>
      <c r="HW392"/>
      <c r="HX392"/>
      <c r="HY392"/>
      <c r="HZ392"/>
      <c r="IA392"/>
      <c r="IB392"/>
      <c r="IC392"/>
      <c r="ID392"/>
      <c r="IE392"/>
      <c r="IF392"/>
      <c r="IG392"/>
      <c r="IH392"/>
      <c r="II392"/>
      <c r="IJ392"/>
      <c r="IK392"/>
      <c r="IL392"/>
      <c r="IM392"/>
      <c r="IN392"/>
      <c r="IO392"/>
      <c r="IP392"/>
      <c r="IQ392"/>
      <c r="IR392"/>
      <c r="IS392"/>
      <c r="IT392"/>
      <c r="IU392"/>
      <c r="IV392"/>
      <c r="IW392"/>
      <c r="IX392"/>
      <c r="IY392"/>
      <c r="IZ392"/>
      <c r="JA392"/>
      <c r="JB392"/>
      <c r="JC392"/>
      <c r="JD392"/>
      <c r="JE392"/>
      <c r="JF392"/>
      <c r="JG392"/>
      <c r="JH392"/>
      <c r="JI392"/>
      <c r="JJ392"/>
      <c r="JK392"/>
      <c r="JL392"/>
      <c r="JM392"/>
      <c r="JN392"/>
      <c r="JO392"/>
      <c r="JP392"/>
      <c r="JQ392"/>
      <c r="JR392"/>
      <c r="JS392"/>
      <c r="JT392"/>
      <c r="JU392"/>
      <c r="JV392"/>
      <c r="JW392"/>
      <c r="JX392"/>
      <c r="JY392"/>
      <c r="JZ392"/>
      <c r="KA392"/>
      <c r="KB392"/>
      <c r="KC392"/>
      <c r="KD392"/>
      <c r="KE392"/>
      <c r="KF392"/>
      <c r="KG392"/>
      <c r="KH392"/>
      <c r="KI392"/>
      <c r="KJ392"/>
      <c r="KK392"/>
      <c r="KL392"/>
      <c r="KM392"/>
      <c r="KN392"/>
      <c r="KO392"/>
      <c r="KP392"/>
      <c r="KQ392"/>
      <c r="KR392"/>
      <c r="KS392"/>
    </row>
    <row r="393" spans="2:305" hidden="1" x14ac:dyDescent="0.35">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c r="AS393"/>
      <c r="AT393"/>
      <c r="AU393"/>
      <c r="AV393"/>
      <c r="AW393"/>
      <c r="AX393"/>
      <c r="AY393"/>
      <c r="AZ393"/>
      <c r="BA393"/>
      <c r="BB393"/>
      <c r="BC393"/>
      <c r="BD393"/>
      <c r="BE393"/>
      <c r="BF393"/>
      <c r="BG393"/>
      <c r="BH393"/>
      <c r="BI393"/>
      <c r="BJ393"/>
      <c r="BK393"/>
      <c r="BL393"/>
      <c r="BM393"/>
      <c r="BN393"/>
      <c r="BO393"/>
      <c r="BP393"/>
      <c r="BQ393"/>
      <c r="BR393"/>
      <c r="BS393"/>
      <c r="BT393"/>
      <c r="BU393"/>
      <c r="BV393"/>
      <c r="BW393"/>
      <c r="BX393"/>
      <c r="BY393"/>
      <c r="BZ393"/>
      <c r="CA393"/>
      <c r="CB393"/>
      <c r="CC393"/>
      <c r="CD393"/>
      <c r="CE393"/>
      <c r="CF393"/>
      <c r="CG393"/>
      <c r="CH393"/>
      <c r="CI393"/>
      <c r="CJ393"/>
      <c r="CK393"/>
      <c r="CL393"/>
      <c r="CM393"/>
      <c r="CN393"/>
      <c r="CO393"/>
      <c r="CP393"/>
      <c r="CQ393"/>
      <c r="CR393"/>
      <c r="CS393"/>
      <c r="CT393"/>
      <c r="CU393"/>
      <c r="CV393"/>
      <c r="CW393"/>
      <c r="CX393"/>
      <c r="CY393"/>
      <c r="CZ393"/>
      <c r="DA393"/>
      <c r="DB393"/>
      <c r="DC393"/>
      <c r="DD393"/>
      <c r="DE393"/>
      <c r="DF393"/>
      <c r="DG393"/>
      <c r="DH393"/>
      <c r="DI393"/>
      <c r="DJ393"/>
      <c r="DK393"/>
      <c r="DL393"/>
      <c r="DM393"/>
      <c r="DN393"/>
      <c r="DO393"/>
      <c r="DP393"/>
      <c r="DQ393"/>
      <c r="DR393"/>
      <c r="DS393"/>
      <c r="DT393"/>
      <c r="DU393"/>
      <c r="DV393"/>
      <c r="DW393"/>
      <c r="DX393"/>
      <c r="DY393"/>
      <c r="DZ393"/>
      <c r="EA393"/>
      <c r="EB393"/>
      <c r="EC393"/>
      <c r="ED393"/>
      <c r="EE393"/>
      <c r="EF393"/>
      <c r="EG393"/>
      <c r="EH393"/>
      <c r="EI393"/>
      <c r="EJ393"/>
      <c r="EK393"/>
      <c r="EL393"/>
      <c r="EM393"/>
      <c r="EN393"/>
      <c r="EO393"/>
      <c r="EP393"/>
      <c r="EQ393"/>
      <c r="ER393"/>
      <c r="ES393"/>
      <c r="ET393"/>
      <c r="EU393"/>
      <c r="EV393"/>
      <c r="EW393"/>
      <c r="EX393"/>
      <c r="EY393"/>
      <c r="EZ393"/>
      <c r="FA393"/>
      <c r="FB393"/>
      <c r="FC393"/>
      <c r="FD393"/>
      <c r="FE393"/>
      <c r="FF393"/>
      <c r="FG393"/>
      <c r="FH393"/>
      <c r="FI393"/>
      <c r="FJ393"/>
      <c r="FK393"/>
      <c r="FL393"/>
      <c r="FM393"/>
      <c r="FN393"/>
      <c r="FO393"/>
      <c r="FP393"/>
      <c r="FQ393"/>
      <c r="FR393"/>
      <c r="FS393"/>
      <c r="FT393"/>
      <c r="FU393"/>
      <c r="FV393"/>
      <c r="FW393"/>
      <c r="FX393"/>
      <c r="FY393"/>
      <c r="FZ393"/>
      <c r="GA393"/>
      <c r="GB393"/>
      <c r="GC393"/>
      <c r="GD393"/>
      <c r="GE393"/>
      <c r="GF393"/>
      <c r="GG393"/>
      <c r="GH393"/>
      <c r="GI393"/>
      <c r="GJ393"/>
      <c r="GK393"/>
      <c r="GL393"/>
      <c r="GM393"/>
      <c r="GN393"/>
      <c r="GO393"/>
      <c r="GP393"/>
      <c r="GQ393"/>
      <c r="GR393"/>
      <c r="GS393"/>
      <c r="GT393"/>
      <c r="GU393"/>
      <c r="GV393"/>
      <c r="GW393"/>
      <c r="GX393"/>
      <c r="GY393"/>
      <c r="GZ393"/>
      <c r="HA393"/>
      <c r="HB393"/>
      <c r="HC393"/>
      <c r="HD393"/>
      <c r="HE393"/>
      <c r="HF393"/>
      <c r="HG393"/>
      <c r="HH393"/>
      <c r="HI393"/>
      <c r="HJ393"/>
      <c r="HK393"/>
      <c r="HL393"/>
      <c r="HM393"/>
      <c r="HN393"/>
      <c r="HO393"/>
      <c r="HP393"/>
      <c r="HQ393"/>
      <c r="HR393"/>
      <c r="HS393"/>
      <c r="HT393"/>
      <c r="HU393"/>
      <c r="HV393"/>
      <c r="HW393"/>
      <c r="HX393"/>
      <c r="HY393"/>
      <c r="HZ393"/>
      <c r="IA393"/>
      <c r="IB393"/>
      <c r="IC393"/>
      <c r="ID393"/>
      <c r="IE393"/>
      <c r="IF393"/>
      <c r="IG393"/>
      <c r="IH393"/>
      <c r="II393"/>
      <c r="IJ393"/>
      <c r="IK393"/>
      <c r="IL393"/>
      <c r="IM393"/>
      <c r="IN393"/>
      <c r="IO393"/>
      <c r="IP393"/>
      <c r="IQ393"/>
      <c r="IR393"/>
      <c r="IS393"/>
      <c r="IT393"/>
      <c r="IU393"/>
      <c r="IV393"/>
      <c r="IW393"/>
      <c r="IX393"/>
      <c r="IY393"/>
      <c r="IZ393"/>
      <c r="JA393"/>
      <c r="JB393"/>
      <c r="JC393"/>
      <c r="JD393"/>
      <c r="JE393"/>
      <c r="JF393"/>
      <c r="JG393"/>
      <c r="JH393"/>
      <c r="JI393"/>
      <c r="JJ393"/>
      <c r="JK393"/>
      <c r="JL393"/>
      <c r="JM393"/>
      <c r="JN393"/>
      <c r="JO393"/>
      <c r="JP393"/>
      <c r="JQ393"/>
      <c r="JR393"/>
      <c r="JS393"/>
      <c r="JT393"/>
      <c r="JU393"/>
      <c r="JV393"/>
      <c r="JW393"/>
      <c r="JX393"/>
      <c r="JY393"/>
      <c r="JZ393"/>
      <c r="KA393"/>
      <c r="KB393"/>
      <c r="KC393"/>
      <c r="KD393"/>
      <c r="KE393"/>
      <c r="KF393"/>
      <c r="KG393"/>
      <c r="KH393"/>
      <c r="KI393"/>
      <c r="KJ393"/>
      <c r="KK393"/>
      <c r="KL393"/>
      <c r="KM393"/>
      <c r="KN393"/>
      <c r="KO393"/>
      <c r="KP393"/>
      <c r="KQ393"/>
      <c r="KR393"/>
      <c r="KS393"/>
    </row>
    <row r="394" spans="2:305" hidden="1" x14ac:dyDescent="0.35">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c r="AS394"/>
      <c r="AT394"/>
      <c r="AU394"/>
      <c r="AV394"/>
      <c r="AW394"/>
      <c r="AX394"/>
      <c r="AY394"/>
      <c r="AZ394"/>
      <c r="BA394"/>
      <c r="BB394"/>
      <c r="BC394"/>
      <c r="BD394"/>
      <c r="BE394"/>
      <c r="BF394"/>
      <c r="BG394"/>
      <c r="BH394"/>
      <c r="BI394"/>
      <c r="BJ394"/>
      <c r="BK394"/>
      <c r="BL394"/>
      <c r="BM394"/>
      <c r="BN394"/>
      <c r="BO394"/>
      <c r="BP394"/>
      <c r="BQ394"/>
      <c r="BR394"/>
      <c r="BS394"/>
      <c r="BT394"/>
      <c r="BU394"/>
      <c r="BV394"/>
      <c r="BW394"/>
      <c r="BX394"/>
      <c r="BY394"/>
      <c r="BZ394"/>
      <c r="CA394"/>
      <c r="CB394"/>
      <c r="CC394"/>
      <c r="CD394"/>
      <c r="CE394"/>
      <c r="CF394"/>
      <c r="CG394"/>
      <c r="CH394"/>
      <c r="CI394"/>
      <c r="CJ394"/>
      <c r="CK394"/>
      <c r="CL394"/>
      <c r="CM394"/>
      <c r="CN394"/>
      <c r="CO394"/>
      <c r="CP394"/>
      <c r="CQ394"/>
      <c r="CR394"/>
      <c r="CS394"/>
      <c r="CT394"/>
      <c r="CU394"/>
      <c r="CV394"/>
      <c r="CW394"/>
      <c r="CX394"/>
      <c r="CY394"/>
      <c r="CZ394"/>
      <c r="DA394"/>
      <c r="DB394"/>
      <c r="DC394"/>
      <c r="DD394"/>
      <c r="DE394"/>
      <c r="DF394"/>
      <c r="DG394"/>
      <c r="DH394"/>
      <c r="DI394"/>
      <c r="DJ394"/>
      <c r="DK394"/>
      <c r="DL394"/>
      <c r="DM394"/>
      <c r="DN394"/>
      <c r="DO394"/>
      <c r="DP394"/>
      <c r="DQ394"/>
      <c r="DR394"/>
      <c r="DS394"/>
      <c r="DT394"/>
      <c r="DU394"/>
      <c r="DV394"/>
      <c r="DW394"/>
      <c r="DX394"/>
      <c r="DY394"/>
      <c r="DZ394"/>
      <c r="EA394"/>
      <c r="EB394"/>
      <c r="EC394"/>
      <c r="ED394"/>
      <c r="EE394"/>
      <c r="EF394"/>
      <c r="EG394"/>
      <c r="EH394"/>
      <c r="EI394"/>
      <c r="EJ394"/>
      <c r="EK394"/>
      <c r="EL394"/>
      <c r="EM394"/>
      <c r="EN394"/>
      <c r="EO394"/>
      <c r="EP394"/>
      <c r="EQ394"/>
      <c r="ER394"/>
      <c r="ES394"/>
      <c r="ET394"/>
      <c r="EU394"/>
      <c r="EV394"/>
      <c r="EW394"/>
      <c r="EX394"/>
      <c r="EY394"/>
      <c r="EZ394"/>
      <c r="FA394"/>
      <c r="FB394"/>
      <c r="FC394"/>
      <c r="FD394"/>
      <c r="FE394"/>
      <c r="FF394"/>
      <c r="FG394"/>
      <c r="FH394"/>
      <c r="FI394"/>
      <c r="FJ394"/>
      <c r="FK394"/>
      <c r="FL394"/>
      <c r="FM394"/>
      <c r="FN394"/>
      <c r="FO394"/>
      <c r="FP394"/>
      <c r="FQ394"/>
      <c r="FR394"/>
      <c r="FS394"/>
      <c r="FT394"/>
      <c r="FU394"/>
      <c r="FV394"/>
      <c r="FW394"/>
      <c r="FX394"/>
      <c r="FY394"/>
      <c r="FZ394"/>
      <c r="GA394"/>
      <c r="GB394"/>
      <c r="GC394"/>
      <c r="GD394"/>
      <c r="GE394"/>
      <c r="GF394"/>
      <c r="GG394"/>
      <c r="GH394"/>
      <c r="GI394"/>
      <c r="GJ394"/>
      <c r="GK394"/>
      <c r="GL394"/>
      <c r="GM394"/>
      <c r="GN394"/>
      <c r="GO394"/>
      <c r="GP394"/>
      <c r="GQ394"/>
      <c r="GR394"/>
      <c r="GS394"/>
      <c r="GT394"/>
      <c r="GU394"/>
      <c r="GV394"/>
      <c r="GW394"/>
      <c r="GX394"/>
      <c r="GY394"/>
      <c r="GZ394"/>
      <c r="HA394"/>
      <c r="HB394"/>
      <c r="HC394"/>
      <c r="HD394"/>
      <c r="HE394"/>
      <c r="HF394"/>
      <c r="HG394"/>
      <c r="HH394"/>
      <c r="HI394"/>
      <c r="HJ394"/>
      <c r="HK394"/>
      <c r="HL394"/>
      <c r="HM394"/>
      <c r="HN394"/>
      <c r="HO394"/>
      <c r="HP394"/>
      <c r="HQ394"/>
      <c r="HR394"/>
      <c r="HS394"/>
      <c r="HT394"/>
      <c r="HU394"/>
      <c r="HV394"/>
      <c r="HW394"/>
      <c r="HX394"/>
      <c r="HY394"/>
      <c r="HZ394"/>
      <c r="IA394"/>
      <c r="IB394"/>
      <c r="IC394"/>
      <c r="ID394"/>
      <c r="IE394"/>
      <c r="IF394"/>
      <c r="IG394"/>
      <c r="IH394"/>
      <c r="II394"/>
      <c r="IJ394"/>
      <c r="IK394"/>
      <c r="IL394"/>
      <c r="IM394"/>
      <c r="IN394"/>
      <c r="IO394"/>
      <c r="IP394"/>
      <c r="IQ394"/>
      <c r="IR394"/>
      <c r="IS394"/>
      <c r="IT394"/>
      <c r="IU394"/>
      <c r="IV394"/>
      <c r="IW394"/>
      <c r="IX394"/>
      <c r="IY394"/>
      <c r="IZ394"/>
      <c r="JA394"/>
      <c r="JB394"/>
      <c r="JC394"/>
      <c r="JD394"/>
      <c r="JE394"/>
      <c r="JF394"/>
      <c r="JG394"/>
      <c r="JH394"/>
      <c r="JI394"/>
      <c r="JJ394"/>
      <c r="JK394"/>
      <c r="JL394"/>
      <c r="JM394"/>
      <c r="JN394"/>
      <c r="JO394"/>
      <c r="JP394"/>
      <c r="JQ394"/>
      <c r="JR394"/>
      <c r="JS394"/>
      <c r="JT394"/>
      <c r="JU394"/>
      <c r="JV394"/>
      <c r="JW394"/>
      <c r="JX394"/>
      <c r="JY394"/>
      <c r="JZ394"/>
      <c r="KA394"/>
      <c r="KB394"/>
      <c r="KC394"/>
      <c r="KD394"/>
      <c r="KE394"/>
      <c r="KF394"/>
      <c r="KG394"/>
      <c r="KH394"/>
      <c r="KI394"/>
      <c r="KJ394"/>
      <c r="KK394"/>
      <c r="KL394"/>
      <c r="KM394"/>
      <c r="KN394"/>
      <c r="KO394"/>
      <c r="KP394"/>
      <c r="KQ394"/>
      <c r="KR394"/>
      <c r="KS394"/>
    </row>
    <row r="395" spans="2:305" hidden="1" x14ac:dyDescent="0.3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c r="AS395"/>
      <c r="AT395"/>
      <c r="AU395"/>
      <c r="AV395"/>
      <c r="AW395"/>
      <c r="AX395"/>
      <c r="AY395"/>
      <c r="AZ395"/>
      <c r="BA395"/>
      <c r="BB395"/>
      <c r="BC395"/>
      <c r="BD395"/>
      <c r="BE395"/>
      <c r="BF395"/>
      <c r="BG395"/>
      <c r="BH395"/>
      <c r="BI395"/>
      <c r="BJ395"/>
      <c r="BK395"/>
      <c r="BL395"/>
      <c r="BM395"/>
      <c r="BN395"/>
      <c r="BO395"/>
      <c r="BP395"/>
      <c r="BQ395"/>
      <c r="BR395"/>
      <c r="BS395"/>
      <c r="BT395"/>
      <c r="BU395"/>
      <c r="BV395"/>
      <c r="BW395"/>
      <c r="BX395"/>
      <c r="BY395"/>
      <c r="BZ395"/>
      <c r="CA395"/>
      <c r="CB395"/>
      <c r="CC395"/>
      <c r="CD395"/>
      <c r="CE395"/>
      <c r="CF395"/>
      <c r="CG395"/>
      <c r="CH395"/>
      <c r="CI395"/>
      <c r="CJ395"/>
      <c r="CK395"/>
      <c r="CL395"/>
      <c r="CM395"/>
      <c r="CN395"/>
      <c r="CO395"/>
      <c r="CP395"/>
      <c r="CQ395"/>
      <c r="CR395"/>
      <c r="CS395"/>
      <c r="CT395"/>
      <c r="CU395"/>
      <c r="CV395"/>
      <c r="CW395"/>
      <c r="CX395"/>
      <c r="CY395"/>
      <c r="CZ395"/>
      <c r="DA395"/>
      <c r="DB395"/>
      <c r="DC395"/>
      <c r="DD395"/>
      <c r="DE395"/>
      <c r="DF395"/>
      <c r="DG395"/>
      <c r="DH395"/>
      <c r="DI395"/>
      <c r="DJ395"/>
      <c r="DK395"/>
      <c r="DL395"/>
      <c r="DM395"/>
      <c r="DN395"/>
      <c r="DO395"/>
      <c r="DP395"/>
      <c r="DQ395"/>
      <c r="DR395"/>
      <c r="DS395"/>
      <c r="DT395"/>
      <c r="DU395"/>
      <c r="DV395"/>
      <c r="DW395"/>
      <c r="DX395"/>
      <c r="DY395"/>
      <c r="DZ395"/>
      <c r="EA395"/>
      <c r="EB395"/>
      <c r="EC395"/>
      <c r="ED395"/>
      <c r="EE395"/>
      <c r="EF395"/>
      <c r="EG395"/>
      <c r="EH395"/>
      <c r="EI395"/>
      <c r="EJ395"/>
      <c r="EK395"/>
      <c r="EL395"/>
      <c r="EM395"/>
      <c r="EN395"/>
      <c r="EO395"/>
      <c r="EP395"/>
      <c r="EQ395"/>
      <c r="ER395"/>
      <c r="ES395"/>
      <c r="ET395"/>
      <c r="EU395"/>
      <c r="EV395"/>
      <c r="EW395"/>
      <c r="EX395"/>
      <c r="EY395"/>
      <c r="EZ395"/>
      <c r="FA395"/>
      <c r="FB395"/>
      <c r="FC395"/>
      <c r="FD395"/>
      <c r="FE395"/>
      <c r="FF395"/>
      <c r="FG395"/>
      <c r="FH395"/>
      <c r="FI395"/>
      <c r="FJ395"/>
      <c r="FK395"/>
      <c r="FL395"/>
      <c r="FM395"/>
      <c r="FN395"/>
      <c r="FO395"/>
      <c r="FP395"/>
      <c r="FQ395"/>
      <c r="FR395"/>
      <c r="FS395"/>
      <c r="FT395"/>
      <c r="FU395"/>
      <c r="FV395"/>
      <c r="FW395"/>
      <c r="FX395"/>
      <c r="FY395"/>
      <c r="FZ395"/>
      <c r="GA395"/>
      <c r="GB395"/>
      <c r="GC395"/>
      <c r="GD395"/>
      <c r="GE395"/>
      <c r="GF395"/>
      <c r="GG395"/>
      <c r="GH395"/>
      <c r="GI395"/>
      <c r="GJ395"/>
      <c r="GK395"/>
      <c r="GL395"/>
      <c r="GM395"/>
      <c r="GN395"/>
      <c r="GO395"/>
      <c r="GP395"/>
      <c r="GQ395"/>
      <c r="GR395"/>
      <c r="GS395"/>
      <c r="GT395"/>
      <c r="GU395"/>
      <c r="GV395"/>
      <c r="GW395"/>
      <c r="GX395"/>
      <c r="GY395"/>
      <c r="GZ395"/>
      <c r="HA395"/>
      <c r="HB395"/>
      <c r="HC395"/>
      <c r="HD395"/>
      <c r="HE395"/>
      <c r="HF395"/>
      <c r="HG395"/>
      <c r="HH395"/>
      <c r="HI395"/>
      <c r="HJ395"/>
      <c r="HK395"/>
      <c r="HL395"/>
      <c r="HM395"/>
      <c r="HN395"/>
      <c r="HO395"/>
      <c r="HP395"/>
      <c r="HQ395"/>
      <c r="HR395"/>
      <c r="HS395"/>
      <c r="HT395"/>
      <c r="HU395"/>
      <c r="HV395"/>
      <c r="HW395"/>
      <c r="HX395"/>
      <c r="HY395"/>
      <c r="HZ395"/>
      <c r="IA395"/>
      <c r="IB395"/>
      <c r="IC395"/>
      <c r="ID395"/>
      <c r="IE395"/>
      <c r="IF395"/>
      <c r="IG395"/>
      <c r="IH395"/>
      <c r="II395"/>
      <c r="IJ395"/>
      <c r="IK395"/>
      <c r="IL395"/>
      <c r="IM395"/>
      <c r="IN395"/>
      <c r="IO395"/>
      <c r="IP395"/>
      <c r="IQ395"/>
      <c r="IR395"/>
      <c r="IS395"/>
      <c r="IT395"/>
      <c r="IU395"/>
      <c r="IV395"/>
      <c r="IW395"/>
      <c r="IX395"/>
      <c r="IY395"/>
      <c r="IZ395"/>
      <c r="JA395"/>
      <c r="JB395"/>
      <c r="JC395"/>
      <c r="JD395"/>
      <c r="JE395"/>
      <c r="JF395"/>
      <c r="JG395"/>
      <c r="JH395"/>
      <c r="JI395"/>
      <c r="JJ395"/>
      <c r="JK395"/>
      <c r="JL395"/>
      <c r="JM395"/>
      <c r="JN395"/>
      <c r="JO395"/>
      <c r="JP395"/>
      <c r="JQ395"/>
      <c r="JR395"/>
      <c r="JS395"/>
      <c r="JT395"/>
      <c r="JU395"/>
      <c r="JV395"/>
      <c r="JW395"/>
      <c r="JX395"/>
      <c r="JY395"/>
      <c r="JZ395"/>
      <c r="KA395"/>
      <c r="KB395"/>
      <c r="KC395"/>
      <c r="KD395"/>
      <c r="KE395"/>
      <c r="KF395"/>
      <c r="KG395"/>
      <c r="KH395"/>
      <c r="KI395"/>
      <c r="KJ395"/>
      <c r="KK395"/>
      <c r="KL395"/>
      <c r="KM395"/>
      <c r="KN395"/>
      <c r="KO395"/>
      <c r="KP395"/>
      <c r="KQ395"/>
      <c r="KR395"/>
      <c r="KS395"/>
    </row>
    <row r="396" spans="2:305" hidden="1" x14ac:dyDescent="0.35">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c r="AS396"/>
      <c r="AT396"/>
      <c r="AU396"/>
      <c r="AV396"/>
      <c r="AW396"/>
      <c r="AX396"/>
      <c r="AY396"/>
      <c r="AZ396"/>
      <c r="BA396"/>
      <c r="BB396"/>
      <c r="BC396"/>
      <c r="BD396"/>
      <c r="BE396"/>
      <c r="BF396"/>
      <c r="BG396"/>
      <c r="BH396"/>
      <c r="BI396"/>
      <c r="BJ396"/>
      <c r="BK396"/>
      <c r="BL396"/>
      <c r="BM396"/>
      <c r="BN396"/>
      <c r="BO396"/>
      <c r="BP396"/>
      <c r="BQ396"/>
      <c r="BR396"/>
      <c r="BS396"/>
      <c r="BT396"/>
      <c r="BU396"/>
      <c r="BV396"/>
      <c r="BW396"/>
      <c r="BX396"/>
      <c r="BY396"/>
      <c r="BZ396"/>
      <c r="CA396"/>
      <c r="CB396"/>
      <c r="CC396"/>
      <c r="CD396"/>
      <c r="CE396"/>
      <c r="CF396"/>
      <c r="CG396"/>
      <c r="CH396"/>
      <c r="CI396"/>
      <c r="CJ396"/>
      <c r="CK396"/>
      <c r="CL396"/>
      <c r="CM396"/>
      <c r="CN396"/>
      <c r="CO396"/>
      <c r="CP396"/>
      <c r="CQ396"/>
      <c r="CR396"/>
      <c r="CS396"/>
      <c r="CT396"/>
      <c r="CU396"/>
      <c r="CV396"/>
      <c r="CW396"/>
      <c r="CX396"/>
      <c r="CY396"/>
      <c r="CZ396"/>
      <c r="DA396"/>
      <c r="DB396"/>
      <c r="DC396"/>
      <c r="DD396"/>
      <c r="DE396"/>
      <c r="DF396"/>
      <c r="DG396"/>
      <c r="DH396"/>
      <c r="DI396"/>
      <c r="DJ396"/>
      <c r="DK396"/>
      <c r="DL396"/>
      <c r="DM396"/>
      <c r="DN396"/>
      <c r="DO396"/>
      <c r="DP396"/>
      <c r="DQ396"/>
      <c r="DR396"/>
      <c r="DS396"/>
      <c r="DT396"/>
      <c r="DU396"/>
      <c r="DV396"/>
      <c r="DW396"/>
      <c r="DX396"/>
      <c r="DY396"/>
      <c r="DZ396"/>
      <c r="EA396"/>
      <c r="EB396"/>
      <c r="EC396"/>
      <c r="ED396"/>
      <c r="EE396"/>
      <c r="EF396"/>
      <c r="EG396"/>
      <c r="EH396"/>
      <c r="EI396"/>
      <c r="EJ396"/>
      <c r="EK396"/>
      <c r="EL396"/>
      <c r="EM396"/>
      <c r="EN396"/>
      <c r="EO396"/>
      <c r="EP396"/>
      <c r="EQ396"/>
      <c r="ER396"/>
      <c r="ES396"/>
      <c r="ET396"/>
      <c r="EU396"/>
      <c r="EV396"/>
      <c r="EW396"/>
      <c r="EX396"/>
      <c r="EY396"/>
      <c r="EZ396"/>
      <c r="FA396"/>
      <c r="FB396"/>
      <c r="FC396"/>
      <c r="FD396"/>
      <c r="FE396"/>
      <c r="FF396"/>
      <c r="FG396"/>
      <c r="FH396"/>
      <c r="FI396"/>
      <c r="FJ396"/>
      <c r="FK396"/>
      <c r="FL396"/>
      <c r="FM396"/>
      <c r="FN396"/>
      <c r="FO396"/>
      <c r="FP396"/>
      <c r="FQ396"/>
      <c r="FR396"/>
      <c r="FS396"/>
      <c r="FT396"/>
      <c r="FU396"/>
      <c r="FV396"/>
      <c r="FW396"/>
      <c r="FX396"/>
      <c r="FY396"/>
      <c r="FZ396"/>
      <c r="GA396"/>
      <c r="GB396"/>
      <c r="GC396"/>
      <c r="GD396"/>
      <c r="GE396"/>
      <c r="GF396"/>
      <c r="GG396"/>
      <c r="GH396"/>
      <c r="GI396"/>
      <c r="GJ396"/>
      <c r="GK396"/>
      <c r="GL396"/>
      <c r="GM396"/>
      <c r="GN396"/>
      <c r="GO396"/>
      <c r="GP396"/>
      <c r="GQ396"/>
      <c r="GR396"/>
      <c r="GS396"/>
      <c r="GT396"/>
      <c r="GU396"/>
      <c r="GV396"/>
      <c r="GW396"/>
      <c r="GX396"/>
      <c r="GY396"/>
      <c r="GZ396"/>
      <c r="HA396"/>
      <c r="HB396"/>
      <c r="HC396"/>
      <c r="HD396"/>
      <c r="HE396"/>
      <c r="HF396"/>
      <c r="HG396"/>
      <c r="HH396"/>
      <c r="HI396"/>
      <c r="HJ396"/>
      <c r="HK396"/>
      <c r="HL396"/>
      <c r="HM396"/>
      <c r="HN396"/>
      <c r="HO396"/>
      <c r="HP396"/>
      <c r="HQ396"/>
      <c r="HR396"/>
      <c r="HS396"/>
      <c r="HT396"/>
      <c r="HU396"/>
      <c r="HV396"/>
      <c r="HW396"/>
      <c r="HX396"/>
      <c r="HY396"/>
      <c r="HZ396"/>
      <c r="IA396"/>
      <c r="IB396"/>
      <c r="IC396"/>
      <c r="ID396"/>
      <c r="IE396"/>
      <c r="IF396"/>
      <c r="IG396"/>
      <c r="IH396"/>
      <c r="II396"/>
      <c r="IJ396"/>
      <c r="IK396"/>
      <c r="IL396"/>
      <c r="IM396"/>
      <c r="IN396"/>
      <c r="IO396"/>
      <c r="IP396"/>
      <c r="IQ396"/>
      <c r="IR396"/>
      <c r="IS396"/>
      <c r="IT396"/>
      <c r="IU396"/>
      <c r="IV396"/>
      <c r="IW396"/>
      <c r="IX396"/>
      <c r="IY396"/>
      <c r="IZ396"/>
      <c r="JA396"/>
      <c r="JB396"/>
      <c r="JC396"/>
      <c r="JD396"/>
      <c r="JE396"/>
      <c r="JF396"/>
      <c r="JG396"/>
      <c r="JH396"/>
      <c r="JI396"/>
      <c r="JJ396"/>
      <c r="JK396"/>
      <c r="JL396"/>
      <c r="JM396"/>
      <c r="JN396"/>
      <c r="JO396"/>
      <c r="JP396"/>
      <c r="JQ396"/>
      <c r="JR396"/>
      <c r="JS396"/>
      <c r="JT396"/>
      <c r="JU396"/>
      <c r="JV396"/>
      <c r="JW396"/>
      <c r="JX396"/>
      <c r="JY396"/>
      <c r="JZ396"/>
      <c r="KA396"/>
      <c r="KB396"/>
      <c r="KC396"/>
      <c r="KD396"/>
      <c r="KE396"/>
      <c r="KF396"/>
      <c r="KG396"/>
      <c r="KH396"/>
      <c r="KI396"/>
      <c r="KJ396"/>
      <c r="KK396"/>
      <c r="KL396"/>
      <c r="KM396"/>
      <c r="KN396"/>
      <c r="KO396"/>
      <c r="KP396"/>
      <c r="KQ396"/>
      <c r="KR396"/>
      <c r="KS396"/>
    </row>
    <row r="397" spans="2:305" hidden="1" x14ac:dyDescent="0.35">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c r="AS397"/>
      <c r="AT397"/>
      <c r="AU397"/>
      <c r="AV397"/>
      <c r="AW397"/>
      <c r="AX397"/>
      <c r="AY397"/>
      <c r="AZ397"/>
      <c r="BA397"/>
      <c r="BB397"/>
      <c r="BC397"/>
      <c r="BD397"/>
      <c r="BE397"/>
      <c r="BF397"/>
      <c r="BG397"/>
      <c r="BH397"/>
      <c r="BI397"/>
      <c r="BJ397"/>
      <c r="BK397"/>
      <c r="BL397"/>
      <c r="BM397"/>
      <c r="BN397"/>
      <c r="BO397"/>
      <c r="BP397"/>
      <c r="BQ397"/>
      <c r="BR397"/>
      <c r="BS397"/>
      <c r="BT397"/>
      <c r="BU397"/>
      <c r="BV397"/>
      <c r="BW397"/>
      <c r="BX397"/>
      <c r="BY397"/>
      <c r="BZ397"/>
      <c r="CA397"/>
      <c r="CB397"/>
      <c r="CC397"/>
      <c r="CD397"/>
      <c r="CE397"/>
      <c r="CF397"/>
      <c r="CG397"/>
      <c r="CH397"/>
      <c r="CI397"/>
      <c r="CJ397"/>
      <c r="CK397"/>
      <c r="CL397"/>
      <c r="CM397"/>
      <c r="CN397"/>
      <c r="CO397"/>
      <c r="CP397"/>
      <c r="CQ397"/>
      <c r="CR397"/>
      <c r="CS397"/>
      <c r="CT397"/>
      <c r="CU397"/>
      <c r="CV397"/>
      <c r="CW397"/>
      <c r="CX397"/>
      <c r="CY397"/>
      <c r="CZ397"/>
      <c r="DA397"/>
      <c r="DB397"/>
      <c r="DC397"/>
      <c r="DD397"/>
      <c r="DE397"/>
      <c r="DF397"/>
      <c r="DG397"/>
      <c r="DH397"/>
      <c r="DI397"/>
      <c r="DJ397"/>
      <c r="DK397"/>
      <c r="DL397"/>
      <c r="DM397"/>
      <c r="DN397"/>
      <c r="DO397"/>
      <c r="DP397"/>
      <c r="DQ397"/>
      <c r="DR397"/>
      <c r="DS397"/>
      <c r="DT397"/>
      <c r="DU397"/>
      <c r="DV397"/>
      <c r="DW397"/>
      <c r="DX397"/>
      <c r="DY397"/>
      <c r="DZ397"/>
      <c r="EA397"/>
      <c r="EB397"/>
      <c r="EC397"/>
      <c r="ED397"/>
      <c r="EE397"/>
      <c r="EF397"/>
      <c r="EG397"/>
      <c r="EH397"/>
      <c r="EI397"/>
      <c r="EJ397"/>
      <c r="EK397"/>
      <c r="EL397"/>
      <c r="EM397"/>
      <c r="EN397"/>
      <c r="EO397"/>
      <c r="EP397"/>
      <c r="EQ397"/>
      <c r="ER397"/>
      <c r="ES397"/>
      <c r="ET397"/>
      <c r="EU397"/>
      <c r="EV397"/>
      <c r="EW397"/>
      <c r="EX397"/>
      <c r="EY397"/>
      <c r="EZ397"/>
      <c r="FA397"/>
      <c r="FB397"/>
      <c r="FC397"/>
      <c r="FD397"/>
      <c r="FE397"/>
      <c r="FF397"/>
      <c r="FG397"/>
      <c r="FH397"/>
      <c r="FI397"/>
      <c r="FJ397"/>
      <c r="FK397"/>
      <c r="FL397"/>
      <c r="FM397"/>
      <c r="FN397"/>
      <c r="FO397"/>
      <c r="FP397"/>
      <c r="FQ397"/>
      <c r="FR397"/>
      <c r="FS397"/>
      <c r="FT397"/>
      <c r="FU397"/>
      <c r="FV397"/>
      <c r="FW397"/>
      <c r="FX397"/>
      <c r="FY397"/>
      <c r="FZ397"/>
      <c r="GA397"/>
      <c r="GB397"/>
      <c r="GC397"/>
      <c r="GD397"/>
      <c r="GE397"/>
      <c r="GF397"/>
      <c r="GG397"/>
      <c r="GH397"/>
      <c r="GI397"/>
      <c r="GJ397"/>
      <c r="GK397"/>
      <c r="GL397"/>
      <c r="GM397"/>
      <c r="GN397"/>
      <c r="GO397"/>
      <c r="GP397"/>
      <c r="GQ397"/>
      <c r="GR397"/>
      <c r="GS397"/>
      <c r="GT397"/>
      <c r="GU397"/>
      <c r="GV397"/>
      <c r="GW397"/>
      <c r="GX397"/>
      <c r="GY397"/>
      <c r="GZ397"/>
      <c r="HA397"/>
      <c r="HB397"/>
      <c r="HC397"/>
      <c r="HD397"/>
      <c r="HE397"/>
      <c r="HF397"/>
      <c r="HG397"/>
      <c r="HH397"/>
      <c r="HI397"/>
      <c r="HJ397"/>
      <c r="HK397"/>
      <c r="HL397"/>
      <c r="HM397"/>
      <c r="HN397"/>
      <c r="HO397"/>
      <c r="HP397"/>
      <c r="HQ397"/>
      <c r="HR397"/>
      <c r="HS397"/>
      <c r="HT397"/>
      <c r="HU397"/>
      <c r="HV397"/>
      <c r="HW397"/>
      <c r="HX397"/>
      <c r="HY397"/>
      <c r="HZ397"/>
      <c r="IA397"/>
      <c r="IB397"/>
      <c r="IC397"/>
      <c r="ID397"/>
      <c r="IE397"/>
      <c r="IF397"/>
      <c r="IG397"/>
      <c r="IH397"/>
      <c r="II397"/>
      <c r="IJ397"/>
      <c r="IK397"/>
      <c r="IL397"/>
      <c r="IM397"/>
      <c r="IN397"/>
      <c r="IO397"/>
      <c r="IP397"/>
      <c r="IQ397"/>
      <c r="IR397"/>
      <c r="IS397"/>
      <c r="IT397"/>
      <c r="IU397"/>
      <c r="IV397"/>
      <c r="IW397"/>
      <c r="IX397"/>
      <c r="IY397"/>
      <c r="IZ397"/>
      <c r="JA397"/>
      <c r="JB397"/>
      <c r="JC397"/>
      <c r="JD397"/>
      <c r="JE397"/>
      <c r="JF397"/>
      <c r="JG397"/>
      <c r="JH397"/>
      <c r="JI397"/>
      <c r="JJ397"/>
      <c r="JK397"/>
      <c r="JL397"/>
      <c r="JM397"/>
      <c r="JN397"/>
      <c r="JO397"/>
      <c r="JP397"/>
      <c r="JQ397"/>
      <c r="JR397"/>
      <c r="JS397"/>
      <c r="JT397"/>
      <c r="JU397"/>
      <c r="JV397"/>
      <c r="JW397"/>
      <c r="JX397"/>
      <c r="JY397"/>
      <c r="JZ397"/>
      <c r="KA397"/>
      <c r="KB397"/>
      <c r="KC397"/>
      <c r="KD397"/>
      <c r="KE397"/>
      <c r="KF397"/>
      <c r="KG397"/>
      <c r="KH397"/>
      <c r="KI397"/>
      <c r="KJ397"/>
      <c r="KK397"/>
      <c r="KL397"/>
      <c r="KM397"/>
      <c r="KN397"/>
      <c r="KO397"/>
      <c r="KP397"/>
      <c r="KQ397"/>
      <c r="KR397"/>
      <c r="KS397"/>
    </row>
    <row r="398" spans="2:305" hidden="1" x14ac:dyDescent="0.35">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c r="AS398"/>
      <c r="AT398"/>
      <c r="AU398"/>
      <c r="AV398"/>
      <c r="AW398"/>
      <c r="AX398"/>
      <c r="AY398"/>
      <c r="AZ398"/>
      <c r="BA398"/>
      <c r="BB398"/>
      <c r="BC398"/>
      <c r="BD398"/>
      <c r="BE398"/>
      <c r="BF398"/>
      <c r="BG398"/>
      <c r="BH398"/>
      <c r="BI398"/>
      <c r="BJ398"/>
      <c r="BK398"/>
      <c r="BL398"/>
      <c r="BM398"/>
      <c r="BN398"/>
      <c r="BO398"/>
      <c r="BP398"/>
      <c r="BQ398"/>
      <c r="BR398"/>
      <c r="BS398"/>
      <c r="BT398"/>
      <c r="BU398"/>
      <c r="BV398"/>
      <c r="BW398"/>
      <c r="BX398"/>
      <c r="BY398"/>
      <c r="BZ398"/>
      <c r="CA398"/>
      <c r="CB398"/>
      <c r="CC398"/>
      <c r="CD398"/>
      <c r="CE398"/>
      <c r="CF398"/>
      <c r="CG398"/>
      <c r="CH398"/>
      <c r="CI398"/>
      <c r="CJ398"/>
      <c r="CK398"/>
      <c r="CL398"/>
      <c r="CM398"/>
      <c r="CN398"/>
      <c r="CO398"/>
      <c r="CP398"/>
      <c r="CQ398"/>
      <c r="CR398"/>
      <c r="CS398"/>
      <c r="CT398"/>
      <c r="CU398"/>
      <c r="CV398"/>
      <c r="CW398"/>
      <c r="CX398"/>
      <c r="CY398"/>
      <c r="CZ398"/>
      <c r="DA398"/>
      <c r="DB398"/>
      <c r="DC398"/>
      <c r="DD398"/>
      <c r="DE398"/>
      <c r="DF398"/>
      <c r="DG398"/>
      <c r="DH398"/>
      <c r="DI398"/>
      <c r="DJ398"/>
      <c r="DK398"/>
      <c r="DL398"/>
      <c r="DM398"/>
      <c r="DN398"/>
      <c r="DO398"/>
      <c r="DP398"/>
      <c r="DQ398"/>
      <c r="DR398"/>
      <c r="DS398"/>
      <c r="DT398"/>
      <c r="DU398"/>
      <c r="DV398"/>
      <c r="DW398"/>
      <c r="DX398"/>
      <c r="DY398"/>
      <c r="DZ398"/>
      <c r="EA398"/>
      <c r="EB398"/>
      <c r="EC398"/>
      <c r="ED398"/>
      <c r="EE398"/>
      <c r="EF398"/>
      <c r="EG398"/>
      <c r="EH398"/>
      <c r="EI398"/>
      <c r="EJ398"/>
      <c r="EK398"/>
      <c r="EL398"/>
      <c r="EM398"/>
      <c r="EN398"/>
      <c r="EO398"/>
      <c r="EP398"/>
      <c r="EQ398"/>
      <c r="ER398"/>
      <c r="ES398"/>
      <c r="ET398"/>
      <c r="EU398"/>
      <c r="EV398"/>
      <c r="EW398"/>
      <c r="EX398"/>
      <c r="EY398"/>
      <c r="EZ398"/>
      <c r="FA398"/>
      <c r="FB398"/>
      <c r="FC398"/>
      <c r="FD398"/>
      <c r="FE398"/>
      <c r="FF398"/>
      <c r="FG398"/>
      <c r="FH398"/>
      <c r="FI398"/>
      <c r="FJ398"/>
      <c r="FK398"/>
      <c r="FL398"/>
      <c r="FM398"/>
      <c r="FN398"/>
      <c r="FO398"/>
      <c r="FP398"/>
      <c r="FQ398"/>
      <c r="FR398"/>
      <c r="FS398"/>
      <c r="FT398"/>
      <c r="FU398"/>
      <c r="FV398"/>
      <c r="FW398"/>
      <c r="FX398"/>
      <c r="FY398"/>
      <c r="FZ398"/>
      <c r="GA398"/>
      <c r="GB398"/>
      <c r="GC398"/>
      <c r="GD398"/>
      <c r="GE398"/>
      <c r="GF398"/>
      <c r="GG398"/>
      <c r="GH398"/>
      <c r="GI398"/>
      <c r="GJ398"/>
      <c r="GK398"/>
      <c r="GL398"/>
      <c r="GM398"/>
      <c r="GN398"/>
      <c r="GO398"/>
      <c r="GP398"/>
      <c r="GQ398"/>
      <c r="GR398"/>
      <c r="GS398"/>
      <c r="GT398"/>
      <c r="GU398"/>
      <c r="GV398"/>
      <c r="GW398"/>
      <c r="GX398"/>
      <c r="GY398"/>
      <c r="GZ398"/>
      <c r="HA398"/>
      <c r="HB398"/>
      <c r="HC398"/>
      <c r="HD398"/>
      <c r="HE398"/>
      <c r="HF398"/>
      <c r="HG398"/>
      <c r="HH398"/>
      <c r="HI398"/>
      <c r="HJ398"/>
      <c r="HK398"/>
      <c r="HL398"/>
      <c r="HM398"/>
      <c r="HN398"/>
      <c r="HO398"/>
      <c r="HP398"/>
      <c r="HQ398"/>
      <c r="HR398"/>
      <c r="HS398"/>
      <c r="HT398"/>
      <c r="HU398"/>
      <c r="HV398"/>
      <c r="HW398"/>
      <c r="HX398"/>
      <c r="HY398"/>
      <c r="HZ398"/>
      <c r="IA398"/>
      <c r="IB398"/>
      <c r="IC398"/>
      <c r="ID398"/>
      <c r="IE398"/>
      <c r="IF398"/>
      <c r="IG398"/>
      <c r="IH398"/>
      <c r="II398"/>
      <c r="IJ398"/>
      <c r="IK398"/>
      <c r="IL398"/>
      <c r="IM398"/>
      <c r="IN398"/>
      <c r="IO398"/>
      <c r="IP398"/>
      <c r="IQ398"/>
      <c r="IR398"/>
      <c r="IS398"/>
      <c r="IT398"/>
      <c r="IU398"/>
      <c r="IV398"/>
      <c r="IW398"/>
      <c r="IX398"/>
      <c r="IY398"/>
      <c r="IZ398"/>
      <c r="JA398"/>
      <c r="JB398"/>
      <c r="JC398"/>
      <c r="JD398"/>
      <c r="JE398"/>
      <c r="JF398"/>
      <c r="JG398"/>
      <c r="JH398"/>
      <c r="JI398"/>
      <c r="JJ398"/>
      <c r="JK398"/>
      <c r="JL398"/>
      <c r="JM398"/>
      <c r="JN398"/>
      <c r="JO398"/>
      <c r="JP398"/>
      <c r="JQ398"/>
      <c r="JR398"/>
      <c r="JS398"/>
      <c r="JT398"/>
      <c r="JU398"/>
      <c r="JV398"/>
      <c r="JW398"/>
      <c r="JX398"/>
      <c r="JY398"/>
      <c r="JZ398"/>
      <c r="KA398"/>
      <c r="KB398"/>
      <c r="KC398"/>
      <c r="KD398"/>
      <c r="KE398"/>
      <c r="KF398"/>
      <c r="KG398"/>
      <c r="KH398"/>
      <c r="KI398"/>
      <c r="KJ398"/>
      <c r="KK398"/>
      <c r="KL398"/>
      <c r="KM398"/>
      <c r="KN398"/>
      <c r="KO398"/>
      <c r="KP398"/>
      <c r="KQ398"/>
      <c r="KR398"/>
      <c r="KS398"/>
    </row>
    <row r="399" spans="2:305" hidden="1" x14ac:dyDescent="0.35">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c r="AS399"/>
      <c r="AT399"/>
      <c r="AU399"/>
      <c r="AV399"/>
      <c r="AW399"/>
      <c r="AX399"/>
      <c r="AY399"/>
      <c r="AZ399"/>
      <c r="BA399"/>
      <c r="BB399"/>
      <c r="BC399"/>
      <c r="BD399"/>
      <c r="BE399"/>
      <c r="BF399"/>
      <c r="BG399"/>
      <c r="BH399"/>
      <c r="BI399"/>
      <c r="BJ399"/>
      <c r="BK399"/>
      <c r="BL399"/>
      <c r="BM399"/>
      <c r="BN399"/>
      <c r="BO399"/>
      <c r="BP399"/>
      <c r="BQ399"/>
      <c r="BR399"/>
      <c r="BS399"/>
      <c r="BT399"/>
      <c r="BU399"/>
      <c r="BV399"/>
      <c r="BW399"/>
      <c r="BX399"/>
      <c r="BY399"/>
      <c r="BZ399"/>
      <c r="CA399"/>
      <c r="CB399"/>
      <c r="CC399"/>
      <c r="CD399"/>
      <c r="CE399"/>
      <c r="CF399"/>
      <c r="CG399"/>
      <c r="CH399"/>
      <c r="CI399"/>
      <c r="CJ399"/>
      <c r="CK399"/>
      <c r="CL399"/>
      <c r="CM399"/>
      <c r="CN399"/>
      <c r="CO399"/>
      <c r="CP399"/>
      <c r="CQ399"/>
      <c r="CR399"/>
      <c r="CS399"/>
      <c r="CT399"/>
      <c r="CU399"/>
      <c r="CV399"/>
      <c r="CW399"/>
      <c r="CX399"/>
      <c r="CY399"/>
      <c r="CZ399"/>
      <c r="DA399"/>
      <c r="DB399"/>
      <c r="DC399"/>
      <c r="DD399"/>
      <c r="DE399"/>
      <c r="DF399"/>
      <c r="DG399"/>
      <c r="DH399"/>
      <c r="DI399"/>
      <c r="DJ399"/>
      <c r="DK399"/>
      <c r="DL399"/>
      <c r="DM399"/>
      <c r="DN399"/>
      <c r="DO399"/>
      <c r="DP399"/>
      <c r="DQ399"/>
      <c r="DR399"/>
      <c r="DS399"/>
      <c r="DT399"/>
      <c r="DU399"/>
      <c r="DV399"/>
      <c r="DW399"/>
      <c r="DX399"/>
      <c r="DY399"/>
      <c r="DZ399"/>
      <c r="EA399"/>
      <c r="EB399"/>
      <c r="EC399"/>
      <c r="ED399"/>
      <c r="EE399"/>
      <c r="EF399"/>
      <c r="EG399"/>
      <c r="EH399"/>
      <c r="EI399"/>
      <c r="EJ399"/>
      <c r="EK399"/>
      <c r="EL399"/>
      <c r="EM399"/>
      <c r="EN399"/>
      <c r="EO399"/>
      <c r="EP399"/>
      <c r="EQ399"/>
      <c r="ER399"/>
      <c r="ES399"/>
      <c r="ET399"/>
      <c r="EU399"/>
      <c r="EV399"/>
      <c r="EW399"/>
      <c r="EX399"/>
      <c r="EY399"/>
      <c r="EZ399"/>
      <c r="FA399"/>
      <c r="FB399"/>
      <c r="FC399"/>
      <c r="FD399"/>
      <c r="FE399"/>
      <c r="FF399"/>
      <c r="FG399"/>
      <c r="FH399"/>
      <c r="FI399"/>
      <c r="FJ399"/>
      <c r="FK399"/>
      <c r="FL399"/>
      <c r="FM399"/>
      <c r="FN399"/>
      <c r="FO399"/>
      <c r="FP399"/>
      <c r="FQ399"/>
      <c r="FR399"/>
      <c r="FS399"/>
      <c r="FT399"/>
      <c r="FU399"/>
      <c r="FV399"/>
      <c r="FW399"/>
      <c r="FX399"/>
      <c r="FY399"/>
      <c r="FZ399"/>
      <c r="GA399"/>
      <c r="GB399"/>
      <c r="GC399"/>
      <c r="GD399"/>
      <c r="GE399"/>
      <c r="GF399"/>
      <c r="GG399"/>
      <c r="GH399"/>
      <c r="GI399"/>
      <c r="GJ399"/>
      <c r="GK399"/>
      <c r="GL399"/>
      <c r="GM399"/>
      <c r="GN399"/>
      <c r="GO399"/>
      <c r="GP399"/>
      <c r="GQ399"/>
      <c r="GR399"/>
      <c r="GS399"/>
      <c r="GT399"/>
      <c r="GU399"/>
      <c r="GV399"/>
      <c r="GW399"/>
      <c r="GX399"/>
      <c r="GY399"/>
      <c r="GZ399"/>
      <c r="HA399"/>
      <c r="HB399"/>
      <c r="HC399"/>
      <c r="HD399"/>
      <c r="HE399"/>
      <c r="HF399"/>
      <c r="HG399"/>
      <c r="HH399"/>
      <c r="HI399"/>
      <c r="HJ399"/>
      <c r="HK399"/>
      <c r="HL399"/>
      <c r="HM399"/>
      <c r="HN399"/>
      <c r="HO399"/>
      <c r="HP399"/>
      <c r="HQ399"/>
      <c r="HR399"/>
      <c r="HS399"/>
      <c r="HT399"/>
      <c r="HU399"/>
      <c r="HV399"/>
      <c r="HW399"/>
      <c r="HX399"/>
      <c r="HY399"/>
      <c r="HZ399"/>
      <c r="IA399"/>
      <c r="IB399"/>
      <c r="IC399"/>
      <c r="ID399"/>
      <c r="IE399"/>
      <c r="IF399"/>
      <c r="IG399"/>
      <c r="IH399"/>
      <c r="II399"/>
      <c r="IJ399"/>
      <c r="IK399"/>
      <c r="IL399"/>
      <c r="IM399"/>
      <c r="IN399"/>
      <c r="IO399"/>
      <c r="IP399"/>
      <c r="IQ399"/>
      <c r="IR399"/>
      <c r="IS399"/>
      <c r="IT399"/>
      <c r="IU399"/>
      <c r="IV399"/>
      <c r="IW399"/>
      <c r="IX399"/>
      <c r="IY399"/>
      <c r="IZ399"/>
      <c r="JA399"/>
      <c r="JB399"/>
      <c r="JC399"/>
      <c r="JD399"/>
      <c r="JE399"/>
      <c r="JF399"/>
      <c r="JG399"/>
      <c r="JH399"/>
      <c r="JI399"/>
      <c r="JJ399"/>
      <c r="JK399"/>
      <c r="JL399"/>
      <c r="JM399"/>
      <c r="JN399"/>
      <c r="JO399"/>
      <c r="JP399"/>
      <c r="JQ399"/>
      <c r="JR399"/>
      <c r="JS399"/>
      <c r="JT399"/>
      <c r="JU399"/>
      <c r="JV399"/>
      <c r="JW399"/>
      <c r="JX399"/>
      <c r="JY399"/>
      <c r="JZ399"/>
      <c r="KA399"/>
      <c r="KB399"/>
      <c r="KC399"/>
      <c r="KD399"/>
      <c r="KE399"/>
      <c r="KF399"/>
      <c r="KG399"/>
      <c r="KH399"/>
      <c r="KI399"/>
      <c r="KJ399"/>
      <c r="KK399"/>
      <c r="KL399"/>
      <c r="KM399"/>
      <c r="KN399"/>
      <c r="KO399"/>
      <c r="KP399"/>
      <c r="KQ399"/>
      <c r="KR399"/>
      <c r="KS399"/>
    </row>
    <row r="400" spans="2:305" hidden="1" x14ac:dyDescent="0.35">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c r="AS400"/>
      <c r="AT400"/>
      <c r="AU400"/>
      <c r="AV400"/>
      <c r="AW400"/>
      <c r="AX400"/>
      <c r="AY400"/>
      <c r="AZ400"/>
      <c r="BA400"/>
      <c r="BB400"/>
      <c r="BC400"/>
      <c r="BD400"/>
      <c r="BE400"/>
      <c r="BF400"/>
      <c r="BG400"/>
      <c r="BH400"/>
      <c r="BI400"/>
      <c r="BJ400"/>
      <c r="BK400"/>
      <c r="BL400"/>
      <c r="BM400"/>
      <c r="BN400"/>
      <c r="BO400"/>
      <c r="BP400"/>
      <c r="BQ400"/>
      <c r="BR400"/>
      <c r="BS400"/>
      <c r="BT400"/>
      <c r="BU400"/>
      <c r="BV400"/>
      <c r="BW400"/>
      <c r="BX400"/>
      <c r="BY400"/>
      <c r="BZ400"/>
      <c r="CA400"/>
      <c r="CB400"/>
      <c r="CC400"/>
      <c r="CD400"/>
      <c r="CE400"/>
      <c r="CF400"/>
      <c r="CG400"/>
      <c r="CH400"/>
      <c r="CI400"/>
      <c r="CJ400"/>
      <c r="CK400"/>
      <c r="CL400"/>
      <c r="CM400"/>
      <c r="CN400"/>
      <c r="CO400"/>
      <c r="CP400"/>
      <c r="CQ400"/>
      <c r="CR400"/>
      <c r="CS400"/>
      <c r="CT400"/>
      <c r="CU400"/>
      <c r="CV400"/>
      <c r="CW400"/>
      <c r="CX400"/>
      <c r="CY400"/>
      <c r="CZ400"/>
      <c r="DA400"/>
      <c r="DB400"/>
      <c r="DC400"/>
      <c r="DD400"/>
      <c r="DE400"/>
      <c r="DF400"/>
      <c r="DG400"/>
      <c r="DH400"/>
      <c r="DI400"/>
      <c r="DJ400"/>
      <c r="DK400"/>
      <c r="DL400"/>
      <c r="DM400"/>
      <c r="DN400"/>
      <c r="DO400"/>
      <c r="DP400"/>
      <c r="DQ400"/>
      <c r="DR400"/>
      <c r="DS400"/>
      <c r="DT400"/>
      <c r="DU400"/>
      <c r="DV400"/>
      <c r="DW400"/>
      <c r="DX400"/>
      <c r="DY400"/>
      <c r="DZ400"/>
      <c r="EA400"/>
      <c r="EB400"/>
      <c r="EC400"/>
      <c r="ED400"/>
      <c r="EE400"/>
      <c r="EF400"/>
      <c r="EG400"/>
      <c r="EH400"/>
      <c r="EI400"/>
      <c r="EJ400"/>
      <c r="EK400"/>
      <c r="EL400"/>
      <c r="EM400"/>
      <c r="EN400"/>
      <c r="EO400"/>
      <c r="EP400"/>
      <c r="EQ400"/>
      <c r="ER400"/>
      <c r="ES400"/>
      <c r="ET400"/>
      <c r="EU400"/>
      <c r="EV400"/>
      <c r="EW400"/>
      <c r="EX400"/>
      <c r="EY400"/>
      <c r="EZ400"/>
      <c r="FA400"/>
      <c r="FB400"/>
      <c r="FC400"/>
      <c r="FD400"/>
      <c r="FE400"/>
      <c r="FF400"/>
      <c r="FG400"/>
      <c r="FH400"/>
      <c r="FI400"/>
      <c r="FJ400"/>
      <c r="FK400"/>
      <c r="FL400"/>
      <c r="FM400"/>
      <c r="FN400"/>
      <c r="FO400"/>
      <c r="FP400"/>
      <c r="FQ400"/>
      <c r="FR400"/>
      <c r="FS400"/>
      <c r="FT400"/>
      <c r="FU400"/>
      <c r="FV400"/>
      <c r="FW400"/>
      <c r="FX400"/>
      <c r="FY400"/>
      <c r="FZ400"/>
      <c r="GA400"/>
      <c r="GB400"/>
      <c r="GC400"/>
      <c r="GD400"/>
      <c r="GE400"/>
      <c r="GF400"/>
      <c r="GG400"/>
      <c r="GH400"/>
      <c r="GI400"/>
      <c r="GJ400"/>
      <c r="GK400"/>
      <c r="GL400"/>
      <c r="GM400"/>
      <c r="GN400"/>
      <c r="GO400"/>
      <c r="GP400"/>
      <c r="GQ400"/>
      <c r="GR400"/>
      <c r="GS400"/>
      <c r="GT400"/>
      <c r="GU400"/>
      <c r="GV400"/>
      <c r="GW400"/>
      <c r="GX400"/>
      <c r="GY400"/>
      <c r="GZ400"/>
      <c r="HA400"/>
      <c r="HB400"/>
      <c r="HC400"/>
      <c r="HD400"/>
      <c r="HE400"/>
      <c r="HF400"/>
      <c r="HG400"/>
      <c r="HH400"/>
      <c r="HI400"/>
      <c r="HJ400"/>
      <c r="HK400"/>
      <c r="HL400"/>
      <c r="HM400"/>
      <c r="HN400"/>
      <c r="HO400"/>
      <c r="HP400"/>
      <c r="HQ400"/>
      <c r="HR400"/>
      <c r="HS400"/>
      <c r="HT400"/>
      <c r="HU400"/>
      <c r="HV400"/>
      <c r="HW400"/>
      <c r="HX400"/>
      <c r="HY400"/>
      <c r="HZ400"/>
      <c r="IA400"/>
      <c r="IB400"/>
      <c r="IC400"/>
      <c r="ID400"/>
      <c r="IE400"/>
      <c r="IF400"/>
      <c r="IG400"/>
      <c r="IH400"/>
      <c r="II400"/>
      <c r="IJ400"/>
      <c r="IK400"/>
      <c r="IL400"/>
      <c r="IM400"/>
      <c r="IN400"/>
      <c r="IO400"/>
      <c r="IP400"/>
      <c r="IQ400"/>
      <c r="IR400"/>
      <c r="IS400"/>
      <c r="IT400"/>
      <c r="IU400"/>
      <c r="IV400"/>
      <c r="IW400"/>
      <c r="IX400"/>
      <c r="IY400"/>
      <c r="IZ400"/>
      <c r="JA400"/>
      <c r="JB400"/>
      <c r="JC400"/>
      <c r="JD400"/>
      <c r="JE400"/>
      <c r="JF400"/>
      <c r="JG400"/>
      <c r="JH400"/>
      <c r="JI400"/>
      <c r="JJ400"/>
      <c r="JK400"/>
      <c r="JL400"/>
      <c r="JM400"/>
      <c r="JN400"/>
      <c r="JO400"/>
      <c r="JP400"/>
      <c r="JQ400"/>
      <c r="JR400"/>
      <c r="JS400"/>
      <c r="JT400"/>
      <c r="JU400"/>
      <c r="JV400"/>
      <c r="JW400"/>
      <c r="JX400"/>
      <c r="JY400"/>
      <c r="JZ400"/>
      <c r="KA400"/>
      <c r="KB400"/>
      <c r="KC400"/>
      <c r="KD400"/>
      <c r="KE400"/>
      <c r="KF400"/>
      <c r="KG400"/>
      <c r="KH400"/>
      <c r="KI400"/>
      <c r="KJ400"/>
      <c r="KK400"/>
      <c r="KL400"/>
      <c r="KM400"/>
      <c r="KN400"/>
      <c r="KO400"/>
      <c r="KP400"/>
      <c r="KQ400"/>
      <c r="KR400"/>
      <c r="KS400"/>
    </row>
    <row r="401" spans="2:305" hidden="1" x14ac:dyDescent="0.35">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c r="AS401"/>
      <c r="AT401"/>
      <c r="AU401"/>
      <c r="AV401"/>
      <c r="AW401"/>
      <c r="AX401"/>
      <c r="AY401"/>
      <c r="AZ401"/>
      <c r="BA401"/>
      <c r="BB401"/>
      <c r="BC401"/>
      <c r="BD401"/>
      <c r="BE401"/>
      <c r="BF401"/>
      <c r="BG401"/>
      <c r="BH401"/>
      <c r="BI401"/>
      <c r="BJ401"/>
      <c r="BK401"/>
      <c r="BL401"/>
      <c r="BM401"/>
      <c r="BN401"/>
      <c r="BO401"/>
      <c r="BP401"/>
      <c r="BQ401"/>
      <c r="BR401"/>
      <c r="BS401"/>
      <c r="BT401"/>
      <c r="BU401"/>
      <c r="BV401"/>
      <c r="BW401"/>
      <c r="BX401"/>
      <c r="BY401"/>
      <c r="BZ401"/>
      <c r="CA401"/>
      <c r="CB401"/>
      <c r="CC401"/>
      <c r="CD401"/>
      <c r="CE401"/>
      <c r="CF401"/>
      <c r="CG401"/>
      <c r="CH401"/>
      <c r="CI401"/>
      <c r="CJ401"/>
      <c r="CK401"/>
      <c r="CL401"/>
      <c r="CM401"/>
      <c r="CN401"/>
      <c r="CO401"/>
      <c r="CP401"/>
      <c r="CQ401"/>
      <c r="CR401"/>
      <c r="CS401"/>
      <c r="CT401"/>
      <c r="CU401"/>
      <c r="CV401"/>
      <c r="CW401"/>
      <c r="CX401"/>
      <c r="CY401"/>
      <c r="CZ401"/>
      <c r="DA401"/>
      <c r="DB401"/>
      <c r="DC401"/>
      <c r="DD401"/>
      <c r="DE401"/>
      <c r="DF401"/>
      <c r="DG401"/>
      <c r="DH401"/>
      <c r="DI401"/>
      <c r="DJ401"/>
      <c r="DK401"/>
      <c r="DL401"/>
      <c r="DM401"/>
      <c r="DN401"/>
      <c r="DO401"/>
      <c r="DP401"/>
      <c r="DQ401"/>
      <c r="DR401"/>
      <c r="DS401"/>
      <c r="DT401"/>
      <c r="DU401"/>
      <c r="DV401"/>
      <c r="DW401"/>
      <c r="DX401"/>
      <c r="DY401"/>
      <c r="DZ401"/>
      <c r="EA401"/>
      <c r="EB401"/>
      <c r="EC401"/>
      <c r="ED401"/>
      <c r="EE401"/>
      <c r="EF401"/>
      <c r="EG401"/>
      <c r="EH401"/>
      <c r="EI401"/>
      <c r="EJ401"/>
      <c r="EK401"/>
      <c r="EL401"/>
      <c r="EM401"/>
      <c r="EN401"/>
      <c r="EO401"/>
      <c r="EP401"/>
      <c r="EQ401"/>
      <c r="ER401"/>
      <c r="ES401"/>
      <c r="ET401"/>
      <c r="EU401"/>
      <c r="EV401"/>
      <c r="EW401"/>
      <c r="EX401"/>
      <c r="EY401"/>
      <c r="EZ401"/>
      <c r="FA401"/>
      <c r="FB401"/>
      <c r="FC401"/>
      <c r="FD401"/>
      <c r="FE401"/>
      <c r="FF401"/>
      <c r="FG401"/>
      <c r="FH401"/>
      <c r="FI401"/>
      <c r="FJ401"/>
      <c r="FK401"/>
      <c r="FL401"/>
      <c r="FM401"/>
      <c r="FN401"/>
      <c r="FO401"/>
      <c r="FP401"/>
      <c r="FQ401"/>
      <c r="FR401"/>
      <c r="FS401"/>
      <c r="FT401"/>
      <c r="FU401"/>
      <c r="FV401"/>
      <c r="FW401"/>
      <c r="FX401"/>
      <c r="FY401"/>
      <c r="FZ401"/>
      <c r="GA401"/>
      <c r="GB401"/>
      <c r="GC401"/>
      <c r="GD401"/>
      <c r="GE401"/>
      <c r="GF401"/>
      <c r="GG401"/>
      <c r="GH401"/>
      <c r="GI401"/>
      <c r="GJ401"/>
      <c r="GK401"/>
      <c r="GL401"/>
      <c r="GM401"/>
      <c r="GN401"/>
      <c r="GO401"/>
      <c r="GP401"/>
      <c r="GQ401"/>
      <c r="GR401"/>
      <c r="GS401"/>
      <c r="GT401"/>
      <c r="GU401"/>
      <c r="GV401"/>
      <c r="GW401"/>
      <c r="GX401"/>
      <c r="GY401"/>
      <c r="GZ401"/>
      <c r="HA401"/>
      <c r="HB401"/>
      <c r="HC401"/>
      <c r="HD401"/>
      <c r="HE401"/>
      <c r="HF401"/>
      <c r="HG401"/>
      <c r="HH401"/>
      <c r="HI401"/>
      <c r="HJ401"/>
      <c r="HK401"/>
      <c r="HL401"/>
      <c r="HM401"/>
      <c r="HN401"/>
      <c r="HO401"/>
      <c r="HP401"/>
      <c r="HQ401"/>
      <c r="HR401"/>
      <c r="HS401"/>
      <c r="HT401"/>
      <c r="HU401"/>
      <c r="HV401"/>
      <c r="HW401"/>
      <c r="HX401"/>
      <c r="HY401"/>
      <c r="HZ401"/>
      <c r="IA401"/>
      <c r="IB401"/>
      <c r="IC401"/>
      <c r="ID401"/>
      <c r="IE401"/>
      <c r="IF401"/>
      <c r="IG401"/>
      <c r="IH401"/>
      <c r="II401"/>
      <c r="IJ401"/>
      <c r="IK401"/>
      <c r="IL401"/>
      <c r="IM401"/>
      <c r="IN401"/>
      <c r="IO401"/>
      <c r="IP401"/>
      <c r="IQ401"/>
      <c r="IR401"/>
      <c r="IS401"/>
      <c r="IT401"/>
      <c r="IU401"/>
      <c r="IV401"/>
      <c r="IW401"/>
      <c r="IX401"/>
      <c r="IY401"/>
      <c r="IZ401"/>
      <c r="JA401"/>
      <c r="JB401"/>
      <c r="JC401"/>
      <c r="JD401"/>
      <c r="JE401"/>
      <c r="JF401"/>
      <c r="JG401"/>
      <c r="JH401"/>
      <c r="JI401"/>
      <c r="JJ401"/>
      <c r="JK401"/>
      <c r="JL401"/>
      <c r="JM401"/>
      <c r="JN401"/>
      <c r="JO401"/>
      <c r="JP401"/>
      <c r="JQ401"/>
      <c r="JR401"/>
      <c r="JS401"/>
      <c r="JT401"/>
      <c r="JU401"/>
      <c r="JV401"/>
      <c r="JW401"/>
      <c r="JX401"/>
      <c r="JY401"/>
      <c r="JZ401"/>
      <c r="KA401"/>
      <c r="KB401"/>
      <c r="KC401"/>
      <c r="KD401"/>
      <c r="KE401"/>
      <c r="KF401"/>
      <c r="KG401"/>
      <c r="KH401"/>
      <c r="KI401"/>
      <c r="KJ401"/>
      <c r="KK401"/>
      <c r="KL401"/>
      <c r="KM401"/>
      <c r="KN401"/>
      <c r="KO401"/>
      <c r="KP401"/>
      <c r="KQ401"/>
      <c r="KR401"/>
      <c r="KS401"/>
    </row>
    <row r="402" spans="2:305" hidden="1" x14ac:dyDescent="0.35">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c r="AS402"/>
      <c r="AT402"/>
      <c r="AU402"/>
      <c r="AV402"/>
      <c r="AW402"/>
      <c r="AX402"/>
      <c r="AY402"/>
      <c r="AZ402"/>
      <c r="BA402"/>
      <c r="BB402"/>
      <c r="BC402"/>
      <c r="BD402"/>
      <c r="BE402"/>
      <c r="BF402"/>
      <c r="BG402"/>
      <c r="BH402"/>
      <c r="BI402"/>
      <c r="BJ402"/>
      <c r="BK402"/>
      <c r="BL402"/>
      <c r="BM402"/>
      <c r="BN402"/>
      <c r="BO402"/>
      <c r="BP402"/>
      <c r="BQ402"/>
      <c r="BR402"/>
      <c r="BS402"/>
      <c r="BT402"/>
      <c r="BU402"/>
      <c r="BV402"/>
      <c r="BW402"/>
      <c r="BX402"/>
      <c r="BY402"/>
      <c r="BZ402"/>
      <c r="CA402"/>
      <c r="CB402"/>
      <c r="CC402"/>
      <c r="CD402"/>
      <c r="CE402"/>
      <c r="CF402"/>
      <c r="CG402"/>
      <c r="CH402"/>
      <c r="CI402"/>
      <c r="CJ402"/>
      <c r="CK402"/>
      <c r="CL402"/>
      <c r="CM402"/>
      <c r="CN402"/>
      <c r="CO402"/>
      <c r="CP402"/>
      <c r="CQ402"/>
      <c r="CR402"/>
      <c r="CS402"/>
      <c r="CT402"/>
      <c r="CU402"/>
      <c r="CV402"/>
      <c r="CW402"/>
      <c r="CX402"/>
      <c r="CY402"/>
      <c r="CZ402"/>
      <c r="DA402"/>
      <c r="DB402"/>
      <c r="DC402"/>
      <c r="DD402"/>
      <c r="DE402"/>
      <c r="DF402"/>
      <c r="DG402"/>
      <c r="DH402"/>
      <c r="DI402"/>
      <c r="DJ402"/>
      <c r="DK402"/>
      <c r="DL402"/>
      <c r="DM402"/>
      <c r="DN402"/>
      <c r="DO402"/>
      <c r="DP402"/>
      <c r="DQ402"/>
      <c r="DR402"/>
      <c r="DS402"/>
      <c r="DT402"/>
      <c r="DU402"/>
      <c r="DV402"/>
      <c r="DW402"/>
      <c r="DX402"/>
      <c r="DY402"/>
      <c r="DZ402"/>
      <c r="EA402"/>
      <c r="EB402"/>
      <c r="EC402"/>
      <c r="ED402"/>
      <c r="EE402"/>
      <c r="EF402"/>
      <c r="EG402"/>
      <c r="EH402"/>
      <c r="EI402"/>
      <c r="EJ402"/>
      <c r="EK402"/>
      <c r="EL402"/>
      <c r="EM402"/>
      <c r="EN402"/>
      <c r="EO402"/>
      <c r="EP402"/>
      <c r="EQ402"/>
      <c r="ER402"/>
      <c r="ES402"/>
      <c r="ET402"/>
      <c r="EU402"/>
      <c r="EV402"/>
      <c r="EW402"/>
      <c r="EX402"/>
      <c r="EY402"/>
      <c r="EZ402"/>
      <c r="FA402"/>
      <c r="FB402"/>
      <c r="FC402"/>
      <c r="FD402"/>
      <c r="FE402"/>
      <c r="FF402"/>
      <c r="FG402"/>
      <c r="FH402"/>
      <c r="FI402"/>
      <c r="FJ402"/>
      <c r="FK402"/>
      <c r="FL402"/>
      <c r="FM402"/>
      <c r="FN402"/>
      <c r="FO402"/>
      <c r="FP402"/>
      <c r="FQ402"/>
      <c r="FR402"/>
      <c r="FS402"/>
      <c r="FT402"/>
      <c r="FU402"/>
      <c r="FV402"/>
      <c r="FW402"/>
      <c r="FX402"/>
      <c r="FY402"/>
      <c r="FZ402"/>
      <c r="GA402"/>
      <c r="GB402"/>
      <c r="GC402"/>
      <c r="GD402"/>
      <c r="GE402"/>
      <c r="GF402"/>
      <c r="GG402"/>
      <c r="GH402"/>
      <c r="GI402"/>
      <c r="GJ402"/>
      <c r="GK402"/>
      <c r="GL402"/>
      <c r="GM402"/>
      <c r="GN402"/>
      <c r="GO402"/>
      <c r="GP402"/>
      <c r="GQ402"/>
      <c r="GR402"/>
      <c r="GS402"/>
      <c r="GT402"/>
      <c r="GU402"/>
      <c r="GV402"/>
      <c r="GW402"/>
      <c r="GX402"/>
      <c r="GY402"/>
      <c r="GZ402"/>
      <c r="HA402"/>
      <c r="HB402"/>
      <c r="HC402"/>
      <c r="HD402"/>
      <c r="HE402"/>
      <c r="HF402"/>
      <c r="HG402"/>
      <c r="HH402"/>
      <c r="HI402"/>
      <c r="HJ402"/>
      <c r="HK402"/>
      <c r="HL402"/>
      <c r="HM402"/>
      <c r="HN402"/>
      <c r="HO402"/>
      <c r="HP402"/>
      <c r="HQ402"/>
      <c r="HR402"/>
      <c r="HS402"/>
      <c r="HT402"/>
      <c r="HU402"/>
      <c r="HV402"/>
      <c r="HW402"/>
      <c r="HX402"/>
      <c r="HY402"/>
      <c r="HZ402"/>
      <c r="IA402"/>
      <c r="IB402"/>
      <c r="IC402"/>
      <c r="ID402"/>
      <c r="IE402"/>
      <c r="IF402"/>
      <c r="IG402"/>
      <c r="IH402"/>
      <c r="II402"/>
      <c r="IJ402"/>
      <c r="IK402"/>
      <c r="IL402"/>
      <c r="IM402"/>
      <c r="IN402"/>
      <c r="IO402"/>
      <c r="IP402"/>
      <c r="IQ402"/>
      <c r="IR402"/>
      <c r="IS402"/>
      <c r="IT402"/>
      <c r="IU402"/>
      <c r="IV402"/>
      <c r="IW402"/>
      <c r="IX402"/>
      <c r="IY402"/>
      <c r="IZ402"/>
      <c r="JA402"/>
      <c r="JB402"/>
      <c r="JC402"/>
      <c r="JD402"/>
      <c r="JE402"/>
      <c r="JF402"/>
      <c r="JG402"/>
      <c r="JH402"/>
      <c r="JI402"/>
      <c r="JJ402"/>
      <c r="JK402"/>
      <c r="JL402"/>
      <c r="JM402"/>
      <c r="JN402"/>
      <c r="JO402"/>
      <c r="JP402"/>
      <c r="JQ402"/>
      <c r="JR402"/>
      <c r="JS402"/>
      <c r="JT402"/>
      <c r="JU402"/>
      <c r="JV402"/>
      <c r="JW402"/>
      <c r="JX402"/>
      <c r="JY402"/>
      <c r="JZ402"/>
      <c r="KA402"/>
      <c r="KB402"/>
      <c r="KC402"/>
      <c r="KD402"/>
      <c r="KE402"/>
      <c r="KF402"/>
      <c r="KG402"/>
      <c r="KH402"/>
      <c r="KI402"/>
      <c r="KJ402"/>
      <c r="KK402"/>
      <c r="KL402"/>
      <c r="KM402"/>
      <c r="KN402"/>
      <c r="KO402"/>
      <c r="KP402"/>
      <c r="KQ402"/>
      <c r="KR402"/>
      <c r="KS402"/>
    </row>
    <row r="403" spans="2:305" hidden="1" x14ac:dyDescent="0.35">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c r="AS403"/>
      <c r="AT403"/>
      <c r="AU403"/>
      <c r="AV403"/>
      <c r="AW403"/>
      <c r="AX403"/>
      <c r="AY403"/>
      <c r="AZ403"/>
      <c r="BA403"/>
      <c r="BB403"/>
      <c r="BC403"/>
      <c r="BD403"/>
      <c r="BE403"/>
      <c r="BF403"/>
      <c r="BG403"/>
      <c r="BH403"/>
      <c r="BI403"/>
      <c r="BJ403"/>
      <c r="BK403"/>
      <c r="BL403"/>
      <c r="BM403"/>
      <c r="BN403"/>
      <c r="BO403"/>
      <c r="BP403"/>
      <c r="BQ403"/>
      <c r="BR403"/>
      <c r="BS403"/>
      <c r="BT403"/>
      <c r="BU403"/>
      <c r="BV403"/>
      <c r="BW403"/>
      <c r="BX403"/>
      <c r="BY403"/>
      <c r="BZ403"/>
      <c r="CA403"/>
      <c r="CB403"/>
      <c r="CC403"/>
      <c r="CD403"/>
      <c r="CE403"/>
      <c r="CF403"/>
      <c r="CG403"/>
      <c r="CH403"/>
      <c r="CI403"/>
      <c r="CJ403"/>
      <c r="CK403"/>
      <c r="CL403"/>
      <c r="CM403"/>
      <c r="CN403"/>
      <c r="CO403"/>
      <c r="CP403"/>
      <c r="CQ403"/>
      <c r="CR403"/>
      <c r="CS403"/>
      <c r="CT403"/>
      <c r="CU403"/>
      <c r="CV403"/>
      <c r="CW403"/>
      <c r="CX403"/>
      <c r="CY403"/>
      <c r="CZ403"/>
      <c r="DA403"/>
      <c r="DB403"/>
      <c r="DC403"/>
      <c r="DD403"/>
      <c r="DE403"/>
      <c r="DF403"/>
      <c r="DG403"/>
      <c r="DH403"/>
      <c r="DI403"/>
      <c r="DJ403"/>
      <c r="DK403"/>
      <c r="DL403"/>
      <c r="DM403"/>
      <c r="DN403"/>
      <c r="DO403"/>
      <c r="DP403"/>
      <c r="DQ403"/>
      <c r="DR403"/>
      <c r="DS403"/>
      <c r="DT403"/>
      <c r="DU403"/>
      <c r="DV403"/>
      <c r="DW403"/>
      <c r="DX403"/>
      <c r="DY403"/>
      <c r="DZ403"/>
      <c r="EA403"/>
      <c r="EB403"/>
      <c r="EC403"/>
      <c r="ED403"/>
      <c r="EE403"/>
      <c r="EF403"/>
      <c r="EG403"/>
      <c r="EH403"/>
      <c r="EI403"/>
      <c r="EJ403"/>
      <c r="EK403"/>
      <c r="EL403"/>
      <c r="EM403"/>
      <c r="EN403"/>
      <c r="EO403"/>
      <c r="EP403"/>
      <c r="EQ403"/>
      <c r="ER403"/>
      <c r="ES403"/>
      <c r="ET403"/>
      <c r="EU403"/>
      <c r="EV403"/>
      <c r="EW403"/>
      <c r="EX403"/>
      <c r="EY403"/>
      <c r="EZ403"/>
      <c r="FA403"/>
      <c r="FB403"/>
      <c r="FC403"/>
      <c r="FD403"/>
      <c r="FE403"/>
      <c r="FF403"/>
      <c r="FG403"/>
      <c r="FH403"/>
      <c r="FI403"/>
      <c r="FJ403"/>
      <c r="FK403"/>
      <c r="FL403"/>
      <c r="FM403"/>
      <c r="FN403"/>
      <c r="FO403"/>
      <c r="FP403"/>
      <c r="FQ403"/>
      <c r="FR403"/>
      <c r="FS403"/>
      <c r="FT403"/>
      <c r="FU403"/>
      <c r="FV403"/>
      <c r="FW403"/>
      <c r="FX403"/>
      <c r="FY403"/>
      <c r="FZ403"/>
      <c r="GA403"/>
      <c r="GB403"/>
      <c r="GC403"/>
      <c r="GD403"/>
      <c r="GE403"/>
      <c r="GF403"/>
      <c r="GG403"/>
      <c r="GH403"/>
      <c r="GI403"/>
      <c r="GJ403"/>
      <c r="GK403"/>
      <c r="GL403"/>
      <c r="GM403"/>
      <c r="GN403"/>
      <c r="GO403"/>
      <c r="GP403"/>
      <c r="GQ403"/>
      <c r="GR403"/>
      <c r="GS403"/>
      <c r="GT403"/>
      <c r="GU403"/>
      <c r="GV403"/>
      <c r="GW403"/>
      <c r="GX403"/>
      <c r="GY403"/>
      <c r="GZ403"/>
      <c r="HA403"/>
      <c r="HB403"/>
      <c r="HC403"/>
      <c r="HD403"/>
      <c r="HE403"/>
      <c r="HF403"/>
      <c r="HG403"/>
      <c r="HH403"/>
      <c r="HI403"/>
      <c r="HJ403"/>
      <c r="HK403"/>
      <c r="HL403"/>
      <c r="HM403"/>
      <c r="HN403"/>
      <c r="HO403"/>
      <c r="HP403"/>
      <c r="HQ403"/>
      <c r="HR403"/>
      <c r="HS403"/>
      <c r="HT403"/>
      <c r="HU403"/>
      <c r="HV403"/>
      <c r="HW403"/>
      <c r="HX403"/>
      <c r="HY403"/>
      <c r="HZ403"/>
      <c r="IA403"/>
      <c r="IB403"/>
      <c r="IC403"/>
      <c r="ID403"/>
      <c r="IE403"/>
      <c r="IF403"/>
      <c r="IG403"/>
      <c r="IH403"/>
      <c r="II403"/>
      <c r="IJ403"/>
      <c r="IK403"/>
      <c r="IL403"/>
      <c r="IM403"/>
      <c r="IN403"/>
      <c r="IO403"/>
      <c r="IP403"/>
      <c r="IQ403"/>
      <c r="IR403"/>
      <c r="IS403"/>
      <c r="IT403"/>
      <c r="IU403"/>
      <c r="IV403"/>
      <c r="IW403"/>
      <c r="IX403"/>
      <c r="IY403"/>
      <c r="IZ403"/>
      <c r="JA403"/>
      <c r="JB403"/>
      <c r="JC403"/>
      <c r="JD403"/>
      <c r="JE403"/>
      <c r="JF403"/>
      <c r="JG403"/>
      <c r="JH403"/>
      <c r="JI403"/>
      <c r="JJ403"/>
      <c r="JK403"/>
      <c r="JL403"/>
      <c r="JM403"/>
      <c r="JN403"/>
      <c r="JO403"/>
      <c r="JP403"/>
      <c r="JQ403"/>
      <c r="JR403"/>
      <c r="JS403"/>
      <c r="JT403"/>
      <c r="JU403"/>
      <c r="JV403"/>
      <c r="JW403"/>
      <c r="JX403"/>
      <c r="JY403"/>
      <c r="JZ403"/>
      <c r="KA403"/>
      <c r="KB403"/>
      <c r="KC403"/>
      <c r="KD403"/>
      <c r="KE403"/>
      <c r="KF403"/>
      <c r="KG403"/>
      <c r="KH403"/>
      <c r="KI403"/>
      <c r="KJ403"/>
      <c r="KK403"/>
      <c r="KL403"/>
      <c r="KM403"/>
      <c r="KN403"/>
      <c r="KO403"/>
      <c r="KP403"/>
      <c r="KQ403"/>
      <c r="KR403"/>
      <c r="KS403"/>
    </row>
    <row r="404" spans="2:305" hidden="1" x14ac:dyDescent="0.35">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c r="AS404"/>
      <c r="AT404"/>
      <c r="AU404"/>
      <c r="AV404"/>
      <c r="AW404"/>
      <c r="AX404"/>
      <c r="AY404"/>
      <c r="AZ404"/>
      <c r="BA404"/>
      <c r="BB404"/>
      <c r="BC404"/>
      <c r="BD404"/>
      <c r="BE404"/>
      <c r="BF404"/>
      <c r="BG404"/>
      <c r="BH404"/>
      <c r="BI404"/>
      <c r="BJ404"/>
      <c r="BK404"/>
      <c r="BL404"/>
      <c r="BM404"/>
      <c r="BN404"/>
      <c r="BO404"/>
      <c r="BP404"/>
      <c r="BQ404"/>
      <c r="BR404"/>
      <c r="BS404"/>
      <c r="BT404"/>
      <c r="BU404"/>
      <c r="BV404"/>
      <c r="BW404"/>
      <c r="BX404"/>
      <c r="BY404"/>
      <c r="BZ404"/>
      <c r="CA404"/>
      <c r="CB404"/>
      <c r="CC404"/>
      <c r="CD404"/>
      <c r="CE404"/>
      <c r="CF404"/>
      <c r="CG404"/>
      <c r="CH404"/>
      <c r="CI404"/>
      <c r="CJ404"/>
      <c r="CK404"/>
      <c r="CL404"/>
      <c r="CM404"/>
      <c r="CN404"/>
      <c r="CO404"/>
      <c r="CP404"/>
      <c r="CQ404"/>
      <c r="CR404"/>
      <c r="CS404"/>
      <c r="CT404"/>
      <c r="CU404"/>
      <c r="CV404"/>
      <c r="CW404"/>
      <c r="CX404"/>
      <c r="CY404"/>
      <c r="CZ404"/>
      <c r="DA404"/>
      <c r="DB404"/>
      <c r="DC404"/>
      <c r="DD404"/>
      <c r="DE404"/>
      <c r="DF404"/>
      <c r="DG404"/>
      <c r="DH404"/>
      <c r="DI404"/>
      <c r="DJ404"/>
      <c r="DK404"/>
      <c r="DL404"/>
      <c r="DM404"/>
      <c r="DN404"/>
      <c r="DO404"/>
      <c r="DP404"/>
      <c r="DQ404"/>
      <c r="DR404"/>
      <c r="DS404"/>
      <c r="DT404"/>
      <c r="DU404"/>
      <c r="DV404"/>
      <c r="DW404"/>
      <c r="DX404"/>
      <c r="DY404"/>
      <c r="DZ404"/>
      <c r="EA404"/>
      <c r="EB404"/>
      <c r="EC404"/>
      <c r="ED404"/>
      <c r="EE404"/>
      <c r="EF404"/>
      <c r="EG404"/>
      <c r="EH404"/>
      <c r="EI404"/>
      <c r="EJ404"/>
      <c r="EK404"/>
      <c r="EL404"/>
      <c r="EM404"/>
      <c r="EN404"/>
      <c r="EO404"/>
      <c r="EP404"/>
      <c r="EQ404"/>
      <c r="ER404"/>
      <c r="ES404"/>
      <c r="ET404"/>
      <c r="EU404"/>
      <c r="EV404"/>
      <c r="EW404"/>
      <c r="EX404"/>
      <c r="EY404"/>
      <c r="EZ404"/>
      <c r="FA404"/>
      <c r="FB404"/>
      <c r="FC404"/>
      <c r="FD404"/>
      <c r="FE404"/>
      <c r="FF404"/>
      <c r="FG404"/>
      <c r="FH404"/>
      <c r="FI404"/>
      <c r="FJ404"/>
      <c r="FK404"/>
      <c r="FL404"/>
      <c r="FM404"/>
      <c r="FN404"/>
      <c r="FO404"/>
      <c r="FP404"/>
      <c r="FQ404"/>
      <c r="FR404"/>
      <c r="FS404"/>
      <c r="FT404"/>
      <c r="FU404"/>
      <c r="FV404"/>
      <c r="FW404"/>
      <c r="FX404"/>
      <c r="FY404"/>
      <c r="FZ404"/>
      <c r="GA404"/>
      <c r="GB404"/>
      <c r="GC404"/>
      <c r="GD404"/>
      <c r="GE404"/>
      <c r="GF404"/>
      <c r="GG404"/>
      <c r="GH404"/>
      <c r="GI404"/>
      <c r="GJ404"/>
      <c r="GK404"/>
      <c r="GL404"/>
      <c r="GM404"/>
      <c r="GN404"/>
      <c r="GO404"/>
      <c r="GP404"/>
      <c r="GQ404"/>
      <c r="GR404"/>
      <c r="GS404"/>
      <c r="GT404"/>
      <c r="GU404"/>
      <c r="GV404"/>
      <c r="GW404"/>
      <c r="GX404"/>
      <c r="GY404"/>
      <c r="GZ404"/>
      <c r="HA404"/>
      <c r="HB404"/>
      <c r="HC404"/>
      <c r="HD404"/>
      <c r="HE404"/>
      <c r="HF404"/>
      <c r="HG404"/>
      <c r="HH404"/>
      <c r="HI404"/>
      <c r="HJ404"/>
      <c r="HK404"/>
      <c r="HL404"/>
      <c r="HM404"/>
      <c r="HN404"/>
      <c r="HO404"/>
      <c r="HP404"/>
      <c r="HQ404"/>
      <c r="HR404"/>
      <c r="HS404"/>
      <c r="HT404"/>
      <c r="HU404"/>
      <c r="HV404"/>
      <c r="HW404"/>
      <c r="HX404"/>
      <c r="HY404"/>
      <c r="HZ404"/>
      <c r="IA404"/>
      <c r="IB404"/>
      <c r="IC404"/>
      <c r="ID404"/>
      <c r="IE404"/>
      <c r="IF404"/>
      <c r="IG404"/>
      <c r="IH404"/>
      <c r="II404"/>
      <c r="IJ404"/>
      <c r="IK404"/>
      <c r="IL404"/>
      <c r="IM404"/>
      <c r="IN404"/>
      <c r="IO404"/>
      <c r="IP404"/>
      <c r="IQ404"/>
      <c r="IR404"/>
      <c r="IS404"/>
      <c r="IT404"/>
      <c r="IU404"/>
      <c r="IV404"/>
      <c r="IW404"/>
      <c r="IX404"/>
      <c r="IY404"/>
      <c r="IZ404"/>
      <c r="JA404"/>
      <c r="JB404"/>
      <c r="JC404"/>
      <c r="JD404"/>
      <c r="JE404"/>
      <c r="JF404"/>
      <c r="JG404"/>
      <c r="JH404"/>
      <c r="JI404"/>
      <c r="JJ404"/>
      <c r="JK404"/>
      <c r="JL404"/>
      <c r="JM404"/>
      <c r="JN404"/>
      <c r="JO404"/>
      <c r="JP404"/>
      <c r="JQ404"/>
      <c r="JR404"/>
      <c r="JS404"/>
      <c r="JT404"/>
      <c r="JU404"/>
      <c r="JV404"/>
      <c r="JW404"/>
      <c r="JX404"/>
      <c r="JY404"/>
      <c r="JZ404"/>
      <c r="KA404"/>
      <c r="KB404"/>
      <c r="KC404"/>
      <c r="KD404"/>
      <c r="KE404"/>
      <c r="KF404"/>
      <c r="KG404"/>
      <c r="KH404"/>
      <c r="KI404"/>
      <c r="KJ404"/>
      <c r="KK404"/>
      <c r="KL404"/>
      <c r="KM404"/>
      <c r="KN404"/>
      <c r="KO404"/>
      <c r="KP404"/>
      <c r="KQ404"/>
      <c r="KR404"/>
      <c r="KS404"/>
    </row>
    <row r="405" spans="2:305" hidden="1" x14ac:dyDescent="0.3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c r="AS405"/>
      <c r="AT405"/>
      <c r="AU405"/>
      <c r="AV405"/>
      <c r="AW405"/>
      <c r="AX405"/>
      <c r="AY405"/>
      <c r="AZ405"/>
      <c r="BA405"/>
      <c r="BB405"/>
      <c r="BC405"/>
      <c r="BD405"/>
      <c r="BE405"/>
      <c r="BF405"/>
      <c r="BG405"/>
      <c r="BH405"/>
      <c r="BI405"/>
      <c r="BJ405"/>
      <c r="BK405"/>
      <c r="BL405"/>
      <c r="BM405"/>
      <c r="BN405"/>
      <c r="BO405"/>
      <c r="BP405"/>
      <c r="BQ405"/>
      <c r="BR405"/>
      <c r="BS405"/>
      <c r="BT405"/>
      <c r="BU405"/>
      <c r="BV405"/>
      <c r="BW405"/>
      <c r="BX405"/>
      <c r="BY405"/>
      <c r="BZ405"/>
      <c r="CA405"/>
      <c r="CB405"/>
      <c r="CC405"/>
      <c r="CD405"/>
      <c r="CE405"/>
      <c r="CF405"/>
      <c r="CG405"/>
      <c r="CH405"/>
      <c r="CI405"/>
      <c r="CJ405"/>
      <c r="CK405"/>
      <c r="CL405"/>
      <c r="CM405"/>
      <c r="CN405"/>
      <c r="CO405"/>
      <c r="CP405"/>
      <c r="CQ405"/>
      <c r="CR405"/>
      <c r="CS405"/>
      <c r="CT405"/>
      <c r="CU405"/>
      <c r="CV405"/>
      <c r="CW405"/>
      <c r="CX405"/>
      <c r="CY405"/>
      <c r="CZ405"/>
      <c r="DA405"/>
      <c r="DB405"/>
      <c r="DC405"/>
      <c r="DD405"/>
      <c r="DE405"/>
      <c r="DF405"/>
      <c r="DG405"/>
      <c r="DH405"/>
      <c r="DI405"/>
      <c r="DJ405"/>
      <c r="DK405"/>
      <c r="DL405"/>
      <c r="DM405"/>
      <c r="DN405"/>
      <c r="DO405"/>
      <c r="DP405"/>
      <c r="DQ405"/>
      <c r="DR405"/>
      <c r="DS405"/>
      <c r="DT405"/>
      <c r="DU405"/>
      <c r="DV405"/>
      <c r="DW405"/>
      <c r="DX405"/>
      <c r="DY405"/>
      <c r="DZ405"/>
      <c r="EA405"/>
      <c r="EB405"/>
      <c r="EC405"/>
      <c r="ED405"/>
      <c r="EE405"/>
      <c r="EF405"/>
      <c r="EG405"/>
      <c r="EH405"/>
      <c r="EI405"/>
      <c r="EJ405"/>
      <c r="EK405"/>
      <c r="EL405"/>
      <c r="EM405"/>
      <c r="EN405"/>
      <c r="EO405"/>
      <c r="EP405"/>
      <c r="EQ405"/>
      <c r="ER405"/>
      <c r="ES405"/>
      <c r="ET405"/>
      <c r="EU405"/>
      <c r="EV405"/>
      <c r="EW405"/>
      <c r="EX405"/>
      <c r="EY405"/>
      <c r="EZ405"/>
      <c r="FA405"/>
      <c r="FB405"/>
      <c r="FC405"/>
      <c r="FD405"/>
      <c r="FE405"/>
      <c r="FF405"/>
      <c r="FG405"/>
      <c r="FH405"/>
      <c r="FI405"/>
      <c r="FJ405"/>
      <c r="FK405"/>
      <c r="FL405"/>
      <c r="FM405"/>
      <c r="FN405"/>
      <c r="FO405"/>
      <c r="FP405"/>
      <c r="FQ405"/>
      <c r="FR405"/>
      <c r="FS405"/>
      <c r="FT405"/>
      <c r="FU405"/>
      <c r="FV405"/>
      <c r="FW405"/>
      <c r="FX405"/>
      <c r="FY405"/>
      <c r="FZ405"/>
      <c r="GA405"/>
      <c r="GB405"/>
      <c r="GC405"/>
      <c r="GD405"/>
      <c r="GE405"/>
      <c r="GF405"/>
      <c r="GG405"/>
      <c r="GH405"/>
      <c r="GI405"/>
      <c r="GJ405"/>
      <c r="GK405"/>
      <c r="GL405"/>
      <c r="GM405"/>
      <c r="GN405"/>
      <c r="GO405"/>
      <c r="GP405"/>
      <c r="GQ405"/>
      <c r="GR405"/>
      <c r="GS405"/>
      <c r="GT405"/>
      <c r="GU405"/>
      <c r="GV405"/>
      <c r="GW405"/>
      <c r="GX405"/>
      <c r="GY405"/>
      <c r="GZ405"/>
      <c r="HA405"/>
      <c r="HB405"/>
      <c r="HC405"/>
      <c r="HD405"/>
      <c r="HE405"/>
      <c r="HF405"/>
      <c r="HG405"/>
      <c r="HH405"/>
      <c r="HI405"/>
      <c r="HJ405"/>
      <c r="HK405"/>
      <c r="HL405"/>
      <c r="HM405"/>
      <c r="HN405"/>
      <c r="HO405"/>
      <c r="HP405"/>
      <c r="HQ405"/>
      <c r="HR405"/>
      <c r="HS405"/>
      <c r="HT405"/>
      <c r="HU405"/>
      <c r="HV405"/>
      <c r="HW405"/>
      <c r="HX405"/>
      <c r="HY405"/>
      <c r="HZ405"/>
      <c r="IA405"/>
      <c r="IB405"/>
      <c r="IC405"/>
      <c r="ID405"/>
      <c r="IE405"/>
      <c r="IF405"/>
      <c r="IG405"/>
      <c r="IH405"/>
      <c r="II405"/>
      <c r="IJ405"/>
      <c r="IK405"/>
      <c r="IL405"/>
      <c r="IM405"/>
      <c r="IN405"/>
      <c r="IO405"/>
      <c r="IP405"/>
      <c r="IQ405"/>
      <c r="IR405"/>
      <c r="IS405"/>
      <c r="IT405"/>
      <c r="IU405"/>
      <c r="IV405"/>
      <c r="IW405"/>
      <c r="IX405"/>
      <c r="IY405"/>
      <c r="IZ405"/>
      <c r="JA405"/>
      <c r="JB405"/>
      <c r="JC405"/>
      <c r="JD405"/>
      <c r="JE405"/>
      <c r="JF405"/>
      <c r="JG405"/>
      <c r="JH405"/>
      <c r="JI405"/>
      <c r="JJ405"/>
      <c r="JK405"/>
      <c r="JL405"/>
      <c r="JM405"/>
      <c r="JN405"/>
      <c r="JO405"/>
      <c r="JP405"/>
      <c r="JQ405"/>
      <c r="JR405"/>
      <c r="JS405"/>
      <c r="JT405"/>
      <c r="JU405"/>
      <c r="JV405"/>
      <c r="JW405"/>
      <c r="JX405"/>
      <c r="JY405"/>
      <c r="JZ405"/>
      <c r="KA405"/>
      <c r="KB405"/>
      <c r="KC405"/>
      <c r="KD405"/>
      <c r="KE405"/>
      <c r="KF405"/>
      <c r="KG405"/>
      <c r="KH405"/>
      <c r="KI405"/>
      <c r="KJ405"/>
      <c r="KK405"/>
      <c r="KL405"/>
      <c r="KM405"/>
      <c r="KN405"/>
      <c r="KO405"/>
      <c r="KP405"/>
      <c r="KQ405"/>
      <c r="KR405"/>
      <c r="KS405"/>
    </row>
    <row r="406" spans="2:305" hidden="1" x14ac:dyDescent="0.35">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c r="AS406"/>
      <c r="AT406"/>
      <c r="AU406"/>
      <c r="AV406"/>
      <c r="AW406"/>
      <c r="AX406"/>
      <c r="AY406"/>
      <c r="AZ406"/>
      <c r="BA406"/>
      <c r="BB406"/>
      <c r="BC406"/>
      <c r="BD406"/>
      <c r="BE406"/>
      <c r="BF406"/>
      <c r="BG406"/>
      <c r="BH406"/>
      <c r="BI406"/>
      <c r="BJ406"/>
      <c r="BK406"/>
      <c r="BL406"/>
      <c r="BM406"/>
      <c r="BN406"/>
      <c r="BO406"/>
      <c r="BP406"/>
      <c r="BQ406"/>
      <c r="BR406"/>
      <c r="BS406"/>
      <c r="BT406"/>
      <c r="BU406"/>
      <c r="BV406"/>
      <c r="BW406"/>
      <c r="BX406"/>
      <c r="BY406"/>
      <c r="BZ406"/>
      <c r="CA406"/>
      <c r="CB406"/>
      <c r="CC406"/>
      <c r="CD406"/>
      <c r="CE406"/>
      <c r="CF406"/>
      <c r="CG406"/>
      <c r="CH406"/>
      <c r="CI406"/>
      <c r="CJ406"/>
      <c r="CK406"/>
      <c r="CL406"/>
      <c r="CM406"/>
      <c r="CN406"/>
      <c r="CO406"/>
      <c r="CP406"/>
      <c r="CQ406"/>
      <c r="CR406"/>
      <c r="CS406"/>
      <c r="CT406"/>
      <c r="CU406"/>
      <c r="CV406"/>
      <c r="CW406"/>
      <c r="CX406"/>
      <c r="CY406"/>
      <c r="CZ406"/>
      <c r="DA406"/>
      <c r="DB406"/>
      <c r="DC406"/>
      <c r="DD406"/>
      <c r="DE406"/>
      <c r="DF406"/>
      <c r="DG406"/>
      <c r="DH406"/>
      <c r="DI406"/>
      <c r="DJ406"/>
      <c r="DK406"/>
      <c r="DL406"/>
      <c r="DM406"/>
      <c r="DN406"/>
      <c r="DO406"/>
      <c r="DP406"/>
      <c r="DQ406"/>
      <c r="DR406"/>
      <c r="DS406"/>
      <c r="DT406"/>
      <c r="DU406"/>
      <c r="DV406"/>
      <c r="DW406"/>
      <c r="DX406"/>
      <c r="DY406"/>
      <c r="DZ406"/>
      <c r="EA406"/>
      <c r="EB406"/>
      <c r="EC406"/>
      <c r="ED406"/>
      <c r="EE406"/>
      <c r="EF406"/>
      <c r="EG406"/>
      <c r="EH406"/>
      <c r="EI406"/>
      <c r="EJ406"/>
      <c r="EK406"/>
      <c r="EL406"/>
      <c r="EM406"/>
      <c r="EN406"/>
      <c r="EO406"/>
      <c r="EP406"/>
      <c r="EQ406"/>
      <c r="ER406"/>
      <c r="ES406"/>
      <c r="ET406"/>
      <c r="EU406"/>
      <c r="EV406"/>
      <c r="EW406"/>
      <c r="EX406"/>
      <c r="EY406"/>
      <c r="EZ406"/>
      <c r="FA406"/>
      <c r="FB406"/>
      <c r="FC406"/>
      <c r="FD406"/>
      <c r="FE406"/>
      <c r="FF406"/>
      <c r="FG406"/>
      <c r="FH406"/>
      <c r="FI406"/>
      <c r="FJ406"/>
      <c r="FK406"/>
      <c r="FL406"/>
      <c r="FM406"/>
      <c r="FN406"/>
      <c r="FO406"/>
      <c r="FP406"/>
      <c r="FQ406"/>
      <c r="FR406"/>
      <c r="FS406"/>
      <c r="FT406"/>
      <c r="FU406"/>
      <c r="FV406"/>
      <c r="FW406"/>
      <c r="FX406"/>
      <c r="FY406"/>
      <c r="FZ406"/>
      <c r="GA406"/>
      <c r="GB406"/>
      <c r="GC406"/>
      <c r="GD406"/>
      <c r="GE406"/>
      <c r="GF406"/>
      <c r="GG406"/>
      <c r="GH406"/>
      <c r="GI406"/>
      <c r="GJ406"/>
      <c r="GK406"/>
      <c r="GL406"/>
      <c r="GM406"/>
      <c r="GN406"/>
      <c r="GO406"/>
      <c r="GP406"/>
      <c r="GQ406"/>
      <c r="GR406"/>
      <c r="GS406"/>
      <c r="GT406"/>
      <c r="GU406"/>
      <c r="GV406"/>
      <c r="GW406"/>
      <c r="GX406"/>
      <c r="GY406"/>
      <c r="GZ406"/>
      <c r="HA406"/>
      <c r="HB406"/>
      <c r="HC406"/>
      <c r="HD406"/>
      <c r="HE406"/>
      <c r="HF406"/>
      <c r="HG406"/>
      <c r="HH406"/>
      <c r="HI406"/>
      <c r="HJ406"/>
      <c r="HK406"/>
      <c r="HL406"/>
      <c r="HM406"/>
      <c r="HN406"/>
      <c r="HO406"/>
      <c r="HP406"/>
      <c r="HQ406"/>
      <c r="HR406"/>
      <c r="HS406"/>
      <c r="HT406"/>
      <c r="HU406"/>
      <c r="HV406"/>
      <c r="HW406"/>
      <c r="HX406"/>
      <c r="HY406"/>
      <c r="HZ406"/>
      <c r="IA406"/>
      <c r="IB406"/>
      <c r="IC406"/>
      <c r="ID406"/>
      <c r="IE406"/>
      <c r="IF406"/>
      <c r="IG406"/>
      <c r="IH406"/>
      <c r="II406"/>
      <c r="IJ406"/>
      <c r="IK406"/>
      <c r="IL406"/>
      <c r="IM406"/>
      <c r="IN406"/>
      <c r="IO406"/>
      <c r="IP406"/>
      <c r="IQ406"/>
      <c r="IR406"/>
      <c r="IS406"/>
      <c r="IT406"/>
      <c r="IU406"/>
      <c r="IV406"/>
      <c r="IW406"/>
      <c r="IX406"/>
      <c r="IY406"/>
      <c r="IZ406"/>
      <c r="JA406"/>
      <c r="JB406"/>
      <c r="JC406"/>
      <c r="JD406"/>
      <c r="JE406"/>
      <c r="JF406"/>
      <c r="JG406"/>
      <c r="JH406"/>
      <c r="JI406"/>
      <c r="JJ406"/>
      <c r="JK406"/>
      <c r="JL406"/>
      <c r="JM406"/>
      <c r="JN406"/>
      <c r="JO406"/>
      <c r="JP406"/>
      <c r="JQ406"/>
      <c r="JR406"/>
      <c r="JS406"/>
      <c r="JT406"/>
      <c r="JU406"/>
      <c r="JV406"/>
      <c r="JW406"/>
      <c r="JX406"/>
      <c r="JY406"/>
      <c r="JZ406"/>
      <c r="KA406"/>
      <c r="KB406"/>
      <c r="KC406"/>
      <c r="KD406"/>
      <c r="KE406"/>
      <c r="KF406"/>
      <c r="KG406"/>
      <c r="KH406"/>
      <c r="KI406"/>
      <c r="KJ406"/>
      <c r="KK406"/>
      <c r="KL406"/>
      <c r="KM406"/>
      <c r="KN406"/>
      <c r="KO406"/>
      <c r="KP406"/>
      <c r="KQ406"/>
      <c r="KR406"/>
      <c r="KS406"/>
    </row>
    <row r="407" spans="2:305" hidden="1" x14ac:dyDescent="0.35">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c r="AS407"/>
      <c r="AT407"/>
      <c r="AU407"/>
      <c r="AV407"/>
      <c r="AW407"/>
      <c r="AX407"/>
      <c r="AY407"/>
      <c r="AZ407"/>
      <c r="BA407"/>
      <c r="BB407"/>
      <c r="BC407"/>
      <c r="BD407"/>
      <c r="BE407"/>
      <c r="BF407"/>
      <c r="BG407"/>
      <c r="BH407"/>
      <c r="BI407"/>
      <c r="BJ407"/>
      <c r="BK407"/>
      <c r="BL407"/>
      <c r="BM407"/>
      <c r="BN407"/>
      <c r="BO407"/>
      <c r="BP407"/>
      <c r="BQ407"/>
      <c r="BR407"/>
      <c r="BS407"/>
      <c r="BT407"/>
      <c r="BU407"/>
      <c r="BV407"/>
      <c r="BW407"/>
      <c r="BX407"/>
      <c r="BY407"/>
      <c r="BZ407"/>
      <c r="CA407"/>
      <c r="CB407"/>
      <c r="CC407"/>
      <c r="CD407"/>
      <c r="CE407"/>
      <c r="CF407"/>
      <c r="CG407"/>
      <c r="CH407"/>
      <c r="CI407"/>
      <c r="CJ407"/>
      <c r="CK407"/>
      <c r="CL407"/>
      <c r="CM407"/>
      <c r="CN407"/>
      <c r="CO407"/>
      <c r="CP407"/>
      <c r="CQ407"/>
      <c r="CR407"/>
      <c r="CS407"/>
      <c r="CT407"/>
      <c r="CU407"/>
      <c r="CV407"/>
      <c r="CW407"/>
      <c r="CX407"/>
      <c r="CY407"/>
      <c r="CZ407"/>
      <c r="DA407"/>
      <c r="DB407"/>
      <c r="DC407"/>
      <c r="DD407"/>
      <c r="DE407"/>
      <c r="DF407"/>
      <c r="DG407"/>
      <c r="DH407"/>
      <c r="DI407"/>
      <c r="DJ407"/>
      <c r="DK407"/>
      <c r="DL407"/>
      <c r="DM407"/>
      <c r="DN407"/>
      <c r="DO407"/>
      <c r="DP407"/>
      <c r="DQ407"/>
      <c r="DR407"/>
      <c r="DS407"/>
      <c r="DT407"/>
      <c r="DU407"/>
      <c r="DV407"/>
      <c r="DW407"/>
      <c r="DX407"/>
      <c r="DY407"/>
      <c r="DZ407"/>
      <c r="EA407"/>
      <c r="EB407"/>
      <c r="EC407"/>
      <c r="ED407"/>
      <c r="EE407"/>
      <c r="EF407"/>
      <c r="EG407"/>
      <c r="EH407"/>
      <c r="EI407"/>
      <c r="EJ407"/>
      <c r="EK407"/>
      <c r="EL407"/>
      <c r="EM407"/>
      <c r="EN407"/>
      <c r="EO407"/>
      <c r="EP407"/>
      <c r="EQ407"/>
      <c r="ER407"/>
      <c r="ES407"/>
      <c r="ET407"/>
      <c r="EU407"/>
      <c r="EV407"/>
      <c r="EW407"/>
      <c r="EX407"/>
      <c r="EY407"/>
      <c r="EZ407"/>
      <c r="FA407"/>
      <c r="FB407"/>
      <c r="FC407"/>
      <c r="FD407"/>
      <c r="FE407"/>
      <c r="FF407"/>
      <c r="FG407"/>
      <c r="FH407"/>
      <c r="FI407"/>
      <c r="FJ407"/>
      <c r="FK407"/>
      <c r="FL407"/>
      <c r="FM407"/>
      <c r="FN407"/>
      <c r="FO407"/>
      <c r="FP407"/>
      <c r="FQ407"/>
      <c r="FR407"/>
      <c r="FS407"/>
      <c r="FT407"/>
      <c r="FU407"/>
      <c r="FV407"/>
      <c r="FW407"/>
      <c r="FX407"/>
      <c r="FY407"/>
      <c r="FZ407"/>
      <c r="GA407"/>
      <c r="GB407"/>
      <c r="GC407"/>
      <c r="GD407"/>
      <c r="GE407"/>
      <c r="GF407"/>
      <c r="GG407"/>
      <c r="GH407"/>
      <c r="GI407"/>
      <c r="GJ407"/>
      <c r="GK407"/>
      <c r="GL407"/>
      <c r="GM407"/>
      <c r="GN407"/>
      <c r="GO407"/>
      <c r="GP407"/>
      <c r="GQ407"/>
      <c r="GR407"/>
      <c r="GS407"/>
      <c r="GT407"/>
      <c r="GU407"/>
      <c r="GV407"/>
      <c r="GW407"/>
      <c r="GX407"/>
      <c r="GY407"/>
      <c r="GZ407"/>
      <c r="HA407"/>
      <c r="HB407"/>
      <c r="HC407"/>
      <c r="HD407"/>
      <c r="HE407"/>
      <c r="HF407"/>
      <c r="HG407"/>
      <c r="HH407"/>
      <c r="HI407"/>
      <c r="HJ407"/>
      <c r="HK407"/>
      <c r="HL407"/>
      <c r="HM407"/>
      <c r="HN407"/>
      <c r="HO407"/>
      <c r="HP407"/>
      <c r="HQ407"/>
      <c r="HR407"/>
      <c r="HS407"/>
      <c r="HT407"/>
      <c r="HU407"/>
      <c r="HV407"/>
      <c r="HW407"/>
      <c r="HX407"/>
      <c r="HY407"/>
      <c r="HZ407"/>
      <c r="IA407"/>
      <c r="IB407"/>
      <c r="IC407"/>
      <c r="ID407"/>
      <c r="IE407"/>
      <c r="IF407"/>
      <c r="IG407"/>
      <c r="IH407"/>
      <c r="II407"/>
      <c r="IJ407"/>
      <c r="IK407"/>
      <c r="IL407"/>
      <c r="IM407"/>
      <c r="IN407"/>
      <c r="IO407"/>
      <c r="IP407"/>
      <c r="IQ407"/>
      <c r="IR407"/>
      <c r="IS407"/>
      <c r="IT407"/>
      <c r="IU407"/>
      <c r="IV407"/>
      <c r="IW407"/>
      <c r="IX407"/>
      <c r="IY407"/>
      <c r="IZ407"/>
      <c r="JA407"/>
      <c r="JB407"/>
      <c r="JC407"/>
      <c r="JD407"/>
      <c r="JE407"/>
      <c r="JF407"/>
      <c r="JG407"/>
      <c r="JH407"/>
      <c r="JI407"/>
      <c r="JJ407"/>
      <c r="JK407"/>
      <c r="JL407"/>
      <c r="JM407"/>
      <c r="JN407"/>
      <c r="JO407"/>
      <c r="JP407"/>
      <c r="JQ407"/>
      <c r="JR407"/>
      <c r="JS407"/>
      <c r="JT407"/>
      <c r="JU407"/>
      <c r="JV407"/>
      <c r="JW407"/>
      <c r="JX407"/>
      <c r="JY407"/>
      <c r="JZ407"/>
      <c r="KA407"/>
      <c r="KB407"/>
      <c r="KC407"/>
      <c r="KD407"/>
      <c r="KE407"/>
      <c r="KF407"/>
      <c r="KG407"/>
      <c r="KH407"/>
      <c r="KI407"/>
      <c r="KJ407"/>
      <c r="KK407"/>
      <c r="KL407"/>
      <c r="KM407"/>
      <c r="KN407"/>
      <c r="KO407"/>
      <c r="KP407"/>
      <c r="KQ407"/>
      <c r="KR407"/>
      <c r="KS407"/>
    </row>
    <row r="408" spans="2:305" hidden="1" x14ac:dyDescent="0.35">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c r="AS408"/>
      <c r="AT408"/>
      <c r="AU408"/>
      <c r="AV408"/>
      <c r="AW408"/>
      <c r="AX408"/>
      <c r="AY408"/>
      <c r="AZ408"/>
      <c r="BA408"/>
      <c r="BB408"/>
      <c r="BC408"/>
      <c r="BD408"/>
      <c r="BE408"/>
      <c r="BF408"/>
      <c r="BG408"/>
      <c r="BH408"/>
      <c r="BI408"/>
      <c r="BJ408"/>
      <c r="BK408"/>
      <c r="BL408"/>
      <c r="BM408"/>
      <c r="BN408"/>
      <c r="BO408"/>
      <c r="BP408"/>
      <c r="BQ408"/>
      <c r="BR408"/>
      <c r="BS408"/>
      <c r="BT408"/>
      <c r="BU408"/>
      <c r="BV408"/>
      <c r="BW408"/>
      <c r="BX408"/>
      <c r="BY408"/>
      <c r="BZ408"/>
      <c r="CA408"/>
      <c r="CB408"/>
      <c r="CC408"/>
      <c r="CD408"/>
      <c r="CE408"/>
      <c r="CF408"/>
      <c r="CG408"/>
      <c r="CH408"/>
      <c r="CI408"/>
      <c r="CJ408"/>
      <c r="CK408"/>
      <c r="CL408"/>
      <c r="CM408"/>
      <c r="CN408"/>
      <c r="CO408"/>
      <c r="CP408"/>
      <c r="CQ408"/>
      <c r="CR408"/>
      <c r="CS408"/>
      <c r="CT408"/>
      <c r="CU408"/>
      <c r="CV408"/>
      <c r="CW408"/>
      <c r="CX408"/>
      <c r="CY408"/>
      <c r="CZ408"/>
      <c r="DA408"/>
      <c r="DB408"/>
      <c r="DC408"/>
      <c r="DD408"/>
      <c r="DE408"/>
      <c r="DF408"/>
      <c r="DG408"/>
      <c r="DH408"/>
      <c r="DI408"/>
      <c r="DJ408"/>
      <c r="DK408"/>
      <c r="DL408"/>
      <c r="DM408"/>
      <c r="DN408"/>
      <c r="DO408"/>
      <c r="DP408"/>
      <c r="DQ408"/>
      <c r="DR408"/>
      <c r="DS408"/>
      <c r="DT408"/>
      <c r="DU408"/>
      <c r="DV408"/>
      <c r="DW408"/>
      <c r="DX408"/>
      <c r="DY408"/>
      <c r="DZ408"/>
      <c r="EA408"/>
      <c r="EB408"/>
      <c r="EC408"/>
      <c r="ED408"/>
      <c r="EE408"/>
      <c r="EF408"/>
      <c r="EG408"/>
      <c r="EH408"/>
      <c r="EI408"/>
      <c r="EJ408"/>
      <c r="EK408"/>
      <c r="EL408"/>
      <c r="EM408"/>
      <c r="EN408"/>
      <c r="EO408"/>
      <c r="EP408"/>
      <c r="EQ408"/>
      <c r="ER408"/>
      <c r="ES408"/>
      <c r="ET408"/>
      <c r="EU408"/>
      <c r="EV408"/>
      <c r="EW408"/>
      <c r="EX408"/>
      <c r="EY408"/>
      <c r="EZ408"/>
      <c r="FA408"/>
      <c r="FB408"/>
      <c r="FC408"/>
      <c r="FD408"/>
      <c r="FE408"/>
      <c r="FF408"/>
      <c r="FG408"/>
      <c r="FH408"/>
      <c r="FI408"/>
      <c r="FJ408"/>
      <c r="FK408"/>
      <c r="FL408"/>
      <c r="FM408"/>
      <c r="FN408"/>
      <c r="FO408"/>
      <c r="FP408"/>
      <c r="FQ408"/>
      <c r="FR408"/>
      <c r="FS408"/>
      <c r="FT408"/>
      <c r="FU408"/>
      <c r="FV408"/>
      <c r="FW408"/>
      <c r="FX408"/>
      <c r="FY408"/>
      <c r="FZ408"/>
      <c r="GA408"/>
      <c r="GB408"/>
      <c r="GC408"/>
      <c r="GD408"/>
      <c r="GE408"/>
      <c r="GF408"/>
      <c r="GG408"/>
      <c r="GH408"/>
      <c r="GI408"/>
      <c r="GJ408"/>
      <c r="GK408"/>
      <c r="GL408"/>
      <c r="GM408"/>
      <c r="GN408"/>
      <c r="GO408"/>
      <c r="GP408"/>
      <c r="GQ408"/>
      <c r="GR408"/>
      <c r="GS408"/>
      <c r="GT408"/>
      <c r="GU408"/>
      <c r="GV408"/>
      <c r="GW408"/>
      <c r="GX408"/>
      <c r="GY408"/>
      <c r="GZ408"/>
      <c r="HA408"/>
      <c r="HB408"/>
      <c r="HC408"/>
      <c r="HD408"/>
      <c r="HE408"/>
      <c r="HF408"/>
      <c r="HG408"/>
      <c r="HH408"/>
      <c r="HI408"/>
      <c r="HJ408"/>
      <c r="HK408"/>
      <c r="HL408"/>
      <c r="HM408"/>
      <c r="HN408"/>
      <c r="HO408"/>
      <c r="HP408"/>
      <c r="HQ408"/>
      <c r="HR408"/>
      <c r="HS408"/>
      <c r="HT408"/>
      <c r="HU408"/>
      <c r="HV408"/>
      <c r="HW408"/>
      <c r="HX408"/>
      <c r="HY408"/>
      <c r="HZ408"/>
      <c r="IA408"/>
      <c r="IB408"/>
      <c r="IC408"/>
      <c r="ID408"/>
      <c r="IE408"/>
      <c r="IF408"/>
      <c r="IG408"/>
      <c r="IH408"/>
      <c r="II408"/>
      <c r="IJ408"/>
      <c r="IK408"/>
      <c r="IL408"/>
      <c r="IM408"/>
      <c r="IN408"/>
      <c r="IO408"/>
      <c r="IP408"/>
      <c r="IQ408"/>
      <c r="IR408"/>
      <c r="IS408"/>
      <c r="IT408"/>
      <c r="IU408"/>
      <c r="IV408"/>
      <c r="IW408"/>
      <c r="IX408"/>
      <c r="IY408"/>
      <c r="IZ408"/>
      <c r="JA408"/>
      <c r="JB408"/>
      <c r="JC408"/>
      <c r="JD408"/>
      <c r="JE408"/>
      <c r="JF408"/>
      <c r="JG408"/>
      <c r="JH408"/>
      <c r="JI408"/>
      <c r="JJ408"/>
      <c r="JK408"/>
      <c r="JL408"/>
      <c r="JM408"/>
      <c r="JN408"/>
      <c r="JO408"/>
      <c r="JP408"/>
      <c r="JQ408"/>
      <c r="JR408"/>
      <c r="JS408"/>
      <c r="JT408"/>
      <c r="JU408"/>
      <c r="JV408"/>
      <c r="JW408"/>
      <c r="JX408"/>
      <c r="JY408"/>
      <c r="JZ408"/>
      <c r="KA408"/>
      <c r="KB408"/>
      <c r="KC408"/>
      <c r="KD408"/>
      <c r="KE408"/>
      <c r="KF408"/>
      <c r="KG408"/>
      <c r="KH408"/>
      <c r="KI408"/>
      <c r="KJ408"/>
      <c r="KK408"/>
      <c r="KL408"/>
      <c r="KM408"/>
      <c r="KN408"/>
      <c r="KO408"/>
      <c r="KP408"/>
      <c r="KQ408"/>
      <c r="KR408"/>
      <c r="KS408"/>
    </row>
    <row r="409" spans="2:305" hidden="1" x14ac:dyDescent="0.35">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c r="AS409"/>
      <c r="AT409"/>
      <c r="AU409"/>
      <c r="AV409"/>
      <c r="AW409"/>
      <c r="AX409"/>
      <c r="AY409"/>
      <c r="AZ409"/>
      <c r="BA409"/>
      <c r="BB409"/>
      <c r="BC409"/>
      <c r="BD409"/>
      <c r="BE409"/>
      <c r="BF409"/>
      <c r="BG409"/>
      <c r="BH409"/>
      <c r="BI409"/>
      <c r="BJ409"/>
      <c r="BK409"/>
      <c r="BL409"/>
      <c r="BM409"/>
      <c r="BN409"/>
      <c r="BO409"/>
      <c r="BP409"/>
      <c r="BQ409"/>
      <c r="BR409"/>
      <c r="BS409"/>
      <c r="BT409"/>
      <c r="BU409"/>
      <c r="BV409"/>
      <c r="BW409"/>
      <c r="BX409"/>
      <c r="BY409"/>
      <c r="BZ409"/>
      <c r="CA409"/>
      <c r="CB409"/>
      <c r="CC409"/>
      <c r="CD409"/>
      <c r="CE409"/>
      <c r="CF409"/>
      <c r="CG409"/>
      <c r="CH409"/>
      <c r="CI409"/>
      <c r="CJ409"/>
      <c r="CK409"/>
      <c r="CL409"/>
      <c r="CM409"/>
      <c r="CN409"/>
      <c r="CO409"/>
      <c r="CP409"/>
      <c r="CQ409"/>
      <c r="CR409"/>
      <c r="CS409"/>
      <c r="CT409"/>
      <c r="CU409"/>
      <c r="CV409"/>
      <c r="CW409"/>
      <c r="CX409"/>
      <c r="CY409"/>
      <c r="CZ409"/>
      <c r="DA409"/>
      <c r="DB409"/>
      <c r="DC409"/>
      <c r="DD409"/>
      <c r="DE409"/>
      <c r="DF409"/>
      <c r="DG409"/>
      <c r="DH409"/>
      <c r="DI409"/>
      <c r="DJ409"/>
      <c r="DK409"/>
      <c r="DL409"/>
      <c r="DM409"/>
      <c r="DN409"/>
      <c r="DO409"/>
      <c r="DP409"/>
      <c r="DQ409"/>
      <c r="DR409"/>
      <c r="DS409"/>
      <c r="DT409"/>
      <c r="DU409"/>
      <c r="DV409"/>
      <c r="DW409"/>
      <c r="DX409"/>
      <c r="DY409"/>
      <c r="DZ409"/>
      <c r="EA409"/>
      <c r="EB409"/>
      <c r="EC409"/>
      <c r="ED409"/>
      <c r="EE409"/>
      <c r="EF409"/>
      <c r="EG409"/>
      <c r="EH409"/>
      <c r="EI409"/>
      <c r="EJ409"/>
      <c r="EK409"/>
      <c r="EL409"/>
      <c r="EM409"/>
      <c r="EN409"/>
      <c r="EO409"/>
      <c r="EP409"/>
      <c r="EQ409"/>
      <c r="ER409"/>
      <c r="ES409"/>
      <c r="ET409"/>
      <c r="EU409"/>
      <c r="EV409"/>
      <c r="EW409"/>
      <c r="EX409"/>
      <c r="EY409"/>
      <c r="EZ409"/>
      <c r="FA409"/>
      <c r="FB409"/>
      <c r="FC409"/>
      <c r="FD409"/>
      <c r="FE409"/>
      <c r="FF409"/>
      <c r="FG409"/>
      <c r="FH409"/>
      <c r="FI409"/>
      <c r="FJ409"/>
      <c r="FK409"/>
      <c r="FL409"/>
      <c r="FM409"/>
      <c r="FN409"/>
      <c r="FO409"/>
      <c r="FP409"/>
      <c r="FQ409"/>
      <c r="FR409"/>
      <c r="FS409"/>
      <c r="FT409"/>
      <c r="FU409"/>
      <c r="FV409"/>
      <c r="FW409"/>
      <c r="FX409"/>
      <c r="FY409"/>
      <c r="FZ409"/>
      <c r="GA409"/>
      <c r="GB409"/>
      <c r="GC409"/>
      <c r="GD409"/>
      <c r="GE409"/>
      <c r="GF409"/>
      <c r="GG409"/>
      <c r="GH409"/>
      <c r="GI409"/>
      <c r="GJ409"/>
      <c r="GK409"/>
      <c r="GL409"/>
      <c r="GM409"/>
      <c r="GN409"/>
      <c r="GO409"/>
      <c r="GP409"/>
      <c r="GQ409"/>
      <c r="GR409"/>
      <c r="GS409"/>
      <c r="GT409"/>
      <c r="GU409"/>
      <c r="GV409"/>
      <c r="GW409"/>
      <c r="GX409"/>
      <c r="GY409"/>
      <c r="GZ409"/>
      <c r="HA409"/>
      <c r="HB409"/>
      <c r="HC409"/>
      <c r="HD409"/>
      <c r="HE409"/>
      <c r="HF409"/>
      <c r="HG409"/>
      <c r="HH409"/>
      <c r="HI409"/>
      <c r="HJ409"/>
      <c r="HK409"/>
      <c r="HL409"/>
      <c r="HM409"/>
      <c r="HN409"/>
      <c r="HO409"/>
      <c r="HP409"/>
      <c r="HQ409"/>
      <c r="HR409"/>
      <c r="HS409"/>
      <c r="HT409"/>
      <c r="HU409"/>
      <c r="HV409"/>
      <c r="HW409"/>
      <c r="HX409"/>
      <c r="HY409"/>
      <c r="HZ409"/>
      <c r="IA409"/>
      <c r="IB409"/>
      <c r="IC409"/>
      <c r="ID409"/>
      <c r="IE409"/>
      <c r="IF409"/>
      <c r="IG409"/>
      <c r="IH409"/>
      <c r="II409"/>
      <c r="IJ409"/>
      <c r="IK409"/>
      <c r="IL409"/>
      <c r="IM409"/>
      <c r="IN409"/>
      <c r="IO409"/>
      <c r="IP409"/>
      <c r="IQ409"/>
      <c r="IR409"/>
      <c r="IS409"/>
      <c r="IT409"/>
      <c r="IU409"/>
      <c r="IV409"/>
      <c r="IW409"/>
      <c r="IX409"/>
      <c r="IY409"/>
      <c r="IZ409"/>
      <c r="JA409"/>
      <c r="JB409"/>
      <c r="JC409"/>
      <c r="JD409"/>
      <c r="JE409"/>
      <c r="JF409"/>
      <c r="JG409"/>
      <c r="JH409"/>
      <c r="JI409"/>
      <c r="JJ409"/>
      <c r="JK409"/>
      <c r="JL409"/>
      <c r="JM409"/>
      <c r="JN409"/>
      <c r="JO409"/>
      <c r="JP409"/>
      <c r="JQ409"/>
      <c r="JR409"/>
      <c r="JS409"/>
      <c r="JT409"/>
      <c r="JU409"/>
      <c r="JV409"/>
      <c r="JW409"/>
      <c r="JX409"/>
      <c r="JY409"/>
      <c r="JZ409"/>
      <c r="KA409"/>
      <c r="KB409"/>
      <c r="KC409"/>
      <c r="KD409"/>
      <c r="KE409"/>
      <c r="KF409"/>
      <c r="KG409"/>
      <c r="KH409"/>
      <c r="KI409"/>
      <c r="KJ409"/>
      <c r="KK409"/>
      <c r="KL409"/>
      <c r="KM409"/>
      <c r="KN409"/>
      <c r="KO409"/>
      <c r="KP409"/>
      <c r="KQ409"/>
      <c r="KR409"/>
      <c r="KS409"/>
    </row>
    <row r="410" spans="2:305" hidden="1" x14ac:dyDescent="0.35">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c r="AS410"/>
      <c r="AT410"/>
      <c r="AU410"/>
      <c r="AV410"/>
      <c r="AW410"/>
      <c r="AX410"/>
      <c r="AY410"/>
      <c r="AZ410"/>
      <c r="BA410"/>
      <c r="BB410"/>
      <c r="BC410"/>
      <c r="BD410"/>
      <c r="BE410"/>
      <c r="BF410"/>
      <c r="BG410"/>
      <c r="BH410"/>
      <c r="BI410"/>
      <c r="BJ410"/>
      <c r="BK410"/>
      <c r="BL410"/>
      <c r="BM410"/>
      <c r="BN410"/>
      <c r="BO410"/>
      <c r="BP410"/>
      <c r="BQ410"/>
      <c r="BR410"/>
      <c r="BS410"/>
      <c r="BT410"/>
      <c r="BU410"/>
      <c r="BV410"/>
      <c r="BW410"/>
      <c r="BX410"/>
      <c r="BY410"/>
      <c r="BZ410"/>
      <c r="CA410"/>
      <c r="CB410"/>
      <c r="CC410"/>
      <c r="CD410"/>
      <c r="CE410"/>
      <c r="CF410"/>
      <c r="CG410"/>
      <c r="CH410"/>
      <c r="CI410"/>
      <c r="CJ410"/>
      <c r="CK410"/>
      <c r="CL410"/>
      <c r="CM410"/>
      <c r="CN410"/>
      <c r="CO410"/>
      <c r="CP410"/>
      <c r="CQ410"/>
      <c r="CR410"/>
      <c r="CS410"/>
      <c r="CT410"/>
      <c r="CU410"/>
      <c r="CV410"/>
      <c r="CW410"/>
      <c r="CX410"/>
      <c r="CY410"/>
      <c r="CZ410"/>
      <c r="DA410"/>
      <c r="DB410"/>
      <c r="DC410"/>
      <c r="DD410"/>
      <c r="DE410"/>
      <c r="DF410"/>
      <c r="DG410"/>
      <c r="DH410"/>
      <c r="DI410"/>
      <c r="DJ410"/>
      <c r="DK410"/>
      <c r="DL410"/>
      <c r="DM410"/>
      <c r="DN410"/>
      <c r="DO410"/>
      <c r="DP410"/>
      <c r="DQ410"/>
      <c r="DR410"/>
      <c r="DS410"/>
      <c r="DT410"/>
      <c r="DU410"/>
      <c r="DV410"/>
      <c r="DW410"/>
      <c r="DX410"/>
      <c r="DY410"/>
      <c r="DZ410"/>
      <c r="EA410"/>
      <c r="EB410"/>
      <c r="EC410"/>
      <c r="ED410"/>
      <c r="EE410"/>
      <c r="EF410"/>
      <c r="EG410"/>
      <c r="EH410"/>
      <c r="EI410"/>
      <c r="EJ410"/>
      <c r="EK410"/>
      <c r="EL410"/>
      <c r="EM410"/>
      <c r="EN410"/>
      <c r="EO410"/>
      <c r="EP410"/>
      <c r="EQ410"/>
      <c r="ER410"/>
      <c r="ES410"/>
      <c r="ET410"/>
      <c r="EU410"/>
      <c r="EV410"/>
      <c r="EW410"/>
      <c r="EX410"/>
      <c r="EY410"/>
      <c r="EZ410"/>
      <c r="FA410"/>
      <c r="FB410"/>
      <c r="FC410"/>
      <c r="FD410"/>
      <c r="FE410"/>
      <c r="FF410"/>
      <c r="FG410"/>
      <c r="FH410"/>
      <c r="FI410"/>
      <c r="FJ410"/>
      <c r="FK410"/>
      <c r="FL410"/>
      <c r="FM410"/>
      <c r="FN410"/>
      <c r="FO410"/>
      <c r="FP410"/>
      <c r="FQ410"/>
      <c r="FR410"/>
      <c r="FS410"/>
      <c r="FT410"/>
      <c r="FU410"/>
      <c r="FV410"/>
      <c r="FW410"/>
      <c r="FX410"/>
      <c r="FY410"/>
      <c r="FZ410"/>
      <c r="GA410"/>
      <c r="GB410"/>
      <c r="GC410"/>
      <c r="GD410"/>
      <c r="GE410"/>
      <c r="GF410"/>
      <c r="GG410"/>
      <c r="GH410"/>
      <c r="GI410"/>
      <c r="GJ410"/>
      <c r="GK410"/>
      <c r="GL410"/>
      <c r="GM410"/>
      <c r="GN410"/>
      <c r="GO410"/>
      <c r="GP410"/>
      <c r="GQ410"/>
      <c r="GR410"/>
      <c r="GS410"/>
      <c r="GT410"/>
      <c r="GU410"/>
      <c r="GV410"/>
      <c r="GW410"/>
      <c r="GX410"/>
      <c r="GY410"/>
      <c r="GZ410"/>
      <c r="HA410"/>
      <c r="HB410"/>
      <c r="HC410"/>
      <c r="HD410"/>
      <c r="HE410"/>
      <c r="HF410"/>
      <c r="HG410"/>
      <c r="HH410"/>
      <c r="HI410"/>
      <c r="HJ410"/>
      <c r="HK410"/>
      <c r="HL410"/>
      <c r="HM410"/>
      <c r="HN410"/>
      <c r="HO410"/>
      <c r="HP410"/>
      <c r="HQ410"/>
      <c r="HR410"/>
      <c r="HS410"/>
      <c r="HT410"/>
      <c r="HU410"/>
      <c r="HV410"/>
      <c r="HW410"/>
      <c r="HX410"/>
      <c r="HY410"/>
      <c r="HZ410"/>
      <c r="IA410"/>
      <c r="IB410"/>
      <c r="IC410"/>
      <c r="ID410"/>
      <c r="IE410"/>
      <c r="IF410"/>
      <c r="IG410"/>
      <c r="IH410"/>
      <c r="II410"/>
      <c r="IJ410"/>
      <c r="IK410"/>
      <c r="IL410"/>
      <c r="IM410"/>
      <c r="IN410"/>
      <c r="IO410"/>
      <c r="IP410"/>
      <c r="IQ410"/>
      <c r="IR410"/>
      <c r="IS410"/>
      <c r="IT410"/>
      <c r="IU410"/>
      <c r="IV410"/>
      <c r="IW410"/>
      <c r="IX410"/>
      <c r="IY410"/>
      <c r="IZ410"/>
      <c r="JA410"/>
      <c r="JB410"/>
      <c r="JC410"/>
      <c r="JD410"/>
      <c r="JE410"/>
      <c r="JF410"/>
      <c r="JG410"/>
      <c r="JH410"/>
      <c r="JI410"/>
      <c r="JJ410"/>
      <c r="JK410"/>
      <c r="JL410"/>
      <c r="JM410"/>
      <c r="JN410"/>
      <c r="JO410"/>
      <c r="JP410"/>
      <c r="JQ410"/>
      <c r="JR410"/>
      <c r="JS410"/>
      <c r="JT410"/>
      <c r="JU410"/>
      <c r="JV410"/>
      <c r="JW410"/>
      <c r="JX410"/>
      <c r="JY410"/>
      <c r="JZ410"/>
      <c r="KA410"/>
      <c r="KB410"/>
      <c r="KC410"/>
      <c r="KD410"/>
      <c r="KE410"/>
      <c r="KF410"/>
      <c r="KG410"/>
      <c r="KH410"/>
      <c r="KI410"/>
      <c r="KJ410"/>
      <c r="KK410"/>
      <c r="KL410"/>
      <c r="KM410"/>
      <c r="KN410"/>
      <c r="KO410"/>
      <c r="KP410"/>
      <c r="KQ410"/>
      <c r="KR410"/>
      <c r="KS410"/>
    </row>
    <row r="411" spans="2:305" hidden="1" x14ac:dyDescent="0.35">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c r="AS411"/>
      <c r="AT411"/>
      <c r="AU411"/>
      <c r="AV411"/>
      <c r="AW411"/>
      <c r="AX411"/>
      <c r="AY411"/>
      <c r="AZ411"/>
      <c r="BA411"/>
      <c r="BB411"/>
      <c r="BC411"/>
      <c r="BD411"/>
      <c r="BE411"/>
      <c r="BF411"/>
      <c r="BG411"/>
      <c r="BH411"/>
      <c r="BI411"/>
      <c r="BJ411"/>
      <c r="BK411"/>
      <c r="BL411"/>
      <c r="BM411"/>
      <c r="BN411"/>
      <c r="BO411"/>
      <c r="BP411"/>
      <c r="BQ411"/>
      <c r="BR411"/>
      <c r="BS411"/>
      <c r="BT411"/>
      <c r="BU411"/>
      <c r="BV411"/>
      <c r="BW411"/>
      <c r="BX411"/>
      <c r="BY411"/>
      <c r="BZ411"/>
      <c r="CA411"/>
      <c r="CB411"/>
      <c r="CC411"/>
      <c r="CD411"/>
      <c r="CE411"/>
      <c r="CF411"/>
      <c r="CG411"/>
      <c r="CH411"/>
      <c r="CI411"/>
      <c r="CJ411"/>
      <c r="CK411"/>
      <c r="CL411"/>
      <c r="CM411"/>
      <c r="CN411"/>
      <c r="CO411"/>
      <c r="CP411"/>
      <c r="CQ411"/>
      <c r="CR411"/>
      <c r="CS411"/>
      <c r="CT411"/>
      <c r="CU411"/>
      <c r="CV411"/>
      <c r="CW411"/>
      <c r="CX411"/>
      <c r="CY411"/>
      <c r="CZ411"/>
      <c r="DA411"/>
      <c r="DB411"/>
      <c r="DC411"/>
      <c r="DD411"/>
      <c r="DE411"/>
      <c r="DF411"/>
      <c r="DG411"/>
      <c r="DH411"/>
      <c r="DI411"/>
      <c r="DJ411"/>
      <c r="DK411"/>
      <c r="DL411"/>
      <c r="DM411"/>
      <c r="DN411"/>
      <c r="DO411"/>
      <c r="DP411"/>
      <c r="DQ411"/>
      <c r="DR411"/>
      <c r="DS411"/>
      <c r="DT411"/>
      <c r="DU411"/>
      <c r="DV411"/>
      <c r="DW411"/>
      <c r="DX411"/>
      <c r="DY411"/>
      <c r="DZ411"/>
      <c r="EA411"/>
      <c r="EB411"/>
      <c r="EC411"/>
      <c r="ED411"/>
      <c r="EE411"/>
      <c r="EF411"/>
      <c r="EG411"/>
      <c r="EH411"/>
      <c r="EI411"/>
      <c r="EJ411"/>
      <c r="EK411"/>
      <c r="EL411"/>
      <c r="EM411"/>
      <c r="EN411"/>
      <c r="EO411"/>
      <c r="EP411"/>
      <c r="EQ411"/>
      <c r="ER411"/>
      <c r="ES411"/>
      <c r="ET411"/>
      <c r="EU411"/>
      <c r="EV411"/>
      <c r="EW411"/>
      <c r="EX411"/>
      <c r="EY411"/>
      <c r="EZ411"/>
      <c r="FA411"/>
      <c r="FB411"/>
      <c r="FC411"/>
      <c r="FD411"/>
      <c r="FE411"/>
      <c r="FF411"/>
      <c r="FG411"/>
      <c r="FH411"/>
      <c r="FI411"/>
      <c r="FJ411"/>
      <c r="FK411"/>
      <c r="FL411"/>
      <c r="FM411"/>
      <c r="FN411"/>
      <c r="FO411"/>
      <c r="FP411"/>
      <c r="FQ411"/>
      <c r="FR411"/>
      <c r="FS411"/>
      <c r="FT411"/>
      <c r="FU411"/>
      <c r="FV411"/>
      <c r="FW411"/>
      <c r="FX411"/>
      <c r="FY411"/>
      <c r="FZ411"/>
      <c r="GA411"/>
      <c r="GB411"/>
      <c r="GC411"/>
      <c r="GD411"/>
      <c r="GE411"/>
      <c r="GF411"/>
      <c r="GG411"/>
      <c r="GH411"/>
      <c r="GI411"/>
      <c r="GJ411"/>
      <c r="GK411"/>
      <c r="GL411"/>
      <c r="GM411"/>
      <c r="GN411"/>
      <c r="GO411"/>
      <c r="GP411"/>
      <c r="GQ411"/>
      <c r="GR411"/>
      <c r="GS411"/>
      <c r="GT411"/>
      <c r="GU411"/>
      <c r="GV411"/>
      <c r="GW411"/>
      <c r="GX411"/>
      <c r="GY411"/>
      <c r="GZ411"/>
      <c r="HA411"/>
      <c r="HB411"/>
      <c r="HC411"/>
      <c r="HD411"/>
      <c r="HE411"/>
      <c r="HF411"/>
      <c r="HG411"/>
      <c r="HH411"/>
      <c r="HI411"/>
      <c r="HJ411"/>
      <c r="HK411"/>
      <c r="HL411"/>
      <c r="HM411"/>
      <c r="HN411"/>
      <c r="HO411"/>
      <c r="HP411"/>
      <c r="HQ411"/>
      <c r="HR411"/>
      <c r="HS411"/>
      <c r="HT411"/>
      <c r="HU411"/>
      <c r="HV411"/>
      <c r="HW411"/>
      <c r="HX411"/>
      <c r="HY411"/>
      <c r="HZ411"/>
      <c r="IA411"/>
      <c r="IB411"/>
      <c r="IC411"/>
      <c r="ID411"/>
      <c r="IE411"/>
      <c r="IF411"/>
      <c r="IG411"/>
      <c r="IH411"/>
      <c r="II411"/>
      <c r="IJ411"/>
      <c r="IK411"/>
      <c r="IL411"/>
      <c r="IM411"/>
      <c r="IN411"/>
      <c r="IO411"/>
      <c r="IP411"/>
      <c r="IQ411"/>
      <c r="IR411"/>
      <c r="IS411"/>
      <c r="IT411"/>
      <c r="IU411"/>
      <c r="IV411"/>
      <c r="IW411"/>
      <c r="IX411"/>
      <c r="IY411"/>
      <c r="IZ411"/>
      <c r="JA411"/>
      <c r="JB411"/>
      <c r="JC411"/>
      <c r="JD411"/>
      <c r="JE411"/>
      <c r="JF411"/>
      <c r="JG411"/>
      <c r="JH411"/>
      <c r="JI411"/>
      <c r="JJ411"/>
      <c r="JK411"/>
      <c r="JL411"/>
      <c r="JM411"/>
      <c r="JN411"/>
      <c r="JO411"/>
      <c r="JP411"/>
      <c r="JQ411"/>
      <c r="JR411"/>
      <c r="JS411"/>
      <c r="JT411"/>
      <c r="JU411"/>
      <c r="JV411"/>
      <c r="JW411"/>
      <c r="JX411"/>
      <c r="JY411"/>
      <c r="JZ411"/>
      <c r="KA411"/>
      <c r="KB411"/>
      <c r="KC411"/>
      <c r="KD411"/>
      <c r="KE411"/>
      <c r="KF411"/>
      <c r="KG411"/>
      <c r="KH411"/>
      <c r="KI411"/>
      <c r="KJ411"/>
      <c r="KK411"/>
      <c r="KL411"/>
      <c r="KM411"/>
      <c r="KN411"/>
      <c r="KO411"/>
      <c r="KP411"/>
      <c r="KQ411"/>
      <c r="KR411"/>
      <c r="KS411"/>
    </row>
    <row r="412" spans="2:305" hidden="1" x14ac:dyDescent="0.35">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c r="AS412"/>
      <c r="AT412"/>
      <c r="AU412"/>
      <c r="AV412"/>
      <c r="AW412"/>
      <c r="AX412"/>
      <c r="AY412"/>
      <c r="AZ412"/>
      <c r="BA412"/>
      <c r="BB412"/>
      <c r="BC412"/>
      <c r="BD412"/>
      <c r="BE412"/>
      <c r="BF412"/>
      <c r="BG412"/>
      <c r="BH412"/>
      <c r="BI412"/>
      <c r="BJ412"/>
      <c r="BK412"/>
      <c r="BL412"/>
      <c r="BM412"/>
      <c r="BN412"/>
      <c r="BO412"/>
      <c r="BP412"/>
      <c r="BQ412"/>
      <c r="BR412"/>
      <c r="BS412"/>
      <c r="BT412"/>
      <c r="BU412"/>
      <c r="BV412"/>
      <c r="BW412"/>
      <c r="BX412"/>
      <c r="BY412"/>
      <c r="BZ412"/>
      <c r="CA412"/>
      <c r="CB412"/>
      <c r="CC412"/>
      <c r="CD412"/>
      <c r="CE412"/>
      <c r="CF412"/>
      <c r="CG412"/>
      <c r="CH412"/>
      <c r="CI412"/>
      <c r="CJ412"/>
      <c r="CK412"/>
      <c r="CL412"/>
      <c r="CM412"/>
      <c r="CN412"/>
      <c r="CO412"/>
      <c r="CP412"/>
      <c r="CQ412"/>
      <c r="CR412"/>
      <c r="CS412"/>
      <c r="CT412"/>
      <c r="CU412"/>
      <c r="CV412"/>
      <c r="CW412"/>
      <c r="CX412"/>
      <c r="CY412"/>
      <c r="CZ412"/>
      <c r="DA412"/>
      <c r="DB412"/>
      <c r="DC412"/>
      <c r="DD412"/>
      <c r="DE412"/>
      <c r="DF412"/>
      <c r="DG412"/>
      <c r="DH412"/>
      <c r="DI412"/>
      <c r="DJ412"/>
      <c r="DK412"/>
      <c r="DL412"/>
      <c r="DM412"/>
      <c r="DN412"/>
      <c r="DO412"/>
      <c r="DP412"/>
      <c r="DQ412"/>
      <c r="DR412"/>
      <c r="DS412"/>
      <c r="DT412"/>
      <c r="DU412"/>
      <c r="DV412"/>
      <c r="DW412"/>
      <c r="DX412"/>
      <c r="DY412"/>
      <c r="DZ412"/>
      <c r="EA412"/>
      <c r="EB412"/>
      <c r="EC412"/>
      <c r="ED412"/>
      <c r="EE412"/>
      <c r="EF412"/>
      <c r="EG412"/>
      <c r="EH412"/>
      <c r="EI412"/>
      <c r="EJ412"/>
      <c r="EK412"/>
      <c r="EL412"/>
      <c r="EM412"/>
      <c r="EN412"/>
      <c r="EO412"/>
      <c r="EP412"/>
      <c r="EQ412"/>
      <c r="ER412"/>
      <c r="ES412"/>
      <c r="ET412"/>
      <c r="EU412"/>
      <c r="EV412"/>
      <c r="EW412"/>
      <c r="EX412"/>
      <c r="EY412"/>
      <c r="EZ412"/>
      <c r="FA412"/>
      <c r="FB412"/>
      <c r="FC412"/>
      <c r="FD412"/>
      <c r="FE412"/>
      <c r="FF412"/>
      <c r="FG412"/>
      <c r="FH412"/>
      <c r="FI412"/>
      <c r="FJ412"/>
      <c r="FK412"/>
      <c r="FL412"/>
      <c r="FM412"/>
      <c r="FN412"/>
      <c r="FO412"/>
      <c r="FP412"/>
      <c r="FQ412"/>
      <c r="FR412"/>
      <c r="FS412"/>
      <c r="FT412"/>
      <c r="FU412"/>
      <c r="FV412"/>
      <c r="FW412"/>
      <c r="FX412"/>
      <c r="FY412"/>
      <c r="FZ412"/>
      <c r="GA412"/>
      <c r="GB412"/>
      <c r="GC412"/>
      <c r="GD412"/>
      <c r="GE412"/>
      <c r="GF412"/>
      <c r="GG412"/>
      <c r="GH412"/>
      <c r="GI412"/>
      <c r="GJ412"/>
      <c r="GK412"/>
      <c r="GL412"/>
      <c r="GM412"/>
      <c r="GN412"/>
      <c r="GO412"/>
      <c r="GP412"/>
      <c r="GQ412"/>
      <c r="GR412"/>
      <c r="GS412"/>
      <c r="GT412"/>
      <c r="GU412"/>
      <c r="GV412"/>
      <c r="GW412"/>
      <c r="GX412"/>
      <c r="GY412"/>
      <c r="GZ412"/>
      <c r="HA412"/>
      <c r="HB412"/>
      <c r="HC412"/>
      <c r="HD412"/>
      <c r="HE412"/>
      <c r="HF412"/>
      <c r="HG412"/>
      <c r="HH412"/>
      <c r="HI412"/>
      <c r="HJ412"/>
      <c r="HK412"/>
      <c r="HL412"/>
      <c r="HM412"/>
      <c r="HN412"/>
      <c r="HO412"/>
      <c r="HP412"/>
      <c r="HQ412"/>
      <c r="HR412"/>
      <c r="HS412"/>
      <c r="HT412"/>
      <c r="HU412"/>
      <c r="HV412"/>
      <c r="HW412"/>
      <c r="HX412"/>
      <c r="HY412"/>
      <c r="HZ412"/>
      <c r="IA412"/>
      <c r="IB412"/>
      <c r="IC412"/>
      <c r="ID412"/>
      <c r="IE412"/>
      <c r="IF412"/>
      <c r="IG412"/>
      <c r="IH412"/>
      <c r="II412"/>
      <c r="IJ412"/>
      <c r="IK412"/>
      <c r="IL412"/>
      <c r="IM412"/>
      <c r="IN412"/>
      <c r="IO412"/>
      <c r="IP412"/>
      <c r="IQ412"/>
      <c r="IR412"/>
      <c r="IS412"/>
      <c r="IT412"/>
      <c r="IU412"/>
      <c r="IV412"/>
      <c r="IW412"/>
      <c r="IX412"/>
      <c r="IY412"/>
      <c r="IZ412"/>
      <c r="JA412"/>
      <c r="JB412"/>
      <c r="JC412"/>
      <c r="JD412"/>
      <c r="JE412"/>
      <c r="JF412"/>
      <c r="JG412"/>
      <c r="JH412"/>
      <c r="JI412"/>
      <c r="JJ412"/>
      <c r="JK412"/>
      <c r="JL412"/>
      <c r="JM412"/>
      <c r="JN412"/>
      <c r="JO412"/>
      <c r="JP412"/>
      <c r="JQ412"/>
      <c r="JR412"/>
      <c r="JS412"/>
      <c r="JT412"/>
      <c r="JU412"/>
      <c r="JV412"/>
      <c r="JW412"/>
      <c r="JX412"/>
      <c r="JY412"/>
      <c r="JZ412"/>
      <c r="KA412"/>
      <c r="KB412"/>
      <c r="KC412"/>
      <c r="KD412"/>
      <c r="KE412"/>
      <c r="KF412"/>
      <c r="KG412"/>
      <c r="KH412"/>
      <c r="KI412"/>
      <c r="KJ412"/>
      <c r="KK412"/>
      <c r="KL412"/>
      <c r="KM412"/>
      <c r="KN412"/>
      <c r="KO412"/>
      <c r="KP412"/>
      <c r="KQ412"/>
      <c r="KR412"/>
      <c r="KS412"/>
    </row>
    <row r="413" spans="2:305" hidden="1" x14ac:dyDescent="0.35">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c r="AS413"/>
      <c r="AT413"/>
      <c r="AU413"/>
      <c r="AV413"/>
      <c r="AW413"/>
      <c r="AX413"/>
      <c r="AY413"/>
      <c r="AZ413"/>
      <c r="BA413"/>
      <c r="BB413"/>
      <c r="BC413"/>
      <c r="BD413"/>
      <c r="BE413"/>
      <c r="BF413"/>
      <c r="BG413"/>
      <c r="BH413"/>
      <c r="BI413"/>
      <c r="BJ413"/>
      <c r="BK413"/>
      <c r="BL413"/>
      <c r="BM413"/>
      <c r="BN413"/>
      <c r="BO413"/>
      <c r="BP413"/>
      <c r="BQ413"/>
      <c r="BR413"/>
      <c r="BS413"/>
      <c r="BT413"/>
      <c r="BU413"/>
      <c r="BV413"/>
      <c r="BW413"/>
      <c r="BX413"/>
      <c r="BY413"/>
      <c r="BZ413"/>
      <c r="CA413"/>
      <c r="CB413"/>
      <c r="CC413"/>
      <c r="CD413"/>
      <c r="CE413"/>
      <c r="CF413"/>
      <c r="CG413"/>
      <c r="CH413"/>
      <c r="CI413"/>
      <c r="CJ413"/>
      <c r="CK413"/>
      <c r="CL413"/>
      <c r="CM413"/>
      <c r="CN413"/>
      <c r="CO413"/>
      <c r="CP413"/>
      <c r="CQ413"/>
      <c r="CR413"/>
      <c r="CS413"/>
      <c r="CT413"/>
      <c r="CU413"/>
      <c r="CV413"/>
      <c r="CW413"/>
      <c r="CX413"/>
      <c r="CY413"/>
      <c r="CZ413"/>
      <c r="DA413"/>
      <c r="DB413"/>
      <c r="DC413"/>
      <c r="DD413"/>
      <c r="DE413"/>
      <c r="DF413"/>
      <c r="DG413"/>
      <c r="DH413"/>
      <c r="DI413"/>
      <c r="DJ413"/>
      <c r="DK413"/>
      <c r="DL413"/>
      <c r="DM413"/>
      <c r="DN413"/>
      <c r="DO413"/>
      <c r="DP413"/>
      <c r="DQ413"/>
      <c r="DR413"/>
      <c r="DS413"/>
      <c r="DT413"/>
      <c r="DU413"/>
      <c r="DV413"/>
      <c r="DW413"/>
      <c r="DX413"/>
      <c r="DY413"/>
      <c r="DZ413"/>
      <c r="EA413"/>
      <c r="EB413"/>
      <c r="EC413"/>
      <c r="ED413"/>
      <c r="EE413"/>
      <c r="EF413"/>
      <c r="EG413"/>
      <c r="EH413"/>
      <c r="EI413"/>
      <c r="EJ413"/>
      <c r="EK413"/>
      <c r="EL413"/>
      <c r="EM413"/>
      <c r="EN413"/>
      <c r="EO413"/>
      <c r="EP413"/>
      <c r="EQ413"/>
      <c r="ER413"/>
      <c r="ES413"/>
      <c r="ET413"/>
      <c r="EU413"/>
      <c r="EV413"/>
      <c r="EW413"/>
      <c r="EX413"/>
      <c r="EY413"/>
      <c r="EZ413"/>
      <c r="FA413"/>
      <c r="FB413"/>
      <c r="FC413"/>
      <c r="FD413"/>
      <c r="FE413"/>
      <c r="FF413"/>
      <c r="FG413"/>
      <c r="FH413"/>
      <c r="FI413"/>
      <c r="FJ413"/>
      <c r="FK413"/>
      <c r="FL413"/>
      <c r="FM413"/>
      <c r="FN413"/>
      <c r="FO413"/>
      <c r="FP413"/>
      <c r="FQ413"/>
      <c r="FR413"/>
      <c r="FS413"/>
      <c r="FT413"/>
      <c r="FU413"/>
      <c r="FV413"/>
      <c r="FW413"/>
      <c r="FX413"/>
      <c r="FY413"/>
      <c r="FZ413"/>
      <c r="GA413"/>
      <c r="GB413"/>
      <c r="GC413"/>
      <c r="GD413"/>
      <c r="GE413"/>
      <c r="GF413"/>
      <c r="GG413"/>
      <c r="GH413"/>
      <c r="GI413"/>
      <c r="GJ413"/>
      <c r="GK413"/>
      <c r="GL413"/>
      <c r="GM413"/>
      <c r="GN413"/>
      <c r="GO413"/>
      <c r="GP413"/>
      <c r="GQ413"/>
      <c r="GR413"/>
      <c r="GS413"/>
      <c r="GT413"/>
      <c r="GU413"/>
      <c r="GV413"/>
      <c r="GW413"/>
      <c r="GX413"/>
      <c r="GY413"/>
      <c r="GZ413"/>
      <c r="HA413"/>
      <c r="HB413"/>
      <c r="HC413"/>
      <c r="HD413"/>
      <c r="HE413"/>
      <c r="HF413"/>
      <c r="HG413"/>
      <c r="HH413"/>
      <c r="HI413"/>
      <c r="HJ413"/>
      <c r="HK413"/>
      <c r="HL413"/>
      <c r="HM413"/>
      <c r="HN413"/>
      <c r="HO413"/>
      <c r="HP413"/>
      <c r="HQ413"/>
      <c r="HR413"/>
      <c r="HS413"/>
      <c r="HT413"/>
      <c r="HU413"/>
      <c r="HV413"/>
      <c r="HW413"/>
      <c r="HX413"/>
      <c r="HY413"/>
      <c r="HZ413"/>
      <c r="IA413"/>
      <c r="IB413"/>
      <c r="IC413"/>
      <c r="ID413"/>
      <c r="IE413"/>
      <c r="IF413"/>
      <c r="IG413"/>
      <c r="IH413"/>
      <c r="II413"/>
      <c r="IJ413"/>
      <c r="IK413"/>
      <c r="IL413"/>
      <c r="IM413"/>
      <c r="IN413"/>
      <c r="IO413"/>
      <c r="IP413"/>
      <c r="IQ413"/>
      <c r="IR413"/>
      <c r="IS413"/>
      <c r="IT413"/>
      <c r="IU413"/>
      <c r="IV413"/>
      <c r="IW413"/>
      <c r="IX413"/>
      <c r="IY413"/>
      <c r="IZ413"/>
      <c r="JA413"/>
      <c r="JB413"/>
      <c r="JC413"/>
      <c r="JD413"/>
      <c r="JE413"/>
      <c r="JF413"/>
      <c r="JG413"/>
      <c r="JH413"/>
      <c r="JI413"/>
      <c r="JJ413"/>
      <c r="JK413"/>
      <c r="JL413"/>
      <c r="JM413"/>
      <c r="JN413"/>
      <c r="JO413"/>
      <c r="JP413"/>
      <c r="JQ413"/>
      <c r="JR413"/>
      <c r="JS413"/>
      <c r="JT413"/>
      <c r="JU413"/>
      <c r="JV413"/>
      <c r="JW413"/>
      <c r="JX413"/>
      <c r="JY413"/>
      <c r="JZ413"/>
      <c r="KA413"/>
      <c r="KB413"/>
      <c r="KC413"/>
      <c r="KD413"/>
      <c r="KE413"/>
      <c r="KF413"/>
      <c r="KG413"/>
      <c r="KH413"/>
      <c r="KI413"/>
      <c r="KJ413"/>
      <c r="KK413"/>
      <c r="KL413"/>
      <c r="KM413"/>
      <c r="KN413"/>
      <c r="KO413"/>
      <c r="KP413"/>
      <c r="KQ413"/>
      <c r="KR413"/>
      <c r="KS413"/>
    </row>
    <row r="414" spans="2:305" hidden="1" x14ac:dyDescent="0.35">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c r="AS414"/>
      <c r="AT414"/>
      <c r="AU414"/>
      <c r="AV414"/>
      <c r="AW414"/>
      <c r="AX414"/>
      <c r="AY414"/>
      <c r="AZ414"/>
      <c r="BA414"/>
      <c r="BB414"/>
      <c r="BC414"/>
      <c r="BD414"/>
      <c r="BE414"/>
      <c r="BF414"/>
      <c r="BG414"/>
      <c r="BH414"/>
      <c r="BI414"/>
      <c r="BJ414"/>
      <c r="BK414"/>
      <c r="BL414"/>
      <c r="BM414"/>
      <c r="BN414"/>
      <c r="BO414"/>
      <c r="BP414"/>
      <c r="BQ414"/>
      <c r="BR414"/>
      <c r="BS414"/>
      <c r="BT414"/>
      <c r="BU414"/>
      <c r="BV414"/>
      <c r="BW414"/>
      <c r="BX414"/>
      <c r="BY414"/>
      <c r="BZ414"/>
      <c r="CA414"/>
      <c r="CB414"/>
      <c r="CC414"/>
      <c r="CD414"/>
      <c r="CE414"/>
      <c r="CF414"/>
      <c r="CG414"/>
      <c r="CH414"/>
      <c r="CI414"/>
      <c r="CJ414"/>
      <c r="CK414"/>
      <c r="CL414"/>
      <c r="CM414"/>
      <c r="CN414"/>
      <c r="CO414"/>
      <c r="CP414"/>
      <c r="CQ414"/>
      <c r="CR414"/>
      <c r="CS414"/>
      <c r="CT414"/>
      <c r="CU414"/>
      <c r="CV414"/>
      <c r="CW414"/>
      <c r="CX414"/>
      <c r="CY414"/>
      <c r="CZ414"/>
      <c r="DA414"/>
      <c r="DB414"/>
      <c r="DC414"/>
      <c r="DD414"/>
      <c r="DE414"/>
      <c r="DF414"/>
      <c r="DG414"/>
      <c r="DH414"/>
      <c r="DI414"/>
      <c r="DJ414"/>
      <c r="DK414"/>
      <c r="DL414"/>
      <c r="DM414"/>
      <c r="DN414"/>
      <c r="DO414"/>
      <c r="DP414"/>
      <c r="DQ414"/>
      <c r="DR414"/>
      <c r="DS414"/>
      <c r="DT414"/>
      <c r="DU414"/>
      <c r="DV414"/>
      <c r="DW414"/>
      <c r="DX414"/>
      <c r="DY414"/>
      <c r="DZ414"/>
      <c r="EA414"/>
      <c r="EB414"/>
      <c r="EC414"/>
      <c r="ED414"/>
      <c r="EE414"/>
      <c r="EF414"/>
      <c r="EG414"/>
      <c r="EH414"/>
      <c r="EI414"/>
      <c r="EJ414"/>
      <c r="EK414"/>
      <c r="EL414"/>
      <c r="EM414"/>
      <c r="EN414"/>
      <c r="EO414"/>
      <c r="EP414"/>
      <c r="EQ414"/>
      <c r="ER414"/>
      <c r="ES414"/>
      <c r="ET414"/>
      <c r="EU414"/>
      <c r="EV414"/>
      <c r="EW414"/>
      <c r="EX414"/>
      <c r="EY414"/>
      <c r="EZ414"/>
      <c r="FA414"/>
      <c r="FB414"/>
      <c r="FC414"/>
      <c r="FD414"/>
      <c r="FE414"/>
      <c r="FF414"/>
      <c r="FG414"/>
      <c r="FH414"/>
      <c r="FI414"/>
      <c r="FJ414"/>
      <c r="FK414"/>
      <c r="FL414"/>
      <c r="FM414"/>
      <c r="FN414"/>
      <c r="FO414"/>
      <c r="FP414"/>
      <c r="FQ414"/>
      <c r="FR414"/>
      <c r="FS414"/>
      <c r="FT414"/>
      <c r="FU414"/>
      <c r="FV414"/>
      <c r="FW414"/>
      <c r="FX414"/>
      <c r="FY414"/>
      <c r="FZ414"/>
      <c r="GA414"/>
      <c r="GB414"/>
      <c r="GC414"/>
      <c r="GD414"/>
      <c r="GE414"/>
      <c r="GF414"/>
      <c r="GG414"/>
      <c r="GH414"/>
      <c r="GI414"/>
      <c r="GJ414"/>
      <c r="GK414"/>
      <c r="GL414"/>
      <c r="GM414"/>
      <c r="GN414"/>
      <c r="GO414"/>
      <c r="GP414"/>
      <c r="GQ414"/>
      <c r="GR414"/>
      <c r="GS414"/>
      <c r="GT414"/>
      <c r="GU414"/>
      <c r="GV414"/>
      <c r="GW414"/>
      <c r="GX414"/>
      <c r="GY414"/>
      <c r="GZ414"/>
      <c r="HA414"/>
      <c r="HB414"/>
      <c r="HC414"/>
      <c r="HD414"/>
      <c r="HE414"/>
      <c r="HF414"/>
      <c r="HG414"/>
      <c r="HH414"/>
      <c r="HI414"/>
      <c r="HJ414"/>
      <c r="HK414"/>
      <c r="HL414"/>
      <c r="HM414"/>
      <c r="HN414"/>
      <c r="HO414"/>
      <c r="HP414"/>
      <c r="HQ414"/>
      <c r="HR414"/>
      <c r="HS414"/>
      <c r="HT414"/>
      <c r="HU414"/>
      <c r="HV414"/>
      <c r="HW414"/>
      <c r="HX414"/>
      <c r="HY414"/>
      <c r="HZ414"/>
      <c r="IA414"/>
      <c r="IB414"/>
      <c r="IC414"/>
      <c r="ID414"/>
      <c r="IE414"/>
      <c r="IF414"/>
      <c r="IG414"/>
      <c r="IH414"/>
      <c r="II414"/>
      <c r="IJ414"/>
      <c r="IK414"/>
      <c r="IL414"/>
      <c r="IM414"/>
      <c r="IN414"/>
      <c r="IO414"/>
      <c r="IP414"/>
      <c r="IQ414"/>
      <c r="IR414"/>
      <c r="IS414"/>
      <c r="IT414"/>
      <c r="IU414"/>
      <c r="IV414"/>
      <c r="IW414"/>
      <c r="IX414"/>
      <c r="IY414"/>
      <c r="IZ414"/>
      <c r="JA414"/>
      <c r="JB414"/>
      <c r="JC414"/>
      <c r="JD414"/>
      <c r="JE414"/>
      <c r="JF414"/>
      <c r="JG414"/>
      <c r="JH414"/>
      <c r="JI414"/>
      <c r="JJ414"/>
      <c r="JK414"/>
      <c r="JL414"/>
      <c r="JM414"/>
      <c r="JN414"/>
      <c r="JO414"/>
      <c r="JP414"/>
      <c r="JQ414"/>
      <c r="JR414"/>
      <c r="JS414"/>
      <c r="JT414"/>
      <c r="JU414"/>
      <c r="JV414"/>
      <c r="JW414"/>
      <c r="JX414"/>
      <c r="JY414"/>
      <c r="JZ414"/>
      <c r="KA414"/>
      <c r="KB414"/>
      <c r="KC414"/>
      <c r="KD414"/>
      <c r="KE414"/>
      <c r="KF414"/>
      <c r="KG414"/>
      <c r="KH414"/>
      <c r="KI414"/>
      <c r="KJ414"/>
      <c r="KK414"/>
      <c r="KL414"/>
      <c r="KM414"/>
      <c r="KN414"/>
      <c r="KO414"/>
      <c r="KP414"/>
      <c r="KQ414"/>
      <c r="KR414"/>
      <c r="KS414"/>
    </row>
    <row r="415" spans="2:305" hidden="1" x14ac:dyDescent="0.3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c r="AS415"/>
      <c r="AT415"/>
      <c r="AU415"/>
      <c r="AV415"/>
      <c r="AW415"/>
      <c r="AX415"/>
      <c r="AY415"/>
      <c r="AZ415"/>
      <c r="BA415"/>
      <c r="BB415"/>
      <c r="BC415"/>
      <c r="BD415"/>
      <c r="BE415"/>
      <c r="BF415"/>
      <c r="BG415"/>
      <c r="BH415"/>
      <c r="BI415"/>
      <c r="BJ415"/>
      <c r="BK415"/>
      <c r="BL415"/>
      <c r="BM415"/>
      <c r="BN415"/>
      <c r="BO415"/>
      <c r="BP415"/>
      <c r="BQ415"/>
      <c r="BR415"/>
      <c r="BS415"/>
      <c r="BT415"/>
      <c r="BU415"/>
      <c r="BV415"/>
      <c r="BW415"/>
      <c r="BX415"/>
      <c r="BY415"/>
      <c r="BZ415"/>
      <c r="CA415"/>
      <c r="CB415"/>
      <c r="CC415"/>
      <c r="CD415"/>
      <c r="CE415"/>
      <c r="CF415"/>
      <c r="CG415"/>
      <c r="CH415"/>
      <c r="CI415"/>
      <c r="CJ415"/>
      <c r="CK415"/>
      <c r="CL415"/>
      <c r="CM415"/>
      <c r="CN415"/>
      <c r="CO415"/>
      <c r="CP415"/>
      <c r="CQ415"/>
      <c r="CR415"/>
      <c r="CS415"/>
      <c r="CT415"/>
      <c r="CU415"/>
      <c r="CV415"/>
      <c r="CW415"/>
      <c r="CX415"/>
      <c r="CY415"/>
      <c r="CZ415"/>
      <c r="DA415"/>
      <c r="DB415"/>
      <c r="DC415"/>
      <c r="DD415"/>
      <c r="DE415"/>
      <c r="DF415"/>
      <c r="DG415"/>
      <c r="DH415"/>
      <c r="DI415"/>
      <c r="DJ415"/>
      <c r="DK415"/>
      <c r="DL415"/>
      <c r="DM415"/>
      <c r="DN415"/>
      <c r="DO415"/>
      <c r="DP415"/>
      <c r="DQ415"/>
      <c r="DR415"/>
      <c r="DS415"/>
      <c r="DT415"/>
      <c r="DU415"/>
      <c r="DV415"/>
      <c r="DW415"/>
      <c r="DX415"/>
      <c r="DY415"/>
      <c r="DZ415"/>
      <c r="EA415"/>
      <c r="EB415"/>
      <c r="EC415"/>
      <c r="ED415"/>
      <c r="EE415"/>
      <c r="EF415"/>
      <c r="EG415"/>
      <c r="EH415"/>
      <c r="EI415"/>
      <c r="EJ415"/>
      <c r="EK415"/>
      <c r="EL415"/>
      <c r="EM415"/>
      <c r="EN415"/>
      <c r="EO415"/>
      <c r="EP415"/>
      <c r="EQ415"/>
      <c r="ER415"/>
      <c r="ES415"/>
      <c r="ET415"/>
      <c r="EU415"/>
      <c r="EV415"/>
      <c r="EW415"/>
      <c r="EX415"/>
      <c r="EY415"/>
      <c r="EZ415"/>
      <c r="FA415"/>
      <c r="FB415"/>
      <c r="FC415"/>
      <c r="FD415"/>
      <c r="FE415"/>
      <c r="FF415"/>
      <c r="FG415"/>
      <c r="FH415"/>
      <c r="FI415"/>
      <c r="FJ415"/>
      <c r="FK415"/>
      <c r="FL415"/>
      <c r="FM415"/>
      <c r="FN415"/>
      <c r="FO415"/>
      <c r="FP415"/>
      <c r="FQ415"/>
      <c r="FR415"/>
      <c r="FS415"/>
      <c r="FT415"/>
      <c r="FU415"/>
      <c r="FV415"/>
      <c r="FW415"/>
      <c r="FX415"/>
      <c r="FY415"/>
      <c r="FZ415"/>
      <c r="GA415"/>
      <c r="GB415"/>
      <c r="GC415"/>
      <c r="GD415"/>
      <c r="GE415"/>
      <c r="GF415"/>
      <c r="GG415"/>
      <c r="GH415"/>
      <c r="GI415"/>
      <c r="GJ415"/>
      <c r="GK415"/>
      <c r="GL415"/>
      <c r="GM415"/>
      <c r="GN415"/>
      <c r="GO415"/>
      <c r="GP415"/>
      <c r="GQ415"/>
      <c r="GR415"/>
      <c r="GS415"/>
      <c r="GT415"/>
      <c r="GU415"/>
      <c r="GV415"/>
      <c r="GW415"/>
      <c r="GX415"/>
      <c r="GY415"/>
      <c r="GZ415"/>
      <c r="HA415"/>
      <c r="HB415"/>
      <c r="HC415"/>
      <c r="HD415"/>
      <c r="HE415"/>
      <c r="HF415"/>
      <c r="HG415"/>
      <c r="HH415"/>
      <c r="HI415"/>
      <c r="HJ415"/>
      <c r="HK415"/>
      <c r="HL415"/>
      <c r="HM415"/>
      <c r="HN415"/>
      <c r="HO415"/>
      <c r="HP415"/>
      <c r="HQ415"/>
      <c r="HR415"/>
      <c r="HS415"/>
      <c r="HT415"/>
      <c r="HU415"/>
      <c r="HV415"/>
      <c r="HW415"/>
      <c r="HX415"/>
      <c r="HY415"/>
      <c r="HZ415"/>
      <c r="IA415"/>
      <c r="IB415"/>
      <c r="IC415"/>
      <c r="ID415"/>
      <c r="IE415"/>
      <c r="IF415"/>
      <c r="IG415"/>
      <c r="IH415"/>
      <c r="II415"/>
      <c r="IJ415"/>
      <c r="IK415"/>
      <c r="IL415"/>
      <c r="IM415"/>
      <c r="IN415"/>
      <c r="IO415"/>
      <c r="IP415"/>
      <c r="IQ415"/>
      <c r="IR415"/>
      <c r="IS415"/>
      <c r="IT415"/>
      <c r="IU415"/>
      <c r="IV415"/>
      <c r="IW415"/>
      <c r="IX415"/>
      <c r="IY415"/>
      <c r="IZ415"/>
      <c r="JA415"/>
      <c r="JB415"/>
      <c r="JC415"/>
      <c r="JD415"/>
      <c r="JE415"/>
      <c r="JF415"/>
      <c r="JG415"/>
      <c r="JH415"/>
      <c r="JI415"/>
      <c r="JJ415"/>
      <c r="JK415"/>
      <c r="JL415"/>
      <c r="JM415"/>
      <c r="JN415"/>
      <c r="JO415"/>
      <c r="JP415"/>
      <c r="JQ415"/>
      <c r="JR415"/>
      <c r="JS415"/>
      <c r="JT415"/>
      <c r="JU415"/>
      <c r="JV415"/>
      <c r="JW415"/>
      <c r="JX415"/>
      <c r="JY415"/>
      <c r="JZ415"/>
      <c r="KA415"/>
      <c r="KB415"/>
      <c r="KC415"/>
      <c r="KD415"/>
      <c r="KE415"/>
      <c r="KF415"/>
      <c r="KG415"/>
      <c r="KH415"/>
      <c r="KI415"/>
      <c r="KJ415"/>
      <c r="KK415"/>
      <c r="KL415"/>
      <c r="KM415"/>
      <c r="KN415"/>
      <c r="KO415"/>
      <c r="KP415"/>
      <c r="KQ415"/>
      <c r="KR415"/>
      <c r="KS415"/>
    </row>
    <row r="416" spans="2:305" hidden="1" x14ac:dyDescent="0.35">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c r="AS416"/>
      <c r="AT416"/>
      <c r="AU416"/>
      <c r="AV416"/>
      <c r="AW416"/>
      <c r="AX416"/>
      <c r="AY416"/>
      <c r="AZ416"/>
      <c r="BA416"/>
      <c r="BB416"/>
      <c r="BC416"/>
      <c r="BD416"/>
      <c r="BE416"/>
      <c r="BF416"/>
      <c r="BG416"/>
      <c r="BH416"/>
      <c r="BI416"/>
      <c r="BJ416"/>
      <c r="BK416"/>
      <c r="BL416"/>
      <c r="BM416"/>
      <c r="BN416"/>
      <c r="BO416"/>
      <c r="BP416"/>
      <c r="BQ416"/>
      <c r="BR416"/>
      <c r="BS416"/>
      <c r="BT416"/>
      <c r="BU416"/>
      <c r="BV416"/>
      <c r="BW416"/>
      <c r="BX416"/>
      <c r="BY416"/>
      <c r="BZ416"/>
      <c r="CA416"/>
      <c r="CB416"/>
      <c r="CC416"/>
      <c r="CD416"/>
      <c r="CE416"/>
      <c r="CF416"/>
      <c r="CG416"/>
      <c r="CH416"/>
      <c r="CI416"/>
      <c r="CJ416"/>
      <c r="CK416"/>
      <c r="CL416"/>
      <c r="CM416"/>
      <c r="CN416"/>
      <c r="CO416"/>
      <c r="CP416"/>
      <c r="CQ416"/>
      <c r="CR416"/>
      <c r="CS416"/>
      <c r="CT416"/>
      <c r="CU416"/>
      <c r="CV416"/>
      <c r="CW416"/>
      <c r="CX416"/>
      <c r="CY416"/>
      <c r="CZ416"/>
      <c r="DA416"/>
      <c r="DB416"/>
      <c r="DC416"/>
      <c r="DD416"/>
      <c r="DE416"/>
      <c r="DF416"/>
      <c r="DG416"/>
      <c r="DH416"/>
      <c r="DI416"/>
      <c r="DJ416"/>
      <c r="DK416"/>
      <c r="DL416"/>
      <c r="DM416"/>
      <c r="DN416"/>
      <c r="DO416"/>
      <c r="DP416"/>
      <c r="DQ416"/>
      <c r="DR416"/>
      <c r="DS416"/>
      <c r="DT416"/>
      <c r="DU416"/>
      <c r="DV416"/>
      <c r="DW416"/>
      <c r="DX416"/>
      <c r="DY416"/>
      <c r="DZ416"/>
      <c r="EA416"/>
      <c r="EB416"/>
      <c r="EC416"/>
      <c r="ED416"/>
      <c r="EE416"/>
      <c r="EF416"/>
      <c r="EG416"/>
      <c r="EH416"/>
      <c r="EI416"/>
      <c r="EJ416"/>
      <c r="EK416"/>
      <c r="EL416"/>
      <c r="EM416"/>
      <c r="EN416"/>
      <c r="EO416"/>
      <c r="EP416"/>
      <c r="EQ416"/>
      <c r="ER416"/>
      <c r="ES416"/>
      <c r="ET416"/>
      <c r="EU416"/>
      <c r="EV416"/>
      <c r="EW416"/>
      <c r="EX416"/>
      <c r="EY416"/>
      <c r="EZ416"/>
      <c r="FA416"/>
      <c r="FB416"/>
      <c r="FC416"/>
      <c r="FD416"/>
      <c r="FE416"/>
      <c r="FF416"/>
      <c r="FG416"/>
      <c r="FH416"/>
      <c r="FI416"/>
      <c r="FJ416"/>
      <c r="FK416"/>
      <c r="FL416"/>
      <c r="FM416"/>
      <c r="FN416"/>
      <c r="FO416"/>
      <c r="FP416"/>
      <c r="FQ416"/>
      <c r="FR416"/>
      <c r="FS416"/>
      <c r="FT416"/>
      <c r="FU416"/>
      <c r="FV416"/>
      <c r="FW416"/>
      <c r="FX416"/>
      <c r="FY416"/>
      <c r="FZ416"/>
      <c r="GA416"/>
      <c r="GB416"/>
      <c r="GC416"/>
      <c r="GD416"/>
      <c r="GE416"/>
      <c r="GF416"/>
      <c r="GG416"/>
      <c r="GH416"/>
      <c r="GI416"/>
      <c r="GJ416"/>
      <c r="GK416"/>
      <c r="GL416"/>
      <c r="GM416"/>
      <c r="GN416"/>
      <c r="GO416"/>
      <c r="GP416"/>
      <c r="GQ416"/>
      <c r="GR416"/>
      <c r="GS416"/>
      <c r="GT416"/>
      <c r="GU416"/>
      <c r="GV416"/>
      <c r="GW416"/>
      <c r="GX416"/>
      <c r="GY416"/>
      <c r="GZ416"/>
      <c r="HA416"/>
      <c r="HB416"/>
      <c r="HC416"/>
      <c r="HD416"/>
      <c r="HE416"/>
      <c r="HF416"/>
      <c r="HG416"/>
      <c r="HH416"/>
      <c r="HI416"/>
      <c r="HJ416"/>
      <c r="HK416"/>
      <c r="HL416"/>
      <c r="HM416"/>
      <c r="HN416"/>
      <c r="HO416"/>
      <c r="HP416"/>
      <c r="HQ416"/>
      <c r="HR416"/>
      <c r="HS416"/>
      <c r="HT416"/>
      <c r="HU416"/>
      <c r="HV416"/>
      <c r="HW416"/>
      <c r="HX416"/>
      <c r="HY416"/>
      <c r="HZ416"/>
      <c r="IA416"/>
      <c r="IB416"/>
      <c r="IC416"/>
      <c r="ID416"/>
      <c r="IE416"/>
      <c r="IF416"/>
      <c r="IG416"/>
      <c r="IH416"/>
      <c r="II416"/>
      <c r="IJ416"/>
      <c r="IK416"/>
      <c r="IL416"/>
      <c r="IM416"/>
      <c r="IN416"/>
      <c r="IO416"/>
      <c r="IP416"/>
      <c r="IQ416"/>
      <c r="IR416"/>
      <c r="IS416"/>
      <c r="IT416"/>
      <c r="IU416"/>
      <c r="IV416"/>
      <c r="IW416"/>
      <c r="IX416"/>
      <c r="IY416"/>
      <c r="IZ416"/>
      <c r="JA416"/>
      <c r="JB416"/>
      <c r="JC416"/>
      <c r="JD416"/>
      <c r="JE416"/>
      <c r="JF416"/>
      <c r="JG416"/>
      <c r="JH416"/>
      <c r="JI416"/>
      <c r="JJ416"/>
      <c r="JK416"/>
      <c r="JL416"/>
      <c r="JM416"/>
      <c r="JN416"/>
      <c r="JO416"/>
      <c r="JP416"/>
      <c r="JQ416"/>
      <c r="JR416"/>
      <c r="JS416"/>
      <c r="JT416"/>
      <c r="JU416"/>
      <c r="JV416"/>
      <c r="JW416"/>
      <c r="JX416"/>
      <c r="JY416"/>
      <c r="JZ416"/>
      <c r="KA416"/>
      <c r="KB416"/>
      <c r="KC416"/>
      <c r="KD416"/>
      <c r="KE416"/>
      <c r="KF416"/>
      <c r="KG416"/>
      <c r="KH416"/>
      <c r="KI416"/>
      <c r="KJ416"/>
      <c r="KK416"/>
      <c r="KL416"/>
      <c r="KM416"/>
      <c r="KN416"/>
      <c r="KO416"/>
      <c r="KP416"/>
      <c r="KQ416"/>
      <c r="KR416"/>
      <c r="KS416"/>
    </row>
    <row r="417" spans="2:305" hidden="1" x14ac:dyDescent="0.35">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c r="AS417"/>
      <c r="AT417"/>
      <c r="AU417"/>
      <c r="AV417"/>
      <c r="AW417"/>
      <c r="AX417"/>
      <c r="AY417"/>
      <c r="AZ417"/>
      <c r="BA417"/>
      <c r="BB417"/>
      <c r="BC417"/>
      <c r="BD417"/>
      <c r="BE417"/>
      <c r="BF417"/>
      <c r="BG417"/>
      <c r="BH417"/>
      <c r="BI417"/>
      <c r="BJ417"/>
      <c r="BK417"/>
      <c r="BL417"/>
      <c r="BM417"/>
      <c r="BN417"/>
      <c r="BO417"/>
      <c r="BP417"/>
      <c r="BQ417"/>
      <c r="BR417"/>
      <c r="BS417"/>
      <c r="BT417"/>
      <c r="BU417"/>
      <c r="BV417"/>
      <c r="BW417"/>
      <c r="BX417"/>
      <c r="BY417"/>
      <c r="BZ417"/>
      <c r="CA417"/>
      <c r="CB417"/>
      <c r="CC417"/>
      <c r="CD417"/>
      <c r="CE417"/>
      <c r="CF417"/>
      <c r="CG417"/>
      <c r="CH417"/>
      <c r="CI417"/>
      <c r="CJ417"/>
      <c r="CK417"/>
      <c r="CL417"/>
      <c r="CM417"/>
      <c r="CN417"/>
      <c r="CO417"/>
      <c r="CP417"/>
      <c r="CQ417"/>
      <c r="CR417"/>
      <c r="CS417"/>
      <c r="CT417"/>
      <c r="CU417"/>
      <c r="CV417"/>
      <c r="CW417"/>
      <c r="CX417"/>
      <c r="CY417"/>
      <c r="CZ417"/>
      <c r="DA417"/>
      <c r="DB417"/>
      <c r="DC417"/>
      <c r="DD417"/>
      <c r="DE417"/>
      <c r="DF417"/>
      <c r="DG417"/>
      <c r="DH417"/>
      <c r="DI417"/>
      <c r="DJ417"/>
      <c r="DK417"/>
      <c r="DL417"/>
      <c r="DM417"/>
      <c r="DN417"/>
      <c r="DO417"/>
      <c r="DP417"/>
      <c r="DQ417"/>
      <c r="DR417"/>
      <c r="DS417"/>
      <c r="DT417"/>
      <c r="DU417"/>
      <c r="DV417"/>
      <c r="DW417"/>
      <c r="DX417"/>
      <c r="DY417"/>
      <c r="DZ417"/>
      <c r="EA417"/>
      <c r="EB417"/>
      <c r="EC417"/>
      <c r="ED417"/>
      <c r="EE417"/>
      <c r="EF417"/>
      <c r="EG417"/>
      <c r="EH417"/>
      <c r="EI417"/>
      <c r="EJ417"/>
      <c r="EK417"/>
      <c r="EL417"/>
      <c r="EM417"/>
      <c r="EN417"/>
      <c r="EO417"/>
      <c r="EP417"/>
      <c r="EQ417"/>
      <c r="ER417"/>
      <c r="ES417"/>
      <c r="ET417"/>
      <c r="EU417"/>
      <c r="EV417"/>
      <c r="EW417"/>
      <c r="EX417"/>
      <c r="EY417"/>
      <c r="EZ417"/>
      <c r="FA417"/>
      <c r="FB417"/>
      <c r="FC417"/>
      <c r="FD417"/>
      <c r="FE417"/>
      <c r="FF417"/>
      <c r="FG417"/>
      <c r="FH417"/>
      <c r="FI417"/>
      <c r="FJ417"/>
      <c r="FK417"/>
      <c r="FL417"/>
      <c r="FM417"/>
      <c r="FN417"/>
      <c r="FO417"/>
      <c r="FP417"/>
      <c r="FQ417"/>
      <c r="FR417"/>
      <c r="FS417"/>
      <c r="FT417"/>
      <c r="FU417"/>
      <c r="FV417"/>
      <c r="FW417"/>
      <c r="FX417"/>
      <c r="FY417"/>
      <c r="FZ417"/>
      <c r="GA417"/>
      <c r="GB417"/>
      <c r="GC417"/>
      <c r="GD417"/>
      <c r="GE417"/>
      <c r="GF417"/>
      <c r="GG417"/>
      <c r="GH417"/>
      <c r="GI417"/>
      <c r="GJ417"/>
      <c r="GK417"/>
      <c r="GL417"/>
      <c r="GM417"/>
      <c r="GN417"/>
      <c r="GO417"/>
      <c r="GP417"/>
      <c r="GQ417"/>
      <c r="GR417"/>
      <c r="GS417"/>
      <c r="GT417"/>
      <c r="GU417"/>
      <c r="GV417"/>
      <c r="GW417"/>
      <c r="GX417"/>
      <c r="GY417"/>
      <c r="GZ417"/>
      <c r="HA417"/>
      <c r="HB417"/>
      <c r="HC417"/>
      <c r="HD417"/>
      <c r="HE417"/>
      <c r="HF417"/>
      <c r="HG417"/>
      <c r="HH417"/>
      <c r="HI417"/>
      <c r="HJ417"/>
      <c r="HK417"/>
      <c r="HL417"/>
      <c r="HM417"/>
      <c r="HN417"/>
      <c r="HO417"/>
      <c r="HP417"/>
      <c r="HQ417"/>
      <c r="HR417"/>
      <c r="HS417"/>
      <c r="HT417"/>
      <c r="HU417"/>
      <c r="HV417"/>
      <c r="HW417"/>
      <c r="HX417"/>
      <c r="HY417"/>
      <c r="HZ417"/>
      <c r="IA417"/>
      <c r="IB417"/>
      <c r="IC417"/>
      <c r="ID417"/>
      <c r="IE417"/>
      <c r="IF417"/>
      <c r="IG417"/>
      <c r="IH417"/>
      <c r="II417"/>
      <c r="IJ417"/>
      <c r="IK417"/>
      <c r="IL417"/>
      <c r="IM417"/>
      <c r="IN417"/>
      <c r="IO417"/>
      <c r="IP417"/>
      <c r="IQ417"/>
      <c r="IR417"/>
      <c r="IS417"/>
      <c r="IT417"/>
      <c r="IU417"/>
      <c r="IV417"/>
      <c r="IW417"/>
      <c r="IX417"/>
      <c r="IY417"/>
      <c r="IZ417"/>
      <c r="JA417"/>
      <c r="JB417"/>
      <c r="JC417"/>
      <c r="JD417"/>
      <c r="JE417"/>
      <c r="JF417"/>
      <c r="JG417"/>
      <c r="JH417"/>
      <c r="JI417"/>
      <c r="JJ417"/>
      <c r="JK417"/>
      <c r="JL417"/>
      <c r="JM417"/>
      <c r="JN417"/>
      <c r="JO417"/>
      <c r="JP417"/>
      <c r="JQ417"/>
      <c r="JR417"/>
      <c r="JS417"/>
      <c r="JT417"/>
      <c r="JU417"/>
      <c r="JV417"/>
      <c r="JW417"/>
      <c r="JX417"/>
      <c r="JY417"/>
      <c r="JZ417"/>
      <c r="KA417"/>
      <c r="KB417"/>
      <c r="KC417"/>
      <c r="KD417"/>
      <c r="KE417"/>
      <c r="KF417"/>
      <c r="KG417"/>
      <c r="KH417"/>
      <c r="KI417"/>
      <c r="KJ417"/>
      <c r="KK417"/>
      <c r="KL417"/>
      <c r="KM417"/>
      <c r="KN417"/>
      <c r="KO417"/>
      <c r="KP417"/>
      <c r="KQ417"/>
      <c r="KR417"/>
      <c r="KS417"/>
    </row>
    <row r="418" spans="2:305" hidden="1" x14ac:dyDescent="0.35">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c r="AS418"/>
      <c r="AT418"/>
      <c r="AU418"/>
      <c r="AV418"/>
      <c r="AW418"/>
      <c r="AX418"/>
      <c r="AY418"/>
      <c r="AZ418"/>
      <c r="BA418"/>
      <c r="BB418"/>
      <c r="BC418"/>
      <c r="BD418"/>
      <c r="BE418"/>
      <c r="BF418"/>
      <c r="BG418"/>
      <c r="BH418"/>
      <c r="BI418"/>
      <c r="BJ418"/>
      <c r="BK418"/>
      <c r="BL418"/>
      <c r="BM418"/>
      <c r="BN418"/>
      <c r="BO418"/>
      <c r="BP418"/>
      <c r="BQ418"/>
      <c r="BR418"/>
      <c r="BS418"/>
      <c r="BT418"/>
      <c r="BU418"/>
      <c r="BV418"/>
      <c r="BW418"/>
      <c r="BX418"/>
      <c r="BY418"/>
      <c r="BZ418"/>
      <c r="CA418"/>
      <c r="CB418"/>
      <c r="CC418"/>
      <c r="CD418"/>
      <c r="CE418"/>
      <c r="CF418"/>
      <c r="CG418"/>
      <c r="CH418"/>
      <c r="CI418"/>
      <c r="CJ418"/>
      <c r="CK418"/>
      <c r="CL418"/>
      <c r="CM418"/>
      <c r="CN418"/>
      <c r="CO418"/>
      <c r="CP418"/>
      <c r="CQ418"/>
      <c r="CR418"/>
      <c r="CS418"/>
      <c r="CT418"/>
      <c r="CU418"/>
      <c r="CV418"/>
      <c r="CW418"/>
      <c r="CX418"/>
      <c r="CY418"/>
      <c r="CZ418"/>
      <c r="DA418"/>
      <c r="DB418"/>
      <c r="DC418"/>
      <c r="DD418"/>
      <c r="DE418"/>
      <c r="DF418"/>
      <c r="DG418"/>
      <c r="DH418"/>
      <c r="DI418"/>
      <c r="DJ418"/>
      <c r="DK418"/>
      <c r="DL418"/>
      <c r="DM418"/>
      <c r="DN418"/>
      <c r="DO418"/>
      <c r="DP418"/>
      <c r="DQ418"/>
      <c r="DR418"/>
      <c r="DS418"/>
      <c r="DT418"/>
      <c r="DU418"/>
      <c r="DV418"/>
      <c r="DW418"/>
      <c r="DX418"/>
      <c r="DY418"/>
      <c r="DZ418"/>
      <c r="EA418"/>
      <c r="EB418"/>
      <c r="EC418"/>
      <c r="ED418"/>
      <c r="EE418"/>
      <c r="EF418"/>
      <c r="EG418"/>
      <c r="EH418"/>
      <c r="EI418"/>
      <c r="EJ418"/>
      <c r="EK418"/>
      <c r="EL418"/>
      <c r="EM418"/>
      <c r="EN418"/>
      <c r="EO418"/>
      <c r="EP418"/>
      <c r="EQ418"/>
      <c r="ER418"/>
      <c r="ES418"/>
      <c r="ET418"/>
      <c r="EU418"/>
      <c r="EV418"/>
      <c r="EW418"/>
      <c r="EX418"/>
      <c r="EY418"/>
      <c r="EZ418"/>
      <c r="FA418"/>
      <c r="FB418"/>
      <c r="FC418"/>
      <c r="FD418"/>
      <c r="FE418"/>
      <c r="FF418"/>
      <c r="FG418"/>
      <c r="FH418"/>
      <c r="FI418"/>
      <c r="FJ418"/>
      <c r="FK418"/>
      <c r="FL418"/>
      <c r="FM418"/>
      <c r="FN418"/>
      <c r="FO418"/>
      <c r="FP418"/>
      <c r="FQ418"/>
      <c r="FR418"/>
      <c r="FS418"/>
      <c r="FT418"/>
      <c r="FU418"/>
      <c r="FV418"/>
      <c r="FW418"/>
      <c r="FX418"/>
      <c r="FY418"/>
      <c r="FZ418"/>
      <c r="GA418"/>
      <c r="GB418"/>
      <c r="GC418"/>
      <c r="GD418"/>
      <c r="GE418"/>
      <c r="GF418"/>
      <c r="GG418"/>
      <c r="GH418"/>
      <c r="GI418"/>
      <c r="GJ418"/>
      <c r="GK418"/>
      <c r="GL418"/>
      <c r="GM418"/>
      <c r="GN418"/>
      <c r="GO418"/>
      <c r="GP418"/>
      <c r="GQ418"/>
      <c r="GR418"/>
      <c r="GS418"/>
      <c r="GT418"/>
      <c r="GU418"/>
      <c r="GV418"/>
      <c r="GW418"/>
      <c r="GX418"/>
      <c r="GY418"/>
      <c r="GZ418"/>
      <c r="HA418"/>
      <c r="HB418"/>
      <c r="HC418"/>
      <c r="HD418"/>
      <c r="HE418"/>
      <c r="HF418"/>
      <c r="HG418"/>
      <c r="HH418"/>
      <c r="HI418"/>
      <c r="HJ418"/>
      <c r="HK418"/>
      <c r="HL418"/>
      <c r="HM418"/>
      <c r="HN418"/>
      <c r="HO418"/>
      <c r="HP418"/>
      <c r="HQ418"/>
      <c r="HR418"/>
      <c r="HS418"/>
      <c r="HT418"/>
      <c r="HU418"/>
      <c r="HV418"/>
      <c r="HW418"/>
      <c r="HX418"/>
      <c r="HY418"/>
      <c r="HZ418"/>
      <c r="IA418"/>
      <c r="IB418"/>
      <c r="IC418"/>
      <c r="ID418"/>
      <c r="IE418"/>
      <c r="IF418"/>
      <c r="IG418"/>
      <c r="IH418"/>
      <c r="II418"/>
      <c r="IJ418"/>
      <c r="IK418"/>
      <c r="IL418"/>
      <c r="IM418"/>
      <c r="IN418"/>
      <c r="IO418"/>
      <c r="IP418"/>
      <c r="IQ418"/>
      <c r="IR418"/>
      <c r="IS418"/>
      <c r="IT418"/>
      <c r="IU418"/>
      <c r="IV418"/>
      <c r="IW418"/>
      <c r="IX418"/>
      <c r="IY418"/>
      <c r="IZ418"/>
      <c r="JA418"/>
      <c r="JB418"/>
      <c r="JC418"/>
      <c r="JD418"/>
      <c r="JE418"/>
      <c r="JF418"/>
      <c r="JG418"/>
      <c r="JH418"/>
      <c r="JI418"/>
      <c r="JJ418"/>
      <c r="JK418"/>
      <c r="JL418"/>
      <c r="JM418"/>
      <c r="JN418"/>
      <c r="JO418"/>
      <c r="JP418"/>
      <c r="JQ418"/>
      <c r="JR418"/>
      <c r="JS418"/>
      <c r="JT418"/>
      <c r="JU418"/>
      <c r="JV418"/>
      <c r="JW418"/>
      <c r="JX418"/>
      <c r="JY418"/>
      <c r="JZ418"/>
      <c r="KA418"/>
      <c r="KB418"/>
      <c r="KC418"/>
      <c r="KD418"/>
      <c r="KE418"/>
      <c r="KF418"/>
      <c r="KG418"/>
      <c r="KH418"/>
      <c r="KI418"/>
      <c r="KJ418"/>
      <c r="KK418"/>
      <c r="KL418"/>
      <c r="KM418"/>
      <c r="KN418"/>
      <c r="KO418"/>
      <c r="KP418"/>
      <c r="KQ418"/>
      <c r="KR418"/>
      <c r="KS418"/>
    </row>
    <row r="419" spans="2:305" hidden="1" x14ac:dyDescent="0.35">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c r="AS419"/>
      <c r="AT419"/>
      <c r="AU419"/>
      <c r="AV419"/>
      <c r="AW419"/>
      <c r="AX419"/>
      <c r="AY419"/>
      <c r="AZ419"/>
      <c r="BA419"/>
      <c r="BB419"/>
      <c r="BC419"/>
      <c r="BD419"/>
      <c r="BE419"/>
      <c r="BF419"/>
      <c r="BG419"/>
      <c r="BH419"/>
      <c r="BI419"/>
      <c r="BJ419"/>
      <c r="BK419"/>
      <c r="BL419"/>
      <c r="BM419"/>
      <c r="BN419"/>
      <c r="BO419"/>
      <c r="BP419"/>
      <c r="BQ419"/>
      <c r="BR419"/>
      <c r="BS419"/>
      <c r="BT419"/>
      <c r="BU419"/>
      <c r="BV419"/>
      <c r="BW419"/>
      <c r="BX419"/>
      <c r="BY419"/>
      <c r="BZ419"/>
      <c r="CA419"/>
      <c r="CB419"/>
      <c r="CC419"/>
      <c r="CD419"/>
      <c r="CE419"/>
      <c r="CF419"/>
      <c r="CG419"/>
      <c r="CH419"/>
      <c r="CI419"/>
      <c r="CJ419"/>
      <c r="CK419"/>
      <c r="CL419"/>
      <c r="CM419"/>
      <c r="CN419"/>
      <c r="CO419"/>
      <c r="CP419"/>
      <c r="CQ419"/>
      <c r="CR419"/>
      <c r="CS419"/>
      <c r="CT419"/>
      <c r="CU419"/>
      <c r="CV419"/>
      <c r="CW419"/>
      <c r="CX419"/>
      <c r="CY419"/>
      <c r="CZ419"/>
      <c r="DA419"/>
      <c r="DB419"/>
      <c r="DC419"/>
      <c r="DD419"/>
      <c r="DE419"/>
      <c r="DF419"/>
      <c r="DG419"/>
      <c r="DH419"/>
      <c r="DI419"/>
      <c r="DJ419"/>
      <c r="DK419"/>
      <c r="DL419"/>
      <c r="DM419"/>
      <c r="DN419"/>
      <c r="DO419"/>
      <c r="DP419"/>
      <c r="DQ419"/>
      <c r="DR419"/>
      <c r="DS419"/>
      <c r="DT419"/>
      <c r="DU419"/>
      <c r="DV419"/>
      <c r="DW419"/>
      <c r="DX419"/>
      <c r="DY419"/>
      <c r="DZ419"/>
      <c r="EA419"/>
      <c r="EB419"/>
      <c r="EC419"/>
      <c r="ED419"/>
      <c r="EE419"/>
      <c r="EF419"/>
      <c r="EG419"/>
      <c r="EH419"/>
      <c r="EI419"/>
      <c r="EJ419"/>
      <c r="EK419"/>
      <c r="EL419"/>
      <c r="EM419"/>
      <c r="EN419"/>
      <c r="EO419"/>
      <c r="EP419"/>
      <c r="EQ419"/>
      <c r="ER419"/>
      <c r="ES419"/>
      <c r="ET419"/>
      <c r="EU419"/>
      <c r="EV419"/>
      <c r="EW419"/>
      <c r="EX419"/>
      <c r="EY419"/>
      <c r="EZ419"/>
      <c r="FA419"/>
      <c r="FB419"/>
      <c r="FC419"/>
      <c r="FD419"/>
      <c r="FE419"/>
      <c r="FF419"/>
      <c r="FG419"/>
      <c r="FH419"/>
      <c r="FI419"/>
      <c r="FJ419"/>
      <c r="FK419"/>
      <c r="FL419"/>
      <c r="FM419"/>
      <c r="FN419"/>
      <c r="FO419"/>
      <c r="FP419"/>
      <c r="FQ419"/>
      <c r="FR419"/>
      <c r="FS419"/>
      <c r="FT419"/>
      <c r="FU419"/>
      <c r="FV419"/>
      <c r="FW419"/>
      <c r="FX419"/>
      <c r="FY419"/>
      <c r="FZ419"/>
      <c r="GA419"/>
      <c r="GB419"/>
      <c r="GC419"/>
      <c r="GD419"/>
      <c r="GE419"/>
      <c r="GF419"/>
      <c r="GG419"/>
      <c r="GH419"/>
      <c r="GI419"/>
      <c r="GJ419"/>
      <c r="GK419"/>
      <c r="GL419"/>
      <c r="GM419"/>
      <c r="GN419"/>
      <c r="GO419"/>
      <c r="GP419"/>
      <c r="GQ419"/>
      <c r="GR419"/>
      <c r="GS419"/>
      <c r="GT419"/>
      <c r="GU419"/>
      <c r="GV419"/>
      <c r="GW419"/>
      <c r="GX419"/>
      <c r="GY419"/>
      <c r="GZ419"/>
      <c r="HA419"/>
      <c r="HB419"/>
      <c r="HC419"/>
      <c r="HD419"/>
      <c r="HE419"/>
      <c r="HF419"/>
      <c r="HG419"/>
      <c r="HH419"/>
      <c r="HI419"/>
      <c r="HJ419"/>
      <c r="HK419"/>
      <c r="HL419"/>
      <c r="HM419"/>
      <c r="HN419"/>
      <c r="HO419"/>
      <c r="HP419"/>
      <c r="HQ419"/>
      <c r="HR419"/>
      <c r="HS419"/>
      <c r="HT419"/>
      <c r="HU419"/>
      <c r="HV419"/>
      <c r="HW419"/>
      <c r="HX419"/>
      <c r="HY419"/>
      <c r="HZ419"/>
      <c r="IA419"/>
      <c r="IB419"/>
      <c r="IC419"/>
      <c r="ID419"/>
      <c r="IE419"/>
      <c r="IF419"/>
      <c r="IG419"/>
      <c r="IH419"/>
      <c r="II419"/>
      <c r="IJ419"/>
      <c r="IK419"/>
      <c r="IL419"/>
      <c r="IM419"/>
      <c r="IN419"/>
      <c r="IO419"/>
      <c r="IP419"/>
      <c r="IQ419"/>
      <c r="IR419"/>
      <c r="IS419"/>
      <c r="IT419"/>
      <c r="IU419"/>
      <c r="IV419"/>
      <c r="IW419"/>
      <c r="IX419"/>
      <c r="IY419"/>
      <c r="IZ419"/>
      <c r="JA419"/>
      <c r="JB419"/>
      <c r="JC419"/>
      <c r="JD419"/>
      <c r="JE419"/>
      <c r="JF419"/>
      <c r="JG419"/>
      <c r="JH419"/>
      <c r="JI419"/>
      <c r="JJ419"/>
      <c r="JK419"/>
      <c r="JL419"/>
      <c r="JM419"/>
      <c r="JN419"/>
      <c r="JO419"/>
      <c r="JP419"/>
      <c r="JQ419"/>
      <c r="JR419"/>
      <c r="JS419"/>
      <c r="JT419"/>
      <c r="JU419"/>
      <c r="JV419"/>
      <c r="JW419"/>
      <c r="JX419"/>
      <c r="JY419"/>
      <c r="JZ419"/>
      <c r="KA419"/>
      <c r="KB419"/>
      <c r="KC419"/>
      <c r="KD419"/>
      <c r="KE419"/>
      <c r="KF419"/>
      <c r="KG419"/>
      <c r="KH419"/>
      <c r="KI419"/>
      <c r="KJ419"/>
      <c r="KK419"/>
      <c r="KL419"/>
      <c r="KM419"/>
      <c r="KN419"/>
      <c r="KO419"/>
      <c r="KP419"/>
      <c r="KQ419"/>
      <c r="KR419"/>
      <c r="KS419"/>
    </row>
    <row r="420" spans="2:305" hidden="1" x14ac:dyDescent="0.35">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c r="AS420"/>
      <c r="AT420"/>
      <c r="AU420"/>
      <c r="AV420"/>
      <c r="AW420"/>
      <c r="AX420"/>
      <c r="AY420"/>
      <c r="AZ420"/>
      <c r="BA420"/>
      <c r="BB420"/>
      <c r="BC420"/>
      <c r="BD420"/>
      <c r="BE420"/>
      <c r="BF420"/>
      <c r="BG420"/>
      <c r="BH420"/>
      <c r="BI420"/>
      <c r="BJ420"/>
      <c r="BK420"/>
      <c r="BL420"/>
      <c r="BM420"/>
      <c r="BN420"/>
      <c r="BO420"/>
      <c r="BP420"/>
      <c r="BQ420"/>
      <c r="BR420"/>
      <c r="BS420"/>
      <c r="BT420"/>
      <c r="BU420"/>
      <c r="BV420"/>
      <c r="BW420"/>
      <c r="BX420"/>
      <c r="BY420"/>
      <c r="BZ420"/>
      <c r="CA420"/>
      <c r="CB420"/>
      <c r="CC420"/>
      <c r="CD420"/>
      <c r="CE420"/>
      <c r="CF420"/>
      <c r="CG420"/>
      <c r="CH420"/>
      <c r="CI420"/>
      <c r="CJ420"/>
      <c r="CK420"/>
      <c r="CL420"/>
      <c r="CM420"/>
      <c r="CN420"/>
      <c r="CO420"/>
      <c r="CP420"/>
      <c r="CQ420"/>
      <c r="CR420"/>
      <c r="CS420"/>
      <c r="CT420"/>
      <c r="CU420"/>
      <c r="CV420"/>
      <c r="CW420"/>
      <c r="CX420"/>
      <c r="CY420"/>
      <c r="CZ420"/>
      <c r="DA420"/>
      <c r="DB420"/>
      <c r="DC420"/>
      <c r="DD420"/>
      <c r="DE420"/>
      <c r="DF420"/>
      <c r="DG420"/>
      <c r="DH420"/>
      <c r="DI420"/>
      <c r="DJ420"/>
      <c r="DK420"/>
      <c r="DL420"/>
      <c r="DM420"/>
      <c r="DN420"/>
      <c r="DO420"/>
      <c r="DP420"/>
      <c r="DQ420"/>
      <c r="DR420"/>
      <c r="DS420"/>
      <c r="DT420"/>
      <c r="DU420"/>
      <c r="DV420"/>
      <c r="DW420"/>
      <c r="DX420"/>
      <c r="DY420"/>
      <c r="DZ420"/>
      <c r="EA420"/>
      <c r="EB420"/>
      <c r="EC420"/>
      <c r="ED420"/>
      <c r="EE420"/>
      <c r="EF420"/>
      <c r="EG420"/>
      <c r="EH420"/>
      <c r="EI420"/>
      <c r="EJ420"/>
      <c r="EK420"/>
      <c r="EL420"/>
      <c r="EM420"/>
      <c r="EN420"/>
      <c r="EO420"/>
      <c r="EP420"/>
      <c r="EQ420"/>
      <c r="ER420"/>
      <c r="ES420"/>
      <c r="ET420"/>
      <c r="EU420"/>
      <c r="EV420"/>
      <c r="EW420"/>
      <c r="EX420"/>
      <c r="EY420"/>
      <c r="EZ420"/>
      <c r="FA420"/>
      <c r="FB420"/>
      <c r="FC420"/>
      <c r="FD420"/>
      <c r="FE420"/>
      <c r="FF420"/>
      <c r="FG420"/>
      <c r="FH420"/>
      <c r="FI420"/>
      <c r="FJ420"/>
      <c r="FK420"/>
      <c r="FL420"/>
      <c r="FM420"/>
      <c r="FN420"/>
      <c r="FO420"/>
      <c r="FP420"/>
      <c r="FQ420"/>
      <c r="FR420"/>
      <c r="FS420"/>
      <c r="FT420"/>
      <c r="FU420"/>
      <c r="FV420"/>
      <c r="FW420"/>
      <c r="FX420"/>
      <c r="FY420"/>
      <c r="FZ420"/>
      <c r="GA420"/>
      <c r="GB420"/>
      <c r="GC420"/>
      <c r="GD420"/>
      <c r="GE420"/>
      <c r="GF420"/>
      <c r="GG420"/>
      <c r="GH420"/>
      <c r="GI420"/>
      <c r="GJ420"/>
      <c r="GK420"/>
      <c r="GL420"/>
      <c r="GM420"/>
      <c r="GN420"/>
      <c r="GO420"/>
      <c r="GP420"/>
      <c r="GQ420"/>
      <c r="GR420"/>
      <c r="GS420"/>
      <c r="GT420"/>
      <c r="GU420"/>
      <c r="GV420"/>
      <c r="GW420"/>
      <c r="GX420"/>
      <c r="GY420"/>
      <c r="GZ420"/>
      <c r="HA420"/>
      <c r="HB420"/>
      <c r="HC420"/>
      <c r="HD420"/>
      <c r="HE420"/>
      <c r="HF420"/>
      <c r="HG420"/>
      <c r="HH420"/>
      <c r="HI420"/>
      <c r="HJ420"/>
      <c r="HK420"/>
      <c r="HL420"/>
      <c r="HM420"/>
      <c r="HN420"/>
      <c r="HO420"/>
      <c r="HP420"/>
      <c r="HQ420"/>
      <c r="HR420"/>
      <c r="HS420"/>
      <c r="HT420"/>
      <c r="HU420"/>
      <c r="HV420"/>
      <c r="HW420"/>
      <c r="HX420"/>
      <c r="HY420"/>
      <c r="HZ420"/>
      <c r="IA420"/>
      <c r="IB420"/>
      <c r="IC420"/>
      <c r="ID420"/>
      <c r="IE420"/>
      <c r="IF420"/>
      <c r="IG420"/>
      <c r="IH420"/>
      <c r="II420"/>
      <c r="IJ420"/>
      <c r="IK420"/>
      <c r="IL420"/>
      <c r="IM420"/>
      <c r="IN420"/>
      <c r="IO420"/>
      <c r="IP420"/>
      <c r="IQ420"/>
      <c r="IR420"/>
      <c r="IS420"/>
      <c r="IT420"/>
      <c r="IU420"/>
      <c r="IV420"/>
      <c r="IW420"/>
      <c r="IX420"/>
      <c r="IY420"/>
      <c r="IZ420"/>
      <c r="JA420"/>
      <c r="JB420"/>
      <c r="JC420"/>
      <c r="JD420"/>
      <c r="JE420"/>
      <c r="JF420"/>
      <c r="JG420"/>
      <c r="JH420"/>
      <c r="JI420"/>
      <c r="JJ420"/>
      <c r="JK420"/>
      <c r="JL420"/>
      <c r="JM420"/>
      <c r="JN420"/>
      <c r="JO420"/>
      <c r="JP420"/>
      <c r="JQ420"/>
      <c r="JR420"/>
      <c r="JS420"/>
      <c r="JT420"/>
      <c r="JU420"/>
      <c r="JV420"/>
      <c r="JW420"/>
      <c r="JX420"/>
      <c r="JY420"/>
      <c r="JZ420"/>
      <c r="KA420"/>
      <c r="KB420"/>
      <c r="KC420"/>
      <c r="KD420"/>
      <c r="KE420"/>
      <c r="KF420"/>
      <c r="KG420"/>
      <c r="KH420"/>
      <c r="KI420"/>
      <c r="KJ420"/>
      <c r="KK420"/>
      <c r="KL420"/>
      <c r="KM420"/>
      <c r="KN420"/>
      <c r="KO420"/>
      <c r="KP420"/>
      <c r="KQ420"/>
      <c r="KR420"/>
      <c r="KS420"/>
    </row>
    <row r="421" spans="2:305" hidden="1" x14ac:dyDescent="0.35">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c r="AS421"/>
      <c r="AT421"/>
      <c r="AU421"/>
      <c r="AV421"/>
      <c r="AW421"/>
      <c r="AX421"/>
      <c r="AY421"/>
      <c r="AZ421"/>
      <c r="BA421"/>
      <c r="BB421"/>
      <c r="BC421"/>
      <c r="BD421"/>
      <c r="BE421"/>
      <c r="BF421"/>
      <c r="BG421"/>
      <c r="BH421"/>
      <c r="BI421"/>
      <c r="BJ421"/>
      <c r="BK421"/>
      <c r="BL421"/>
      <c r="BM421"/>
      <c r="BN421"/>
      <c r="BO421"/>
      <c r="BP421"/>
      <c r="BQ421"/>
      <c r="BR421"/>
      <c r="BS421"/>
      <c r="BT421"/>
      <c r="BU421"/>
      <c r="BV421"/>
      <c r="BW421"/>
      <c r="BX421"/>
      <c r="BY421"/>
      <c r="BZ421"/>
      <c r="CA421"/>
      <c r="CB421"/>
      <c r="CC421"/>
      <c r="CD421"/>
      <c r="CE421"/>
      <c r="CF421"/>
      <c r="CG421"/>
      <c r="CH421"/>
      <c r="CI421"/>
      <c r="CJ421"/>
      <c r="CK421"/>
      <c r="CL421"/>
      <c r="CM421"/>
      <c r="CN421"/>
      <c r="CO421"/>
      <c r="CP421"/>
      <c r="CQ421"/>
      <c r="CR421"/>
      <c r="CS421"/>
      <c r="CT421"/>
      <c r="CU421"/>
      <c r="CV421"/>
      <c r="CW421"/>
      <c r="CX421"/>
      <c r="CY421"/>
      <c r="CZ421"/>
      <c r="DA421"/>
      <c r="DB421"/>
      <c r="DC421"/>
      <c r="DD421"/>
      <c r="DE421"/>
      <c r="DF421"/>
      <c r="DG421"/>
      <c r="DH421"/>
      <c r="DI421"/>
      <c r="DJ421"/>
      <c r="DK421"/>
      <c r="DL421"/>
      <c r="DM421"/>
      <c r="DN421"/>
      <c r="DO421"/>
      <c r="DP421"/>
      <c r="DQ421"/>
      <c r="DR421"/>
      <c r="DS421"/>
      <c r="DT421"/>
      <c r="DU421"/>
      <c r="DV421"/>
      <c r="DW421"/>
      <c r="DX421"/>
      <c r="DY421"/>
      <c r="DZ421"/>
      <c r="EA421"/>
      <c r="EB421"/>
      <c r="EC421"/>
      <c r="ED421"/>
      <c r="EE421"/>
      <c r="EF421"/>
      <c r="EG421"/>
      <c r="EH421"/>
      <c r="EI421"/>
      <c r="EJ421"/>
      <c r="EK421"/>
      <c r="EL421"/>
      <c r="EM421"/>
      <c r="EN421"/>
      <c r="EO421"/>
      <c r="EP421"/>
      <c r="EQ421"/>
      <c r="ER421"/>
      <c r="ES421"/>
      <c r="ET421"/>
      <c r="EU421"/>
      <c r="EV421"/>
      <c r="EW421"/>
      <c r="EX421"/>
      <c r="EY421"/>
      <c r="EZ421"/>
      <c r="FA421"/>
      <c r="FB421"/>
      <c r="FC421"/>
      <c r="FD421"/>
      <c r="FE421"/>
      <c r="FF421"/>
      <c r="FG421"/>
      <c r="FH421"/>
      <c r="FI421"/>
      <c r="FJ421"/>
      <c r="FK421"/>
      <c r="FL421"/>
      <c r="FM421"/>
      <c r="FN421"/>
      <c r="FO421"/>
      <c r="FP421"/>
      <c r="FQ421"/>
      <c r="FR421"/>
      <c r="FS421"/>
      <c r="FT421"/>
      <c r="FU421"/>
      <c r="FV421"/>
      <c r="FW421"/>
      <c r="FX421"/>
      <c r="FY421"/>
      <c r="FZ421"/>
      <c r="GA421"/>
      <c r="GB421"/>
      <c r="GC421"/>
      <c r="GD421"/>
      <c r="GE421"/>
      <c r="GF421"/>
      <c r="GG421"/>
      <c r="GH421"/>
      <c r="GI421"/>
      <c r="GJ421"/>
      <c r="GK421"/>
      <c r="GL421"/>
      <c r="GM421"/>
      <c r="GN421"/>
      <c r="GO421"/>
      <c r="GP421"/>
      <c r="GQ421"/>
      <c r="GR421"/>
      <c r="GS421"/>
      <c r="GT421"/>
      <c r="GU421"/>
      <c r="GV421"/>
      <c r="GW421"/>
      <c r="GX421"/>
      <c r="GY421"/>
      <c r="GZ421"/>
      <c r="HA421"/>
      <c r="HB421"/>
      <c r="HC421"/>
      <c r="HD421"/>
      <c r="HE421"/>
      <c r="HF421"/>
      <c r="HG421"/>
      <c r="HH421"/>
      <c r="HI421"/>
      <c r="HJ421"/>
      <c r="HK421"/>
      <c r="HL421"/>
      <c r="HM421"/>
      <c r="HN421"/>
      <c r="HO421"/>
      <c r="HP421"/>
      <c r="HQ421"/>
      <c r="HR421"/>
      <c r="HS421"/>
      <c r="HT421"/>
      <c r="HU421"/>
      <c r="HV421"/>
      <c r="HW421"/>
      <c r="HX421"/>
      <c r="HY421"/>
      <c r="HZ421"/>
      <c r="IA421"/>
      <c r="IB421"/>
      <c r="IC421"/>
      <c r="ID421"/>
      <c r="IE421"/>
      <c r="IF421"/>
      <c r="IG421"/>
      <c r="IH421"/>
      <c r="II421"/>
      <c r="IJ421"/>
      <c r="IK421"/>
      <c r="IL421"/>
      <c r="IM421"/>
      <c r="IN421"/>
      <c r="IO421"/>
      <c r="IP421"/>
      <c r="IQ421"/>
      <c r="IR421"/>
      <c r="IS421"/>
      <c r="IT421"/>
      <c r="IU421"/>
      <c r="IV421"/>
      <c r="IW421"/>
      <c r="IX421"/>
      <c r="IY421"/>
      <c r="IZ421"/>
      <c r="JA421"/>
      <c r="JB421"/>
      <c r="JC421"/>
      <c r="JD421"/>
      <c r="JE421"/>
      <c r="JF421"/>
      <c r="JG421"/>
      <c r="JH421"/>
      <c r="JI421"/>
      <c r="JJ421"/>
      <c r="JK421"/>
      <c r="JL421"/>
      <c r="JM421"/>
      <c r="JN421"/>
      <c r="JO421"/>
      <c r="JP421"/>
      <c r="JQ421"/>
      <c r="JR421"/>
      <c r="JS421"/>
      <c r="JT421"/>
      <c r="JU421"/>
      <c r="JV421"/>
      <c r="JW421"/>
      <c r="JX421"/>
      <c r="JY421"/>
      <c r="JZ421"/>
      <c r="KA421"/>
      <c r="KB421"/>
      <c r="KC421"/>
      <c r="KD421"/>
      <c r="KE421"/>
      <c r="KF421"/>
      <c r="KG421"/>
      <c r="KH421"/>
      <c r="KI421"/>
      <c r="KJ421"/>
      <c r="KK421"/>
      <c r="KL421"/>
      <c r="KM421"/>
      <c r="KN421"/>
      <c r="KO421"/>
      <c r="KP421"/>
      <c r="KQ421"/>
      <c r="KR421"/>
      <c r="KS421"/>
    </row>
    <row r="422" spans="2:305" hidden="1" x14ac:dyDescent="0.35">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c r="AS422"/>
      <c r="AT422"/>
      <c r="AU422"/>
      <c r="AV422"/>
      <c r="AW422"/>
      <c r="AX422"/>
      <c r="AY422"/>
      <c r="AZ422"/>
      <c r="BA422"/>
      <c r="BB422"/>
      <c r="BC422"/>
      <c r="BD422"/>
      <c r="BE422"/>
      <c r="BF422"/>
      <c r="BG422"/>
      <c r="BH422"/>
      <c r="BI422"/>
      <c r="BJ422"/>
      <c r="BK422"/>
      <c r="BL422"/>
      <c r="BM422"/>
      <c r="BN422"/>
      <c r="BO422"/>
      <c r="BP422"/>
      <c r="BQ422"/>
      <c r="BR422"/>
      <c r="BS422"/>
      <c r="BT422"/>
      <c r="BU422"/>
      <c r="BV422"/>
      <c r="BW422"/>
      <c r="BX422"/>
      <c r="BY422"/>
      <c r="BZ422"/>
      <c r="CA422"/>
      <c r="CB422"/>
      <c r="CC422"/>
      <c r="CD422"/>
      <c r="CE422"/>
      <c r="CF422"/>
      <c r="CG422"/>
      <c r="CH422"/>
      <c r="CI422"/>
      <c r="CJ422"/>
      <c r="CK422"/>
      <c r="CL422"/>
      <c r="CM422"/>
      <c r="CN422"/>
      <c r="CO422"/>
      <c r="CP422"/>
      <c r="CQ422"/>
      <c r="CR422"/>
      <c r="CS422"/>
      <c r="CT422"/>
      <c r="CU422"/>
      <c r="CV422"/>
      <c r="CW422"/>
      <c r="CX422"/>
      <c r="CY422"/>
      <c r="CZ422"/>
      <c r="DA422"/>
      <c r="DB422"/>
      <c r="DC422"/>
      <c r="DD422"/>
      <c r="DE422"/>
      <c r="DF422"/>
      <c r="DG422"/>
      <c r="DH422"/>
      <c r="DI422"/>
      <c r="DJ422"/>
      <c r="DK422"/>
      <c r="DL422"/>
      <c r="DM422"/>
      <c r="DN422"/>
      <c r="DO422"/>
      <c r="DP422"/>
      <c r="DQ422"/>
      <c r="DR422"/>
      <c r="DS422"/>
      <c r="DT422"/>
      <c r="DU422"/>
      <c r="DV422"/>
      <c r="DW422"/>
      <c r="DX422"/>
      <c r="DY422"/>
      <c r="DZ422"/>
      <c r="EA422"/>
      <c r="EB422"/>
      <c r="EC422"/>
      <c r="ED422"/>
      <c r="EE422"/>
      <c r="EF422"/>
      <c r="EG422"/>
      <c r="EH422"/>
      <c r="EI422"/>
      <c r="EJ422"/>
      <c r="EK422"/>
      <c r="EL422"/>
      <c r="EM422"/>
      <c r="EN422"/>
      <c r="EO422"/>
      <c r="EP422"/>
      <c r="EQ422"/>
      <c r="ER422"/>
      <c r="ES422"/>
      <c r="ET422"/>
      <c r="EU422"/>
      <c r="EV422"/>
      <c r="EW422"/>
      <c r="EX422"/>
      <c r="EY422"/>
      <c r="EZ422"/>
      <c r="FA422"/>
      <c r="FB422"/>
      <c r="FC422"/>
      <c r="FD422"/>
      <c r="FE422"/>
      <c r="FF422"/>
      <c r="FG422"/>
      <c r="FH422"/>
      <c r="FI422"/>
      <c r="FJ422"/>
      <c r="FK422"/>
      <c r="FL422"/>
      <c r="FM422"/>
      <c r="FN422"/>
      <c r="FO422"/>
      <c r="FP422"/>
      <c r="FQ422"/>
      <c r="FR422"/>
      <c r="FS422"/>
      <c r="FT422"/>
      <c r="FU422"/>
      <c r="FV422"/>
      <c r="FW422"/>
      <c r="FX422"/>
      <c r="FY422"/>
      <c r="FZ422"/>
      <c r="GA422"/>
      <c r="GB422"/>
      <c r="GC422"/>
      <c r="GD422"/>
      <c r="GE422"/>
      <c r="GF422"/>
      <c r="GG422"/>
      <c r="GH422"/>
      <c r="GI422"/>
      <c r="GJ422"/>
      <c r="GK422"/>
      <c r="GL422"/>
      <c r="GM422"/>
      <c r="GN422"/>
      <c r="GO422"/>
      <c r="GP422"/>
      <c r="GQ422"/>
      <c r="GR422"/>
      <c r="GS422"/>
      <c r="GT422"/>
      <c r="GU422"/>
      <c r="GV422"/>
      <c r="GW422"/>
      <c r="GX422"/>
      <c r="GY422"/>
      <c r="GZ422"/>
      <c r="HA422"/>
      <c r="HB422"/>
      <c r="HC422"/>
      <c r="HD422"/>
      <c r="HE422"/>
      <c r="HF422"/>
      <c r="HG422"/>
      <c r="HH422"/>
      <c r="HI422"/>
      <c r="HJ422"/>
      <c r="HK422"/>
      <c r="HL422"/>
      <c r="HM422"/>
      <c r="HN422"/>
      <c r="HO422"/>
      <c r="HP422"/>
      <c r="HQ422"/>
      <c r="HR422"/>
      <c r="HS422"/>
      <c r="HT422"/>
      <c r="HU422"/>
      <c r="HV422"/>
      <c r="HW422"/>
      <c r="HX422"/>
      <c r="HY422"/>
      <c r="HZ422"/>
      <c r="IA422"/>
      <c r="IB422"/>
      <c r="IC422"/>
      <c r="ID422"/>
      <c r="IE422"/>
      <c r="IF422"/>
      <c r="IG422"/>
      <c r="IH422"/>
      <c r="II422"/>
      <c r="IJ422"/>
      <c r="IK422"/>
      <c r="IL422"/>
      <c r="IM422"/>
      <c r="IN422"/>
      <c r="IO422"/>
      <c r="IP422"/>
      <c r="IQ422"/>
      <c r="IR422"/>
      <c r="IS422"/>
      <c r="IT422"/>
      <c r="IU422"/>
      <c r="IV422"/>
      <c r="IW422"/>
      <c r="IX422"/>
      <c r="IY422"/>
      <c r="IZ422"/>
      <c r="JA422"/>
      <c r="JB422"/>
      <c r="JC422"/>
      <c r="JD422"/>
      <c r="JE422"/>
      <c r="JF422"/>
      <c r="JG422"/>
      <c r="JH422"/>
      <c r="JI422"/>
      <c r="JJ422"/>
      <c r="JK422"/>
      <c r="JL422"/>
      <c r="JM422"/>
      <c r="JN422"/>
      <c r="JO422"/>
      <c r="JP422"/>
      <c r="JQ422"/>
      <c r="JR422"/>
      <c r="JS422"/>
      <c r="JT422"/>
      <c r="JU422"/>
      <c r="JV422"/>
      <c r="JW422"/>
      <c r="JX422"/>
      <c r="JY422"/>
      <c r="JZ422"/>
      <c r="KA422"/>
      <c r="KB422"/>
      <c r="KC422"/>
      <c r="KD422"/>
      <c r="KE422"/>
      <c r="KF422"/>
      <c r="KG422"/>
      <c r="KH422"/>
      <c r="KI422"/>
      <c r="KJ422"/>
      <c r="KK422"/>
      <c r="KL422"/>
      <c r="KM422"/>
      <c r="KN422"/>
      <c r="KO422"/>
      <c r="KP422"/>
      <c r="KQ422"/>
      <c r="KR422"/>
      <c r="KS422"/>
    </row>
    <row r="423" spans="2:305" hidden="1" x14ac:dyDescent="0.35">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c r="AS423"/>
      <c r="AT423"/>
      <c r="AU423"/>
      <c r="AV423"/>
      <c r="AW423"/>
      <c r="AX423"/>
      <c r="AY423"/>
      <c r="AZ423"/>
      <c r="BA423"/>
      <c r="BB423"/>
      <c r="BC423"/>
      <c r="BD423"/>
      <c r="BE423"/>
      <c r="BF423"/>
      <c r="BG423"/>
      <c r="BH423"/>
      <c r="BI423"/>
      <c r="BJ423"/>
      <c r="BK423"/>
      <c r="BL423"/>
      <c r="BM423"/>
      <c r="BN423"/>
      <c r="BO423"/>
      <c r="BP423"/>
      <c r="BQ423"/>
      <c r="BR423"/>
      <c r="BS423"/>
      <c r="BT423"/>
      <c r="BU423"/>
      <c r="BV423"/>
      <c r="BW423"/>
      <c r="BX423"/>
      <c r="BY423"/>
      <c r="BZ423"/>
      <c r="CA423"/>
      <c r="CB423"/>
      <c r="CC423"/>
      <c r="CD423"/>
      <c r="CE423"/>
      <c r="CF423"/>
      <c r="CG423"/>
      <c r="CH423"/>
      <c r="CI423"/>
      <c r="CJ423"/>
      <c r="CK423"/>
      <c r="CL423"/>
      <c r="CM423"/>
      <c r="CN423"/>
      <c r="CO423"/>
      <c r="CP423"/>
      <c r="CQ423"/>
      <c r="CR423"/>
      <c r="CS423"/>
      <c r="CT423"/>
      <c r="CU423"/>
      <c r="CV423"/>
      <c r="CW423"/>
      <c r="CX423"/>
      <c r="CY423"/>
      <c r="CZ423"/>
      <c r="DA423"/>
      <c r="DB423"/>
      <c r="DC423"/>
      <c r="DD423"/>
      <c r="DE423"/>
      <c r="DF423"/>
      <c r="DG423"/>
      <c r="DH423"/>
      <c r="DI423"/>
      <c r="DJ423"/>
      <c r="DK423"/>
      <c r="DL423"/>
      <c r="DM423"/>
      <c r="DN423"/>
      <c r="DO423"/>
      <c r="DP423"/>
      <c r="DQ423"/>
      <c r="DR423"/>
      <c r="DS423"/>
      <c r="DT423"/>
      <c r="DU423"/>
      <c r="DV423"/>
      <c r="DW423"/>
      <c r="DX423"/>
      <c r="DY423"/>
      <c r="DZ423"/>
      <c r="EA423"/>
      <c r="EB423"/>
      <c r="EC423"/>
      <c r="ED423"/>
      <c r="EE423"/>
      <c r="EF423"/>
      <c r="EG423"/>
      <c r="EH423"/>
      <c r="EI423"/>
      <c r="EJ423"/>
      <c r="EK423"/>
      <c r="EL423"/>
      <c r="EM423"/>
      <c r="EN423"/>
      <c r="EO423"/>
      <c r="EP423"/>
      <c r="EQ423"/>
      <c r="ER423"/>
      <c r="ES423"/>
      <c r="ET423"/>
      <c r="EU423"/>
      <c r="EV423"/>
      <c r="EW423"/>
      <c r="EX423"/>
      <c r="EY423"/>
      <c r="EZ423"/>
      <c r="FA423"/>
      <c r="FB423"/>
      <c r="FC423"/>
      <c r="FD423"/>
      <c r="FE423"/>
      <c r="FF423"/>
      <c r="FG423"/>
      <c r="FH423"/>
      <c r="FI423"/>
      <c r="FJ423"/>
      <c r="FK423"/>
      <c r="FL423"/>
      <c r="FM423"/>
      <c r="FN423"/>
      <c r="FO423"/>
      <c r="FP423"/>
      <c r="FQ423"/>
      <c r="FR423"/>
      <c r="FS423"/>
      <c r="FT423"/>
      <c r="FU423"/>
      <c r="FV423"/>
      <c r="FW423"/>
      <c r="FX423"/>
      <c r="FY423"/>
      <c r="FZ423"/>
      <c r="GA423"/>
      <c r="GB423"/>
      <c r="GC423"/>
      <c r="GD423"/>
      <c r="GE423"/>
      <c r="GF423"/>
      <c r="GG423"/>
      <c r="GH423"/>
      <c r="GI423"/>
      <c r="GJ423"/>
      <c r="GK423"/>
      <c r="GL423"/>
      <c r="GM423"/>
      <c r="GN423"/>
      <c r="GO423"/>
      <c r="GP423"/>
      <c r="GQ423"/>
      <c r="GR423"/>
      <c r="GS423"/>
      <c r="GT423"/>
      <c r="GU423"/>
      <c r="GV423"/>
      <c r="GW423"/>
      <c r="GX423"/>
      <c r="GY423"/>
      <c r="GZ423"/>
      <c r="HA423"/>
      <c r="HB423"/>
      <c r="HC423"/>
      <c r="HD423"/>
      <c r="HE423"/>
      <c r="HF423"/>
      <c r="HG423"/>
      <c r="HH423"/>
      <c r="HI423"/>
      <c r="HJ423"/>
      <c r="HK423"/>
      <c r="HL423"/>
      <c r="HM423"/>
      <c r="HN423"/>
      <c r="HO423"/>
      <c r="HP423"/>
      <c r="HQ423"/>
      <c r="HR423"/>
      <c r="HS423"/>
      <c r="HT423"/>
      <c r="HU423"/>
      <c r="HV423"/>
      <c r="HW423"/>
      <c r="HX423"/>
      <c r="HY423"/>
      <c r="HZ423"/>
      <c r="IA423"/>
      <c r="IB423"/>
      <c r="IC423"/>
      <c r="ID423"/>
      <c r="IE423"/>
      <c r="IF423"/>
      <c r="IG423"/>
      <c r="IH423"/>
      <c r="II423"/>
      <c r="IJ423"/>
      <c r="IK423"/>
      <c r="IL423"/>
      <c r="IM423"/>
      <c r="IN423"/>
      <c r="IO423"/>
      <c r="IP423"/>
      <c r="IQ423"/>
      <c r="IR423"/>
      <c r="IS423"/>
      <c r="IT423"/>
      <c r="IU423"/>
      <c r="IV423"/>
      <c r="IW423"/>
      <c r="IX423"/>
      <c r="IY423"/>
      <c r="IZ423"/>
      <c r="JA423"/>
      <c r="JB423"/>
      <c r="JC423"/>
      <c r="JD423"/>
      <c r="JE423"/>
      <c r="JF423"/>
      <c r="JG423"/>
      <c r="JH423"/>
      <c r="JI423"/>
      <c r="JJ423"/>
      <c r="JK423"/>
      <c r="JL423"/>
      <c r="JM423"/>
      <c r="JN423"/>
      <c r="JO423"/>
      <c r="JP423"/>
      <c r="JQ423"/>
      <c r="JR423"/>
      <c r="JS423"/>
      <c r="JT423"/>
      <c r="JU423"/>
      <c r="JV423"/>
      <c r="JW423"/>
      <c r="JX423"/>
      <c r="JY423"/>
      <c r="JZ423"/>
      <c r="KA423"/>
      <c r="KB423"/>
      <c r="KC423"/>
      <c r="KD423"/>
      <c r="KE423"/>
      <c r="KF423"/>
      <c r="KG423"/>
      <c r="KH423"/>
      <c r="KI423"/>
      <c r="KJ423"/>
      <c r="KK423"/>
      <c r="KL423"/>
      <c r="KM423"/>
      <c r="KN423"/>
      <c r="KO423"/>
      <c r="KP423"/>
      <c r="KQ423"/>
      <c r="KR423"/>
      <c r="KS423"/>
    </row>
    <row r="424" spans="2:305" hidden="1" x14ac:dyDescent="0.35">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c r="AS424"/>
      <c r="AT424"/>
      <c r="AU424"/>
      <c r="AV424"/>
      <c r="AW424"/>
      <c r="AX424"/>
      <c r="AY424"/>
      <c r="AZ424"/>
      <c r="BA424"/>
      <c r="BB424"/>
      <c r="BC424"/>
      <c r="BD424"/>
      <c r="BE424"/>
      <c r="BF424"/>
      <c r="BG424"/>
      <c r="BH424"/>
      <c r="BI424"/>
      <c r="BJ424"/>
      <c r="BK424"/>
      <c r="BL424"/>
      <c r="BM424"/>
      <c r="BN424"/>
      <c r="BO424"/>
      <c r="BP424"/>
      <c r="BQ424"/>
      <c r="BR424"/>
      <c r="BS424"/>
      <c r="BT424"/>
      <c r="BU424"/>
      <c r="BV424"/>
      <c r="BW424"/>
      <c r="BX424"/>
      <c r="BY424"/>
      <c r="BZ424"/>
      <c r="CA424"/>
      <c r="CB424"/>
      <c r="CC424"/>
      <c r="CD424"/>
      <c r="CE424"/>
      <c r="CF424"/>
      <c r="CG424"/>
      <c r="CH424"/>
      <c r="CI424"/>
      <c r="CJ424"/>
      <c r="CK424"/>
      <c r="CL424"/>
      <c r="CM424"/>
      <c r="CN424"/>
      <c r="CO424"/>
      <c r="CP424"/>
      <c r="CQ424"/>
      <c r="CR424"/>
      <c r="CS424"/>
      <c r="CT424"/>
      <c r="CU424"/>
      <c r="CV424"/>
      <c r="CW424"/>
      <c r="CX424"/>
      <c r="CY424"/>
      <c r="CZ424"/>
      <c r="DA424"/>
      <c r="DB424"/>
      <c r="DC424"/>
      <c r="DD424"/>
      <c r="DE424"/>
      <c r="DF424"/>
      <c r="DG424"/>
      <c r="DH424"/>
      <c r="DI424"/>
      <c r="DJ424"/>
      <c r="DK424"/>
      <c r="DL424"/>
      <c r="DM424"/>
      <c r="DN424"/>
      <c r="DO424"/>
      <c r="DP424"/>
      <c r="DQ424"/>
      <c r="DR424"/>
      <c r="DS424"/>
      <c r="DT424"/>
      <c r="DU424"/>
      <c r="DV424"/>
      <c r="DW424"/>
      <c r="DX424"/>
      <c r="DY424"/>
      <c r="DZ424"/>
      <c r="EA424"/>
      <c r="EB424"/>
      <c r="EC424"/>
      <c r="ED424"/>
      <c r="EE424"/>
      <c r="EF424"/>
      <c r="EG424"/>
      <c r="EH424"/>
      <c r="EI424"/>
      <c r="EJ424"/>
      <c r="EK424"/>
      <c r="EL424"/>
      <c r="EM424"/>
      <c r="EN424"/>
      <c r="EO424"/>
      <c r="EP424"/>
      <c r="EQ424"/>
      <c r="ER424"/>
      <c r="ES424"/>
      <c r="ET424"/>
      <c r="EU424"/>
      <c r="EV424"/>
      <c r="EW424"/>
      <c r="EX424"/>
      <c r="EY424"/>
      <c r="EZ424"/>
      <c r="FA424"/>
      <c r="FB424"/>
      <c r="FC424"/>
      <c r="FD424"/>
      <c r="FE424"/>
      <c r="FF424"/>
      <c r="FG424"/>
      <c r="FH424"/>
      <c r="FI424"/>
      <c r="FJ424"/>
      <c r="FK424"/>
      <c r="FL424"/>
      <c r="FM424"/>
      <c r="FN424"/>
      <c r="FO424"/>
      <c r="FP424"/>
      <c r="FQ424"/>
      <c r="FR424"/>
      <c r="FS424"/>
      <c r="FT424"/>
      <c r="FU424"/>
      <c r="FV424"/>
      <c r="FW424"/>
      <c r="FX424"/>
      <c r="FY424"/>
      <c r="FZ424"/>
      <c r="GA424"/>
      <c r="GB424"/>
      <c r="GC424"/>
      <c r="GD424"/>
      <c r="GE424"/>
      <c r="GF424"/>
      <c r="GG424"/>
      <c r="GH424"/>
      <c r="GI424"/>
      <c r="GJ424"/>
      <c r="GK424"/>
      <c r="GL424"/>
      <c r="GM424"/>
      <c r="GN424"/>
      <c r="GO424"/>
      <c r="GP424"/>
      <c r="GQ424"/>
      <c r="GR424"/>
      <c r="GS424"/>
      <c r="GT424"/>
      <c r="GU424"/>
      <c r="GV424"/>
      <c r="GW424"/>
      <c r="GX424"/>
      <c r="GY424"/>
      <c r="GZ424"/>
      <c r="HA424"/>
      <c r="HB424"/>
      <c r="HC424"/>
      <c r="HD424"/>
      <c r="HE424"/>
      <c r="HF424"/>
      <c r="HG424"/>
      <c r="HH424"/>
      <c r="HI424"/>
      <c r="HJ424"/>
      <c r="HK424"/>
      <c r="HL424"/>
      <c r="HM424"/>
      <c r="HN424"/>
      <c r="HO424"/>
      <c r="HP424"/>
      <c r="HQ424"/>
      <c r="HR424"/>
      <c r="HS424"/>
      <c r="HT424"/>
      <c r="HU424"/>
      <c r="HV424"/>
      <c r="HW424"/>
      <c r="HX424"/>
      <c r="HY424"/>
      <c r="HZ424"/>
      <c r="IA424"/>
      <c r="IB424"/>
      <c r="IC424"/>
      <c r="ID424"/>
      <c r="IE424"/>
      <c r="IF424"/>
      <c r="IG424"/>
      <c r="IH424"/>
      <c r="II424"/>
      <c r="IJ424"/>
      <c r="IK424"/>
      <c r="IL424"/>
      <c r="IM424"/>
      <c r="IN424"/>
      <c r="IO424"/>
      <c r="IP424"/>
      <c r="IQ424"/>
      <c r="IR424"/>
      <c r="IS424"/>
      <c r="IT424"/>
      <c r="IU424"/>
      <c r="IV424"/>
      <c r="IW424"/>
      <c r="IX424"/>
      <c r="IY424"/>
      <c r="IZ424"/>
      <c r="JA424"/>
      <c r="JB424"/>
      <c r="JC424"/>
      <c r="JD424"/>
      <c r="JE424"/>
      <c r="JF424"/>
      <c r="JG424"/>
      <c r="JH424"/>
      <c r="JI424"/>
      <c r="JJ424"/>
      <c r="JK424"/>
      <c r="JL424"/>
      <c r="JM424"/>
      <c r="JN424"/>
      <c r="JO424"/>
      <c r="JP424"/>
      <c r="JQ424"/>
      <c r="JR424"/>
      <c r="JS424"/>
      <c r="JT424"/>
      <c r="JU424"/>
      <c r="JV424"/>
      <c r="JW424"/>
      <c r="JX424"/>
      <c r="JY424"/>
      <c r="JZ424"/>
      <c r="KA424"/>
      <c r="KB424"/>
      <c r="KC424"/>
      <c r="KD424"/>
      <c r="KE424"/>
      <c r="KF424"/>
      <c r="KG424"/>
      <c r="KH424"/>
      <c r="KI424"/>
      <c r="KJ424"/>
      <c r="KK424"/>
      <c r="KL424"/>
      <c r="KM424"/>
      <c r="KN424"/>
      <c r="KO424"/>
      <c r="KP424"/>
      <c r="KQ424"/>
      <c r="KR424"/>
      <c r="KS424"/>
    </row>
    <row r="425" spans="2:305" hidden="1" x14ac:dyDescent="0.3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c r="AS425"/>
      <c r="AT425"/>
      <c r="AU425"/>
      <c r="AV425"/>
      <c r="AW425"/>
      <c r="AX425"/>
      <c r="AY425"/>
      <c r="AZ425"/>
      <c r="BA425"/>
      <c r="BB425"/>
      <c r="BC425"/>
      <c r="BD425"/>
      <c r="BE425"/>
      <c r="BF425"/>
      <c r="BG425"/>
      <c r="BH425"/>
      <c r="BI425"/>
      <c r="BJ425"/>
      <c r="BK425"/>
      <c r="BL425"/>
      <c r="BM425"/>
      <c r="BN425"/>
      <c r="BO425"/>
      <c r="BP425"/>
      <c r="BQ425"/>
      <c r="BR425"/>
      <c r="BS425"/>
      <c r="BT425"/>
      <c r="BU425"/>
      <c r="BV425"/>
      <c r="BW425"/>
      <c r="BX425"/>
      <c r="BY425"/>
      <c r="BZ425"/>
      <c r="CA425"/>
      <c r="CB425"/>
      <c r="CC425"/>
      <c r="CD425"/>
      <c r="CE425"/>
      <c r="CF425"/>
      <c r="CG425"/>
      <c r="CH425"/>
      <c r="CI425"/>
      <c r="CJ425"/>
      <c r="CK425"/>
      <c r="CL425"/>
      <c r="CM425"/>
      <c r="CN425"/>
      <c r="CO425"/>
      <c r="CP425"/>
      <c r="CQ425"/>
      <c r="CR425"/>
      <c r="CS425"/>
      <c r="CT425"/>
      <c r="CU425"/>
      <c r="CV425"/>
      <c r="CW425"/>
      <c r="CX425"/>
      <c r="CY425"/>
      <c r="CZ425"/>
      <c r="DA425"/>
      <c r="DB425"/>
      <c r="DC425"/>
      <c r="DD425"/>
      <c r="DE425"/>
      <c r="DF425"/>
      <c r="DG425"/>
      <c r="DH425"/>
      <c r="DI425"/>
      <c r="DJ425"/>
      <c r="DK425"/>
      <c r="DL425"/>
      <c r="DM425"/>
      <c r="DN425"/>
      <c r="DO425"/>
      <c r="DP425"/>
      <c r="DQ425"/>
      <c r="DR425"/>
      <c r="DS425"/>
      <c r="DT425"/>
      <c r="DU425"/>
      <c r="DV425"/>
      <c r="DW425"/>
      <c r="DX425"/>
      <c r="DY425"/>
      <c r="DZ425"/>
      <c r="EA425"/>
      <c r="EB425"/>
      <c r="EC425"/>
      <c r="ED425"/>
      <c r="EE425"/>
      <c r="EF425"/>
      <c r="EG425"/>
      <c r="EH425"/>
      <c r="EI425"/>
      <c r="EJ425"/>
      <c r="EK425"/>
      <c r="EL425"/>
      <c r="EM425"/>
      <c r="EN425"/>
      <c r="EO425"/>
      <c r="EP425"/>
      <c r="EQ425"/>
      <c r="ER425"/>
      <c r="ES425"/>
      <c r="ET425"/>
      <c r="EU425"/>
      <c r="EV425"/>
      <c r="EW425"/>
      <c r="EX425"/>
      <c r="EY425"/>
      <c r="EZ425"/>
      <c r="FA425"/>
      <c r="FB425"/>
      <c r="FC425"/>
      <c r="FD425"/>
      <c r="FE425"/>
      <c r="FF425"/>
      <c r="FG425"/>
      <c r="FH425"/>
      <c r="FI425"/>
      <c r="FJ425"/>
      <c r="FK425"/>
      <c r="FL425"/>
      <c r="FM425"/>
      <c r="FN425"/>
      <c r="FO425"/>
      <c r="FP425"/>
      <c r="FQ425"/>
      <c r="FR425"/>
      <c r="FS425"/>
      <c r="FT425"/>
      <c r="FU425"/>
      <c r="FV425"/>
      <c r="FW425"/>
      <c r="FX425"/>
      <c r="FY425"/>
      <c r="FZ425"/>
      <c r="GA425"/>
      <c r="GB425"/>
      <c r="GC425"/>
      <c r="GD425"/>
      <c r="GE425"/>
      <c r="GF425"/>
      <c r="GG425"/>
      <c r="GH425"/>
      <c r="GI425"/>
      <c r="GJ425"/>
      <c r="GK425"/>
      <c r="GL425"/>
      <c r="GM425"/>
      <c r="GN425"/>
      <c r="GO425"/>
      <c r="GP425"/>
      <c r="GQ425"/>
      <c r="GR425"/>
      <c r="GS425"/>
      <c r="GT425"/>
      <c r="GU425"/>
      <c r="GV425"/>
      <c r="GW425"/>
      <c r="GX425"/>
      <c r="GY425"/>
      <c r="GZ425"/>
      <c r="HA425"/>
      <c r="HB425"/>
      <c r="HC425"/>
      <c r="HD425"/>
      <c r="HE425"/>
      <c r="HF425"/>
      <c r="HG425"/>
      <c r="HH425"/>
      <c r="HI425"/>
      <c r="HJ425"/>
      <c r="HK425"/>
      <c r="HL425"/>
      <c r="HM425"/>
      <c r="HN425"/>
      <c r="HO425"/>
      <c r="HP425"/>
      <c r="HQ425"/>
      <c r="HR425"/>
      <c r="HS425"/>
      <c r="HT425"/>
      <c r="HU425"/>
      <c r="HV425"/>
      <c r="HW425"/>
      <c r="HX425"/>
      <c r="HY425"/>
      <c r="HZ425"/>
      <c r="IA425"/>
      <c r="IB425"/>
      <c r="IC425"/>
      <c r="ID425"/>
      <c r="IE425"/>
      <c r="IF425"/>
      <c r="IG425"/>
      <c r="IH425"/>
      <c r="II425"/>
      <c r="IJ425"/>
      <c r="IK425"/>
      <c r="IL425"/>
      <c r="IM425"/>
      <c r="IN425"/>
      <c r="IO425"/>
      <c r="IP425"/>
      <c r="IQ425"/>
      <c r="IR425"/>
      <c r="IS425"/>
      <c r="IT425"/>
      <c r="IU425"/>
      <c r="IV425"/>
      <c r="IW425"/>
      <c r="IX425"/>
      <c r="IY425"/>
      <c r="IZ425"/>
      <c r="JA425"/>
      <c r="JB425"/>
      <c r="JC425"/>
      <c r="JD425"/>
      <c r="JE425"/>
      <c r="JF425"/>
      <c r="JG425"/>
      <c r="JH425"/>
      <c r="JI425"/>
      <c r="JJ425"/>
      <c r="JK425"/>
      <c r="JL425"/>
      <c r="JM425"/>
      <c r="JN425"/>
      <c r="JO425"/>
      <c r="JP425"/>
      <c r="JQ425"/>
      <c r="JR425"/>
      <c r="JS425"/>
      <c r="JT425"/>
      <c r="JU425"/>
      <c r="JV425"/>
      <c r="JW425"/>
      <c r="JX425"/>
      <c r="JY425"/>
      <c r="JZ425"/>
      <c r="KA425"/>
      <c r="KB425"/>
      <c r="KC425"/>
      <c r="KD425"/>
      <c r="KE425"/>
      <c r="KF425"/>
      <c r="KG425"/>
      <c r="KH425"/>
      <c r="KI425"/>
      <c r="KJ425"/>
      <c r="KK425"/>
      <c r="KL425"/>
      <c r="KM425"/>
      <c r="KN425"/>
      <c r="KO425"/>
      <c r="KP425"/>
      <c r="KQ425"/>
      <c r="KR425"/>
      <c r="KS425"/>
    </row>
    <row r="426" spans="2:305" hidden="1" x14ac:dyDescent="0.35">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c r="AS426"/>
      <c r="AT426"/>
      <c r="AU426"/>
      <c r="AV426"/>
      <c r="AW426"/>
      <c r="AX426"/>
      <c r="AY426"/>
      <c r="AZ426"/>
      <c r="BA426"/>
      <c r="BB426"/>
      <c r="BC426"/>
      <c r="BD426"/>
      <c r="BE426"/>
      <c r="BF426"/>
      <c r="BG426"/>
      <c r="BH426"/>
      <c r="BI426"/>
      <c r="BJ426"/>
      <c r="BK426"/>
      <c r="BL426"/>
      <c r="BM426"/>
      <c r="BN426"/>
      <c r="BO426"/>
      <c r="BP426"/>
      <c r="BQ426"/>
      <c r="BR426"/>
      <c r="BS426"/>
      <c r="BT426"/>
      <c r="BU426"/>
      <c r="BV426"/>
      <c r="BW426"/>
      <c r="BX426"/>
      <c r="BY426"/>
      <c r="BZ426"/>
      <c r="CA426"/>
      <c r="CB426"/>
      <c r="CC426"/>
      <c r="CD426"/>
      <c r="CE426"/>
      <c r="CF426"/>
      <c r="CG426"/>
      <c r="CH426"/>
      <c r="CI426"/>
      <c r="CJ426"/>
      <c r="CK426"/>
      <c r="CL426"/>
      <c r="CM426"/>
      <c r="CN426"/>
      <c r="CO426"/>
      <c r="CP426"/>
      <c r="CQ426"/>
      <c r="CR426"/>
      <c r="CS426"/>
      <c r="CT426"/>
      <c r="CU426"/>
      <c r="CV426"/>
      <c r="CW426"/>
      <c r="CX426"/>
      <c r="CY426"/>
      <c r="CZ426"/>
      <c r="DA426"/>
      <c r="DB426"/>
      <c r="DC426"/>
      <c r="DD426"/>
      <c r="DE426"/>
      <c r="DF426"/>
      <c r="DG426"/>
      <c r="DH426"/>
      <c r="DI426"/>
      <c r="DJ426"/>
      <c r="DK426"/>
      <c r="DL426"/>
      <c r="DM426"/>
      <c r="DN426"/>
      <c r="DO426"/>
      <c r="DP426"/>
      <c r="DQ426"/>
      <c r="DR426"/>
      <c r="DS426"/>
      <c r="DT426"/>
      <c r="DU426"/>
      <c r="DV426"/>
      <c r="DW426"/>
      <c r="DX426"/>
      <c r="DY426"/>
      <c r="DZ426"/>
      <c r="EA426"/>
      <c r="EB426"/>
      <c r="EC426"/>
      <c r="ED426"/>
      <c r="EE426"/>
      <c r="EF426"/>
      <c r="EG426"/>
      <c r="EH426"/>
      <c r="EI426"/>
      <c r="EJ426"/>
      <c r="EK426"/>
      <c r="EL426"/>
      <c r="EM426"/>
      <c r="EN426"/>
      <c r="EO426"/>
      <c r="EP426"/>
      <c r="EQ426"/>
      <c r="ER426"/>
      <c r="ES426"/>
      <c r="ET426"/>
      <c r="EU426"/>
      <c r="EV426"/>
      <c r="EW426"/>
      <c r="EX426"/>
      <c r="EY426"/>
      <c r="EZ426"/>
      <c r="FA426"/>
      <c r="FB426"/>
      <c r="FC426"/>
      <c r="FD426"/>
      <c r="FE426"/>
      <c r="FF426"/>
      <c r="FG426"/>
      <c r="FH426"/>
      <c r="FI426"/>
      <c r="FJ426"/>
      <c r="FK426"/>
      <c r="FL426"/>
      <c r="FM426"/>
      <c r="FN426"/>
      <c r="FO426"/>
      <c r="FP426"/>
      <c r="FQ426"/>
      <c r="FR426"/>
      <c r="FS426"/>
      <c r="FT426"/>
      <c r="FU426"/>
      <c r="FV426"/>
      <c r="FW426"/>
      <c r="FX426"/>
      <c r="FY426"/>
      <c r="FZ426"/>
      <c r="GA426"/>
      <c r="GB426"/>
      <c r="GC426"/>
      <c r="GD426"/>
      <c r="GE426"/>
      <c r="GF426"/>
      <c r="GG426"/>
      <c r="GH426"/>
      <c r="GI426"/>
      <c r="GJ426"/>
      <c r="GK426"/>
      <c r="GL426"/>
      <c r="GM426"/>
      <c r="GN426"/>
      <c r="GO426"/>
      <c r="GP426"/>
      <c r="GQ426"/>
      <c r="GR426"/>
      <c r="GS426"/>
      <c r="GT426"/>
      <c r="GU426"/>
      <c r="GV426"/>
      <c r="GW426"/>
      <c r="GX426"/>
      <c r="GY426"/>
      <c r="GZ426"/>
      <c r="HA426"/>
      <c r="HB426"/>
      <c r="HC426"/>
      <c r="HD426"/>
      <c r="HE426"/>
      <c r="HF426"/>
      <c r="HG426"/>
      <c r="HH426"/>
      <c r="HI426"/>
      <c r="HJ426"/>
      <c r="HK426"/>
      <c r="HL426"/>
      <c r="HM426"/>
      <c r="HN426"/>
      <c r="HO426"/>
      <c r="HP426"/>
      <c r="HQ426"/>
      <c r="HR426"/>
      <c r="HS426"/>
      <c r="HT426"/>
      <c r="HU426"/>
      <c r="HV426"/>
      <c r="HW426"/>
      <c r="HX426"/>
      <c r="HY426"/>
      <c r="HZ426"/>
      <c r="IA426"/>
      <c r="IB426"/>
      <c r="IC426"/>
      <c r="ID426"/>
      <c r="IE426"/>
      <c r="IF426"/>
      <c r="IG426"/>
      <c r="IH426"/>
      <c r="II426"/>
      <c r="IJ426"/>
      <c r="IK426"/>
      <c r="IL426"/>
      <c r="IM426"/>
      <c r="IN426"/>
      <c r="IO426"/>
      <c r="IP426"/>
      <c r="IQ426"/>
      <c r="IR426"/>
      <c r="IS426"/>
      <c r="IT426"/>
      <c r="IU426"/>
      <c r="IV426"/>
      <c r="IW426"/>
      <c r="IX426"/>
      <c r="IY426"/>
      <c r="IZ426"/>
      <c r="JA426"/>
      <c r="JB426"/>
      <c r="JC426"/>
      <c r="JD426"/>
      <c r="JE426"/>
      <c r="JF426"/>
      <c r="JG426"/>
      <c r="JH426"/>
      <c r="JI426"/>
      <c r="JJ426"/>
      <c r="JK426"/>
      <c r="JL426"/>
      <c r="JM426"/>
      <c r="JN426"/>
      <c r="JO426"/>
      <c r="JP426"/>
      <c r="JQ426"/>
      <c r="JR426"/>
      <c r="JS426"/>
      <c r="JT426"/>
      <c r="JU426"/>
      <c r="JV426"/>
      <c r="JW426"/>
      <c r="JX426"/>
      <c r="JY426"/>
      <c r="JZ426"/>
      <c r="KA426"/>
      <c r="KB426"/>
      <c r="KC426"/>
      <c r="KD426"/>
      <c r="KE426"/>
      <c r="KF426"/>
      <c r="KG426"/>
      <c r="KH426"/>
      <c r="KI426"/>
      <c r="KJ426"/>
      <c r="KK426"/>
      <c r="KL426"/>
      <c r="KM426"/>
      <c r="KN426"/>
      <c r="KO426"/>
      <c r="KP426"/>
      <c r="KQ426"/>
      <c r="KR426"/>
      <c r="KS426"/>
    </row>
    <row r="427" spans="2:305" hidden="1" x14ac:dyDescent="0.35">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c r="AS427"/>
      <c r="AT427"/>
      <c r="AU427"/>
      <c r="AV427"/>
      <c r="AW427"/>
      <c r="AX427"/>
      <c r="AY427"/>
      <c r="AZ427"/>
      <c r="BA427"/>
      <c r="BB427"/>
      <c r="BC427"/>
      <c r="BD427"/>
      <c r="BE427"/>
      <c r="BF427"/>
      <c r="BG427"/>
      <c r="BH427"/>
      <c r="BI427"/>
      <c r="BJ427"/>
      <c r="BK427"/>
      <c r="BL427"/>
      <c r="BM427"/>
      <c r="BN427"/>
      <c r="BO427"/>
      <c r="BP427"/>
      <c r="BQ427"/>
      <c r="BR427"/>
      <c r="BS427"/>
      <c r="BT427"/>
      <c r="BU427"/>
      <c r="BV427"/>
      <c r="BW427"/>
      <c r="BX427"/>
      <c r="BY427"/>
      <c r="BZ427"/>
      <c r="CA427"/>
      <c r="CB427"/>
      <c r="CC427"/>
      <c r="CD427"/>
      <c r="CE427"/>
      <c r="CF427"/>
      <c r="CG427"/>
      <c r="CH427"/>
      <c r="CI427"/>
      <c r="CJ427"/>
      <c r="CK427"/>
      <c r="CL427"/>
      <c r="CM427"/>
      <c r="CN427"/>
      <c r="CO427"/>
      <c r="CP427"/>
      <c r="CQ427"/>
      <c r="CR427"/>
      <c r="CS427"/>
      <c r="CT427"/>
      <c r="CU427"/>
      <c r="CV427"/>
      <c r="CW427"/>
      <c r="CX427"/>
      <c r="CY427"/>
      <c r="CZ427"/>
      <c r="DA427"/>
      <c r="DB427"/>
      <c r="DC427"/>
      <c r="DD427"/>
      <c r="DE427"/>
      <c r="DF427"/>
      <c r="DG427"/>
      <c r="DH427"/>
      <c r="DI427"/>
      <c r="DJ427"/>
      <c r="DK427"/>
      <c r="DL427"/>
      <c r="DM427"/>
      <c r="DN427"/>
      <c r="DO427"/>
      <c r="DP427"/>
      <c r="DQ427"/>
      <c r="DR427"/>
      <c r="DS427"/>
      <c r="DT427"/>
      <c r="DU427"/>
      <c r="DV427"/>
      <c r="DW427"/>
      <c r="DX427"/>
      <c r="DY427"/>
      <c r="DZ427"/>
      <c r="EA427"/>
      <c r="EB427"/>
      <c r="EC427"/>
      <c r="ED427"/>
      <c r="EE427"/>
      <c r="EF427"/>
      <c r="EG427"/>
      <c r="EH427"/>
      <c r="EI427"/>
      <c r="EJ427"/>
      <c r="EK427"/>
      <c r="EL427"/>
      <c r="EM427"/>
      <c r="EN427"/>
      <c r="EO427"/>
      <c r="EP427"/>
      <c r="EQ427"/>
      <c r="ER427"/>
      <c r="ES427"/>
      <c r="ET427"/>
      <c r="EU427"/>
      <c r="EV427"/>
      <c r="EW427"/>
      <c r="EX427"/>
      <c r="EY427"/>
      <c r="EZ427"/>
      <c r="FA427"/>
      <c r="FB427"/>
      <c r="FC427"/>
      <c r="FD427"/>
      <c r="FE427"/>
      <c r="FF427"/>
      <c r="FG427"/>
      <c r="FH427"/>
      <c r="FI427"/>
      <c r="FJ427"/>
      <c r="FK427"/>
      <c r="FL427"/>
      <c r="FM427"/>
      <c r="FN427"/>
      <c r="FO427"/>
      <c r="FP427"/>
      <c r="FQ427"/>
      <c r="FR427"/>
      <c r="FS427"/>
      <c r="FT427"/>
      <c r="FU427"/>
      <c r="FV427"/>
      <c r="FW427"/>
      <c r="FX427"/>
      <c r="FY427"/>
      <c r="FZ427"/>
      <c r="GA427"/>
      <c r="GB427"/>
      <c r="GC427"/>
      <c r="GD427"/>
      <c r="GE427"/>
      <c r="GF427"/>
      <c r="GG427"/>
      <c r="GH427"/>
      <c r="GI427"/>
      <c r="GJ427"/>
      <c r="GK427"/>
      <c r="GL427"/>
      <c r="GM427"/>
      <c r="GN427"/>
      <c r="GO427"/>
      <c r="GP427"/>
      <c r="GQ427"/>
      <c r="GR427"/>
      <c r="GS427"/>
      <c r="GT427"/>
      <c r="GU427"/>
      <c r="GV427"/>
      <c r="GW427"/>
      <c r="GX427"/>
      <c r="GY427"/>
      <c r="GZ427"/>
      <c r="HA427"/>
      <c r="HB427"/>
      <c r="HC427"/>
      <c r="HD427"/>
      <c r="HE427"/>
      <c r="HF427"/>
      <c r="HG427"/>
      <c r="HH427"/>
      <c r="HI427"/>
      <c r="HJ427"/>
      <c r="HK427"/>
      <c r="HL427"/>
      <c r="HM427"/>
      <c r="HN427"/>
      <c r="HO427"/>
      <c r="HP427"/>
      <c r="HQ427"/>
      <c r="HR427"/>
      <c r="HS427"/>
      <c r="HT427"/>
      <c r="HU427"/>
      <c r="HV427"/>
      <c r="HW427"/>
      <c r="HX427"/>
      <c r="HY427"/>
      <c r="HZ427"/>
      <c r="IA427"/>
      <c r="IB427"/>
      <c r="IC427"/>
      <c r="ID427"/>
      <c r="IE427"/>
      <c r="IF427"/>
      <c r="IG427"/>
      <c r="IH427"/>
      <c r="II427"/>
      <c r="IJ427"/>
      <c r="IK427"/>
      <c r="IL427"/>
      <c r="IM427"/>
      <c r="IN427"/>
      <c r="IO427"/>
      <c r="IP427"/>
      <c r="IQ427"/>
      <c r="IR427"/>
      <c r="IS427"/>
      <c r="IT427"/>
      <c r="IU427"/>
      <c r="IV427"/>
      <c r="IW427"/>
      <c r="IX427"/>
      <c r="IY427"/>
      <c r="IZ427"/>
      <c r="JA427"/>
      <c r="JB427"/>
      <c r="JC427"/>
      <c r="JD427"/>
      <c r="JE427"/>
      <c r="JF427"/>
      <c r="JG427"/>
      <c r="JH427"/>
      <c r="JI427"/>
      <c r="JJ427"/>
      <c r="JK427"/>
      <c r="JL427"/>
      <c r="JM427"/>
      <c r="JN427"/>
      <c r="JO427"/>
      <c r="JP427"/>
      <c r="JQ427"/>
      <c r="JR427"/>
      <c r="JS427"/>
      <c r="JT427"/>
      <c r="JU427"/>
      <c r="JV427"/>
      <c r="JW427"/>
      <c r="JX427"/>
      <c r="JY427"/>
      <c r="JZ427"/>
      <c r="KA427"/>
      <c r="KB427"/>
      <c r="KC427"/>
      <c r="KD427"/>
      <c r="KE427"/>
      <c r="KF427"/>
      <c r="KG427"/>
      <c r="KH427"/>
      <c r="KI427"/>
      <c r="KJ427"/>
      <c r="KK427"/>
      <c r="KL427"/>
      <c r="KM427"/>
      <c r="KN427"/>
      <c r="KO427"/>
      <c r="KP427"/>
      <c r="KQ427"/>
      <c r="KR427"/>
      <c r="KS427"/>
    </row>
    <row r="428" spans="2:305" hidden="1" x14ac:dyDescent="0.35">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c r="AS428"/>
      <c r="AT428"/>
      <c r="AU428"/>
      <c r="AV428"/>
      <c r="AW428"/>
      <c r="AX428"/>
      <c r="AY428"/>
      <c r="AZ428"/>
      <c r="BA428"/>
      <c r="BB428"/>
      <c r="BC428"/>
      <c r="BD428"/>
      <c r="BE428"/>
      <c r="BF428"/>
      <c r="BG428"/>
      <c r="BH428"/>
      <c r="BI428"/>
      <c r="BJ428"/>
      <c r="BK428"/>
      <c r="BL428"/>
      <c r="BM428"/>
      <c r="BN428"/>
      <c r="BO428"/>
      <c r="BP428"/>
      <c r="BQ428"/>
      <c r="BR428"/>
      <c r="BS428"/>
      <c r="BT428"/>
      <c r="BU428"/>
      <c r="BV428"/>
      <c r="BW428"/>
      <c r="BX428"/>
      <c r="BY428"/>
      <c r="BZ428"/>
      <c r="CA428"/>
      <c r="CB428"/>
      <c r="CC428"/>
      <c r="CD428"/>
      <c r="CE428"/>
      <c r="CF428"/>
      <c r="CG428"/>
      <c r="CH428"/>
      <c r="CI428"/>
      <c r="CJ428"/>
      <c r="CK428"/>
      <c r="CL428"/>
      <c r="CM428"/>
      <c r="CN428"/>
      <c r="CO428"/>
      <c r="CP428"/>
      <c r="CQ428"/>
      <c r="CR428"/>
      <c r="CS428"/>
      <c r="CT428"/>
      <c r="CU428"/>
      <c r="CV428"/>
      <c r="CW428"/>
      <c r="CX428"/>
      <c r="CY428"/>
      <c r="CZ428"/>
      <c r="DA428"/>
      <c r="DB428"/>
      <c r="DC428"/>
      <c r="DD428"/>
      <c r="DE428"/>
      <c r="DF428"/>
      <c r="DG428"/>
      <c r="DH428"/>
      <c r="DI428"/>
      <c r="DJ428"/>
      <c r="DK428"/>
      <c r="DL428"/>
      <c r="DM428"/>
      <c r="DN428"/>
      <c r="DO428"/>
      <c r="DP428"/>
      <c r="DQ428"/>
      <c r="DR428"/>
      <c r="DS428"/>
      <c r="DT428"/>
      <c r="DU428"/>
      <c r="DV428"/>
      <c r="DW428"/>
      <c r="DX428"/>
      <c r="DY428"/>
      <c r="DZ428"/>
      <c r="EA428"/>
      <c r="EB428"/>
      <c r="EC428"/>
      <c r="ED428"/>
      <c r="EE428"/>
      <c r="EF428"/>
      <c r="EG428"/>
      <c r="EH428"/>
      <c r="EI428"/>
      <c r="EJ428"/>
      <c r="EK428"/>
      <c r="EL428"/>
      <c r="EM428"/>
      <c r="EN428"/>
      <c r="EO428"/>
      <c r="EP428"/>
      <c r="EQ428"/>
      <c r="ER428"/>
      <c r="ES428"/>
      <c r="ET428"/>
      <c r="EU428"/>
      <c r="EV428"/>
      <c r="EW428"/>
      <c r="EX428"/>
      <c r="EY428"/>
      <c r="EZ428"/>
      <c r="FA428"/>
      <c r="FB428"/>
      <c r="FC428"/>
      <c r="FD428"/>
      <c r="FE428"/>
      <c r="FF428"/>
      <c r="FG428"/>
      <c r="FH428"/>
      <c r="FI428"/>
      <c r="FJ428"/>
      <c r="FK428"/>
      <c r="FL428"/>
      <c r="FM428"/>
      <c r="FN428"/>
      <c r="FO428"/>
      <c r="FP428"/>
      <c r="FQ428"/>
      <c r="FR428"/>
      <c r="FS428"/>
      <c r="FT428"/>
      <c r="FU428"/>
      <c r="FV428"/>
      <c r="FW428"/>
      <c r="FX428"/>
      <c r="FY428"/>
      <c r="FZ428"/>
      <c r="GA428"/>
      <c r="GB428"/>
      <c r="GC428"/>
      <c r="GD428"/>
      <c r="GE428"/>
      <c r="GF428"/>
      <c r="GG428"/>
      <c r="GH428"/>
      <c r="GI428"/>
      <c r="GJ428"/>
      <c r="GK428"/>
      <c r="GL428"/>
      <c r="GM428"/>
      <c r="GN428"/>
      <c r="GO428"/>
      <c r="GP428"/>
      <c r="GQ428"/>
      <c r="GR428"/>
      <c r="GS428"/>
      <c r="GT428"/>
      <c r="GU428"/>
      <c r="GV428"/>
      <c r="GW428"/>
      <c r="GX428"/>
      <c r="GY428"/>
      <c r="GZ428"/>
      <c r="HA428"/>
      <c r="HB428"/>
      <c r="HC428"/>
      <c r="HD428"/>
      <c r="HE428"/>
      <c r="HF428"/>
      <c r="HG428"/>
      <c r="HH428"/>
      <c r="HI428"/>
      <c r="HJ428"/>
      <c r="HK428"/>
      <c r="HL428"/>
      <c r="HM428"/>
      <c r="HN428"/>
      <c r="HO428"/>
      <c r="HP428"/>
      <c r="HQ428"/>
      <c r="HR428"/>
      <c r="HS428"/>
      <c r="HT428"/>
      <c r="HU428"/>
      <c r="HV428"/>
      <c r="HW428"/>
      <c r="HX428"/>
      <c r="HY428"/>
      <c r="HZ428"/>
      <c r="IA428"/>
      <c r="IB428"/>
      <c r="IC428"/>
      <c r="ID428"/>
      <c r="IE428"/>
      <c r="IF428"/>
      <c r="IG428"/>
      <c r="IH428"/>
      <c r="II428"/>
      <c r="IJ428"/>
      <c r="IK428"/>
      <c r="IL428"/>
      <c r="IM428"/>
      <c r="IN428"/>
      <c r="IO428"/>
      <c r="IP428"/>
      <c r="IQ428"/>
      <c r="IR428"/>
      <c r="IS428"/>
      <c r="IT428"/>
      <c r="IU428"/>
      <c r="IV428"/>
      <c r="IW428"/>
      <c r="IX428"/>
      <c r="IY428"/>
      <c r="IZ428"/>
      <c r="JA428"/>
      <c r="JB428"/>
      <c r="JC428"/>
      <c r="JD428"/>
      <c r="JE428"/>
      <c r="JF428"/>
      <c r="JG428"/>
      <c r="JH428"/>
      <c r="JI428"/>
      <c r="JJ428"/>
      <c r="JK428"/>
      <c r="JL428"/>
      <c r="JM428"/>
      <c r="JN428"/>
      <c r="JO428"/>
      <c r="JP428"/>
      <c r="JQ428"/>
      <c r="JR428"/>
      <c r="JS428"/>
      <c r="JT428"/>
      <c r="JU428"/>
      <c r="JV428"/>
      <c r="JW428"/>
      <c r="JX428"/>
      <c r="JY428"/>
      <c r="JZ428"/>
      <c r="KA428"/>
      <c r="KB428"/>
      <c r="KC428"/>
      <c r="KD428"/>
      <c r="KE428"/>
      <c r="KF428"/>
      <c r="KG428"/>
      <c r="KH428"/>
      <c r="KI428"/>
      <c r="KJ428"/>
      <c r="KK428"/>
      <c r="KL428"/>
      <c r="KM428"/>
      <c r="KN428"/>
      <c r="KO428"/>
      <c r="KP428"/>
      <c r="KQ428"/>
      <c r="KR428"/>
      <c r="KS428"/>
    </row>
    <row r="429" spans="2:305" hidden="1" x14ac:dyDescent="0.35">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c r="AS429"/>
      <c r="AT429"/>
      <c r="AU429"/>
      <c r="AV429"/>
      <c r="AW429"/>
      <c r="AX429"/>
      <c r="AY429"/>
      <c r="AZ429"/>
      <c r="BA429"/>
      <c r="BB429"/>
      <c r="BC429"/>
      <c r="BD429"/>
      <c r="BE429"/>
      <c r="BF429"/>
      <c r="BG429"/>
      <c r="BH429"/>
      <c r="BI429"/>
      <c r="BJ429"/>
      <c r="BK429"/>
      <c r="BL429"/>
      <c r="BM429"/>
      <c r="BN429"/>
      <c r="BO429"/>
      <c r="BP429"/>
      <c r="BQ429"/>
      <c r="BR429"/>
      <c r="BS429"/>
      <c r="BT429"/>
      <c r="BU429"/>
      <c r="BV429"/>
      <c r="BW429"/>
      <c r="BX429"/>
      <c r="BY429"/>
      <c r="BZ429"/>
      <c r="CA429"/>
      <c r="CB429"/>
      <c r="CC429"/>
      <c r="CD429"/>
      <c r="CE429"/>
      <c r="CF429"/>
      <c r="CG429"/>
      <c r="CH429"/>
      <c r="CI429"/>
      <c r="CJ429"/>
      <c r="CK429"/>
      <c r="CL429"/>
      <c r="CM429"/>
      <c r="CN429"/>
      <c r="CO429"/>
      <c r="CP429"/>
      <c r="CQ429"/>
      <c r="CR429"/>
      <c r="CS429"/>
      <c r="CT429"/>
      <c r="CU429"/>
      <c r="CV429"/>
      <c r="CW429"/>
      <c r="CX429"/>
      <c r="CY429"/>
      <c r="CZ429"/>
      <c r="DA429"/>
      <c r="DB429"/>
      <c r="DC429"/>
      <c r="DD429"/>
      <c r="DE429"/>
      <c r="DF429"/>
      <c r="DG429"/>
      <c r="DH429"/>
      <c r="DI429"/>
      <c r="DJ429"/>
      <c r="DK429"/>
      <c r="DL429"/>
      <c r="DM429"/>
      <c r="DN429"/>
      <c r="DO429"/>
      <c r="DP429"/>
      <c r="DQ429"/>
      <c r="DR429"/>
      <c r="DS429"/>
      <c r="DT429"/>
      <c r="DU429"/>
      <c r="DV429"/>
      <c r="DW429"/>
      <c r="DX429"/>
      <c r="DY429"/>
      <c r="DZ429"/>
      <c r="EA429"/>
      <c r="EB429"/>
      <c r="EC429"/>
      <c r="ED429"/>
      <c r="EE429"/>
      <c r="EF429"/>
      <c r="EG429"/>
      <c r="EH429"/>
      <c r="EI429"/>
      <c r="EJ429"/>
      <c r="EK429"/>
      <c r="EL429"/>
      <c r="EM429"/>
      <c r="EN429"/>
      <c r="EO429"/>
      <c r="EP429"/>
      <c r="EQ429"/>
      <c r="ER429"/>
      <c r="ES429"/>
      <c r="ET429"/>
      <c r="EU429"/>
      <c r="EV429"/>
      <c r="EW429"/>
      <c r="EX429"/>
      <c r="EY429"/>
      <c r="EZ429"/>
      <c r="FA429"/>
      <c r="FB429"/>
      <c r="FC429"/>
      <c r="FD429"/>
      <c r="FE429"/>
      <c r="FF429"/>
      <c r="FG429"/>
      <c r="FH429"/>
      <c r="FI429"/>
      <c r="FJ429"/>
      <c r="FK429"/>
      <c r="FL429"/>
      <c r="FM429"/>
      <c r="FN429"/>
      <c r="FO429"/>
      <c r="FP429"/>
      <c r="FQ429"/>
      <c r="FR429"/>
      <c r="FS429"/>
      <c r="FT429"/>
      <c r="FU429"/>
      <c r="FV429"/>
      <c r="FW429"/>
      <c r="FX429"/>
      <c r="FY429"/>
      <c r="FZ429"/>
      <c r="GA429"/>
      <c r="GB429"/>
      <c r="GC429"/>
      <c r="GD429"/>
      <c r="GE429"/>
      <c r="GF429"/>
      <c r="GG429"/>
      <c r="GH429"/>
      <c r="GI429"/>
      <c r="GJ429"/>
      <c r="GK429"/>
      <c r="GL429"/>
      <c r="GM429"/>
      <c r="GN429"/>
      <c r="GO429"/>
      <c r="GP429"/>
      <c r="GQ429"/>
      <c r="GR429"/>
      <c r="GS429"/>
      <c r="GT429"/>
      <c r="GU429"/>
      <c r="GV429"/>
      <c r="GW429"/>
      <c r="GX429"/>
      <c r="GY429"/>
      <c r="GZ429"/>
      <c r="HA429"/>
      <c r="HB429"/>
      <c r="HC429"/>
      <c r="HD429"/>
      <c r="HE429"/>
      <c r="HF429"/>
      <c r="HG429"/>
      <c r="HH429"/>
      <c r="HI429"/>
      <c r="HJ429"/>
      <c r="HK429"/>
      <c r="HL429"/>
      <c r="HM429"/>
      <c r="HN429"/>
      <c r="HO429"/>
      <c r="HP429"/>
      <c r="HQ429"/>
      <c r="HR429"/>
      <c r="HS429"/>
      <c r="HT429"/>
      <c r="HU429"/>
      <c r="HV429"/>
      <c r="HW429"/>
      <c r="HX429"/>
      <c r="HY429"/>
      <c r="HZ429"/>
      <c r="IA429"/>
      <c r="IB429"/>
      <c r="IC429"/>
      <c r="ID429"/>
      <c r="IE429"/>
      <c r="IF429"/>
      <c r="IG429"/>
      <c r="IH429"/>
      <c r="II429"/>
      <c r="IJ429"/>
      <c r="IK429"/>
      <c r="IL429"/>
      <c r="IM429"/>
      <c r="IN429"/>
      <c r="IO429"/>
      <c r="IP429"/>
      <c r="IQ429"/>
      <c r="IR429"/>
      <c r="IS429"/>
      <c r="IT429"/>
      <c r="IU429"/>
      <c r="IV429"/>
      <c r="IW429"/>
      <c r="IX429"/>
      <c r="IY429"/>
      <c r="IZ429"/>
      <c r="JA429"/>
      <c r="JB429"/>
      <c r="JC429"/>
      <c r="JD429"/>
      <c r="JE429"/>
      <c r="JF429"/>
      <c r="JG429"/>
      <c r="JH429"/>
      <c r="JI429"/>
      <c r="JJ429"/>
      <c r="JK429"/>
      <c r="JL429"/>
      <c r="JM429"/>
      <c r="JN429"/>
      <c r="JO429"/>
      <c r="JP429"/>
      <c r="JQ429"/>
      <c r="JR429"/>
      <c r="JS429"/>
      <c r="JT429"/>
      <c r="JU429"/>
      <c r="JV429"/>
      <c r="JW429"/>
      <c r="JX429"/>
      <c r="JY429"/>
      <c r="JZ429"/>
      <c r="KA429"/>
      <c r="KB429"/>
      <c r="KC429"/>
      <c r="KD429"/>
      <c r="KE429"/>
      <c r="KF429"/>
      <c r="KG429"/>
      <c r="KH429"/>
      <c r="KI429"/>
      <c r="KJ429"/>
      <c r="KK429"/>
      <c r="KL429"/>
      <c r="KM429"/>
      <c r="KN429"/>
      <c r="KO429"/>
      <c r="KP429"/>
      <c r="KQ429"/>
      <c r="KR429"/>
      <c r="KS429"/>
    </row>
    <row r="430" spans="2:305" hidden="1" x14ac:dyDescent="0.35">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c r="AR430"/>
      <c r="AS430"/>
      <c r="AT430"/>
      <c r="AU430"/>
      <c r="AV430"/>
      <c r="AW430"/>
      <c r="AX430"/>
      <c r="AY430"/>
      <c r="AZ430"/>
      <c r="BA430"/>
      <c r="BB430"/>
      <c r="BC430"/>
      <c r="BD430"/>
      <c r="BE430"/>
      <c r="BF430"/>
      <c r="BG430"/>
      <c r="BH430"/>
      <c r="BI430"/>
      <c r="BJ430"/>
      <c r="BK430"/>
      <c r="BL430"/>
      <c r="BM430"/>
      <c r="BN430"/>
      <c r="BO430"/>
      <c r="BP430"/>
      <c r="BQ430"/>
      <c r="BR430"/>
      <c r="BS430"/>
      <c r="BT430"/>
      <c r="BU430"/>
      <c r="BV430"/>
      <c r="BW430"/>
      <c r="BX430"/>
      <c r="BY430"/>
      <c r="BZ430"/>
      <c r="CA430"/>
      <c r="CB430"/>
      <c r="CC430"/>
      <c r="CD430"/>
      <c r="CE430"/>
      <c r="CF430"/>
      <c r="CG430"/>
      <c r="CH430"/>
      <c r="CI430"/>
      <c r="CJ430"/>
      <c r="CK430"/>
      <c r="CL430"/>
      <c r="CM430"/>
      <c r="CN430"/>
      <c r="CO430"/>
      <c r="CP430"/>
      <c r="CQ430"/>
      <c r="CR430"/>
      <c r="CS430"/>
      <c r="CT430"/>
      <c r="CU430"/>
      <c r="CV430"/>
      <c r="CW430"/>
      <c r="CX430"/>
      <c r="CY430"/>
      <c r="CZ430"/>
      <c r="DA430"/>
      <c r="DB430"/>
      <c r="DC430"/>
      <c r="DD430"/>
      <c r="DE430"/>
      <c r="DF430"/>
      <c r="DG430"/>
      <c r="DH430"/>
      <c r="DI430"/>
      <c r="DJ430"/>
      <c r="DK430"/>
      <c r="DL430"/>
      <c r="DM430"/>
      <c r="DN430"/>
      <c r="DO430"/>
      <c r="DP430"/>
      <c r="DQ430"/>
      <c r="DR430"/>
      <c r="DS430"/>
      <c r="DT430"/>
      <c r="DU430"/>
      <c r="DV430"/>
      <c r="DW430"/>
      <c r="DX430"/>
      <c r="DY430"/>
      <c r="DZ430"/>
      <c r="EA430"/>
      <c r="EB430"/>
      <c r="EC430"/>
      <c r="ED430"/>
      <c r="EE430"/>
      <c r="EF430"/>
      <c r="EG430"/>
      <c r="EH430"/>
      <c r="EI430"/>
      <c r="EJ430"/>
      <c r="EK430"/>
      <c r="EL430"/>
      <c r="EM430"/>
      <c r="EN430"/>
      <c r="EO430"/>
      <c r="EP430"/>
      <c r="EQ430"/>
      <c r="ER430"/>
      <c r="ES430"/>
      <c r="ET430"/>
      <c r="EU430"/>
      <c r="EV430"/>
      <c r="EW430"/>
      <c r="EX430"/>
      <c r="EY430"/>
      <c r="EZ430"/>
      <c r="FA430"/>
      <c r="FB430"/>
      <c r="FC430"/>
      <c r="FD430"/>
      <c r="FE430"/>
      <c r="FF430"/>
      <c r="FG430"/>
      <c r="FH430"/>
      <c r="FI430"/>
      <c r="FJ430"/>
      <c r="FK430"/>
      <c r="FL430"/>
      <c r="FM430"/>
      <c r="FN430"/>
      <c r="FO430"/>
      <c r="FP430"/>
      <c r="FQ430"/>
      <c r="FR430"/>
      <c r="FS430"/>
      <c r="FT430"/>
      <c r="FU430"/>
      <c r="FV430"/>
      <c r="FW430"/>
      <c r="FX430"/>
      <c r="FY430"/>
      <c r="FZ430"/>
      <c r="GA430"/>
      <c r="GB430"/>
      <c r="GC430"/>
      <c r="GD430"/>
      <c r="GE430"/>
      <c r="GF430"/>
      <c r="GG430"/>
      <c r="GH430"/>
      <c r="GI430"/>
      <c r="GJ430"/>
      <c r="GK430"/>
      <c r="GL430"/>
      <c r="GM430"/>
      <c r="GN430"/>
      <c r="GO430"/>
      <c r="GP430"/>
      <c r="GQ430"/>
      <c r="GR430"/>
      <c r="GS430"/>
      <c r="GT430"/>
      <c r="GU430"/>
      <c r="GV430"/>
      <c r="GW430"/>
      <c r="GX430"/>
      <c r="GY430"/>
      <c r="GZ430"/>
      <c r="HA430"/>
      <c r="HB430"/>
      <c r="HC430"/>
      <c r="HD430"/>
      <c r="HE430"/>
      <c r="HF430"/>
      <c r="HG430"/>
      <c r="HH430"/>
      <c r="HI430"/>
      <c r="HJ430"/>
      <c r="HK430"/>
      <c r="HL430"/>
      <c r="HM430"/>
      <c r="HN430"/>
      <c r="HO430"/>
      <c r="HP430"/>
      <c r="HQ430"/>
      <c r="HR430"/>
      <c r="HS430"/>
      <c r="HT430"/>
      <c r="HU430"/>
      <c r="HV430"/>
      <c r="HW430"/>
      <c r="HX430"/>
      <c r="HY430"/>
      <c r="HZ430"/>
      <c r="IA430"/>
      <c r="IB430"/>
      <c r="IC430"/>
      <c r="ID430"/>
      <c r="IE430"/>
      <c r="IF430"/>
      <c r="IG430"/>
      <c r="IH430"/>
      <c r="II430"/>
      <c r="IJ430"/>
      <c r="IK430"/>
      <c r="IL430"/>
      <c r="IM430"/>
      <c r="IN430"/>
      <c r="IO430"/>
      <c r="IP430"/>
      <c r="IQ430"/>
      <c r="IR430"/>
      <c r="IS430"/>
      <c r="IT430"/>
      <c r="IU430"/>
      <c r="IV430"/>
      <c r="IW430"/>
      <c r="IX430"/>
      <c r="IY430"/>
      <c r="IZ430"/>
      <c r="JA430"/>
      <c r="JB430"/>
      <c r="JC430"/>
      <c r="JD430"/>
      <c r="JE430"/>
      <c r="JF430"/>
      <c r="JG430"/>
      <c r="JH430"/>
      <c r="JI430"/>
      <c r="JJ430"/>
      <c r="JK430"/>
      <c r="JL430"/>
      <c r="JM430"/>
      <c r="JN430"/>
      <c r="JO430"/>
      <c r="JP430"/>
      <c r="JQ430"/>
      <c r="JR430"/>
      <c r="JS430"/>
      <c r="JT430"/>
      <c r="JU430"/>
      <c r="JV430"/>
      <c r="JW430"/>
      <c r="JX430"/>
      <c r="JY430"/>
      <c r="JZ430"/>
      <c r="KA430"/>
      <c r="KB430"/>
      <c r="KC430"/>
      <c r="KD430"/>
      <c r="KE430"/>
      <c r="KF430"/>
      <c r="KG430"/>
      <c r="KH430"/>
      <c r="KI430"/>
      <c r="KJ430"/>
      <c r="KK430"/>
      <c r="KL430"/>
      <c r="KM430"/>
      <c r="KN430"/>
      <c r="KO430"/>
      <c r="KP430"/>
      <c r="KQ430"/>
      <c r="KR430"/>
      <c r="KS430"/>
    </row>
    <row r="431" spans="2:305" hidden="1" x14ac:dyDescent="0.35">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c r="AR431"/>
      <c r="AS431"/>
      <c r="AT431"/>
      <c r="AU431"/>
      <c r="AV431"/>
      <c r="AW431"/>
      <c r="AX431"/>
      <c r="AY431"/>
      <c r="AZ431"/>
      <c r="BA431"/>
      <c r="BB431"/>
      <c r="BC431"/>
      <c r="BD431"/>
      <c r="BE431"/>
      <c r="BF431"/>
      <c r="BG431"/>
      <c r="BH431"/>
      <c r="BI431"/>
      <c r="BJ431"/>
      <c r="BK431"/>
      <c r="BL431"/>
      <c r="BM431"/>
      <c r="BN431"/>
      <c r="BO431"/>
      <c r="BP431"/>
      <c r="BQ431"/>
      <c r="BR431"/>
      <c r="BS431"/>
      <c r="BT431"/>
      <c r="BU431"/>
      <c r="BV431"/>
      <c r="BW431"/>
      <c r="BX431"/>
      <c r="BY431"/>
      <c r="BZ431"/>
      <c r="CA431"/>
      <c r="CB431"/>
      <c r="CC431"/>
      <c r="CD431"/>
      <c r="CE431"/>
      <c r="CF431"/>
      <c r="CG431"/>
      <c r="CH431"/>
      <c r="CI431"/>
      <c r="CJ431"/>
      <c r="CK431"/>
      <c r="CL431"/>
      <c r="CM431"/>
      <c r="CN431"/>
      <c r="CO431"/>
      <c r="CP431"/>
      <c r="CQ431"/>
      <c r="CR431"/>
      <c r="CS431"/>
      <c r="CT431"/>
      <c r="CU431"/>
      <c r="CV431"/>
      <c r="CW431"/>
      <c r="CX431"/>
      <c r="CY431"/>
      <c r="CZ431"/>
      <c r="DA431"/>
      <c r="DB431"/>
      <c r="DC431"/>
      <c r="DD431"/>
      <c r="DE431"/>
      <c r="DF431"/>
      <c r="DG431"/>
      <c r="DH431"/>
      <c r="DI431"/>
      <c r="DJ431"/>
      <c r="DK431"/>
      <c r="DL431"/>
      <c r="DM431"/>
      <c r="DN431"/>
      <c r="DO431"/>
      <c r="DP431"/>
      <c r="DQ431"/>
      <c r="DR431"/>
      <c r="DS431"/>
      <c r="DT431"/>
      <c r="DU431"/>
      <c r="DV431"/>
      <c r="DW431"/>
      <c r="DX431"/>
      <c r="DY431"/>
      <c r="DZ431"/>
      <c r="EA431"/>
      <c r="EB431"/>
      <c r="EC431"/>
      <c r="ED431"/>
      <c r="EE431"/>
      <c r="EF431"/>
      <c r="EG431"/>
      <c r="EH431"/>
      <c r="EI431"/>
      <c r="EJ431"/>
      <c r="EK431"/>
      <c r="EL431"/>
      <c r="EM431"/>
      <c r="EN431"/>
      <c r="EO431"/>
      <c r="EP431"/>
      <c r="EQ431"/>
      <c r="ER431"/>
      <c r="ES431"/>
      <c r="ET431"/>
      <c r="EU431"/>
      <c r="EV431"/>
      <c r="EW431"/>
      <c r="EX431"/>
      <c r="EY431"/>
      <c r="EZ431"/>
      <c r="FA431"/>
      <c r="FB431"/>
      <c r="FC431"/>
      <c r="FD431"/>
      <c r="FE431"/>
      <c r="FF431"/>
      <c r="FG431"/>
      <c r="FH431"/>
      <c r="FI431"/>
      <c r="FJ431"/>
      <c r="FK431"/>
      <c r="FL431"/>
      <c r="FM431"/>
      <c r="FN431"/>
      <c r="FO431"/>
      <c r="FP431"/>
      <c r="FQ431"/>
      <c r="FR431"/>
      <c r="FS431"/>
      <c r="FT431"/>
      <c r="FU431"/>
      <c r="FV431"/>
      <c r="FW431"/>
      <c r="FX431"/>
      <c r="FY431"/>
      <c r="FZ431"/>
      <c r="GA431"/>
      <c r="GB431"/>
      <c r="GC431"/>
      <c r="GD431"/>
      <c r="GE431"/>
      <c r="GF431"/>
      <c r="GG431"/>
      <c r="GH431"/>
      <c r="GI431"/>
      <c r="GJ431"/>
      <c r="GK431"/>
      <c r="GL431"/>
      <c r="GM431"/>
      <c r="GN431"/>
      <c r="GO431"/>
      <c r="GP431"/>
      <c r="GQ431"/>
      <c r="GR431"/>
      <c r="GS431"/>
      <c r="GT431"/>
      <c r="GU431"/>
      <c r="GV431"/>
      <c r="GW431"/>
      <c r="GX431"/>
      <c r="GY431"/>
      <c r="GZ431"/>
      <c r="HA431"/>
      <c r="HB431"/>
      <c r="HC431"/>
      <c r="HD431"/>
      <c r="HE431"/>
      <c r="HF431"/>
      <c r="HG431"/>
      <c r="HH431"/>
      <c r="HI431"/>
      <c r="HJ431"/>
      <c r="HK431"/>
      <c r="HL431"/>
      <c r="HM431"/>
      <c r="HN431"/>
      <c r="HO431"/>
      <c r="HP431"/>
      <c r="HQ431"/>
      <c r="HR431"/>
      <c r="HS431"/>
      <c r="HT431"/>
      <c r="HU431"/>
      <c r="HV431"/>
      <c r="HW431"/>
      <c r="HX431"/>
      <c r="HY431"/>
      <c r="HZ431"/>
      <c r="IA431"/>
      <c r="IB431"/>
      <c r="IC431"/>
      <c r="ID431"/>
      <c r="IE431"/>
      <c r="IF431"/>
      <c r="IG431"/>
      <c r="IH431"/>
      <c r="II431"/>
      <c r="IJ431"/>
      <c r="IK431"/>
      <c r="IL431"/>
      <c r="IM431"/>
      <c r="IN431"/>
      <c r="IO431"/>
      <c r="IP431"/>
      <c r="IQ431"/>
      <c r="IR431"/>
      <c r="IS431"/>
      <c r="IT431"/>
      <c r="IU431"/>
      <c r="IV431"/>
      <c r="IW431"/>
      <c r="IX431"/>
      <c r="IY431"/>
      <c r="IZ431"/>
      <c r="JA431"/>
      <c r="JB431"/>
      <c r="JC431"/>
      <c r="JD431"/>
      <c r="JE431"/>
      <c r="JF431"/>
      <c r="JG431"/>
      <c r="JH431"/>
      <c r="JI431"/>
      <c r="JJ431"/>
      <c r="JK431"/>
      <c r="JL431"/>
      <c r="JM431"/>
      <c r="JN431"/>
      <c r="JO431"/>
      <c r="JP431"/>
      <c r="JQ431"/>
      <c r="JR431"/>
      <c r="JS431"/>
      <c r="JT431"/>
      <c r="JU431"/>
      <c r="JV431"/>
      <c r="JW431"/>
      <c r="JX431"/>
      <c r="JY431"/>
      <c r="JZ431"/>
      <c r="KA431"/>
      <c r="KB431"/>
      <c r="KC431"/>
      <c r="KD431"/>
      <c r="KE431"/>
      <c r="KF431"/>
      <c r="KG431"/>
      <c r="KH431"/>
      <c r="KI431"/>
      <c r="KJ431"/>
      <c r="KK431"/>
      <c r="KL431"/>
      <c r="KM431"/>
      <c r="KN431"/>
      <c r="KO431"/>
      <c r="KP431"/>
      <c r="KQ431"/>
      <c r="KR431"/>
      <c r="KS431"/>
    </row>
    <row r="432" spans="2:305" hidden="1" x14ac:dyDescent="0.35">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c r="AR432"/>
      <c r="AS432"/>
      <c r="AT432"/>
      <c r="AU432"/>
      <c r="AV432"/>
      <c r="AW432"/>
      <c r="AX432"/>
      <c r="AY432"/>
      <c r="AZ432"/>
      <c r="BA432"/>
      <c r="BB432"/>
      <c r="BC432"/>
      <c r="BD432"/>
      <c r="BE432"/>
      <c r="BF432"/>
      <c r="BG432"/>
      <c r="BH432"/>
      <c r="BI432"/>
      <c r="BJ432"/>
      <c r="BK432"/>
      <c r="BL432"/>
      <c r="BM432"/>
      <c r="BN432"/>
      <c r="BO432"/>
      <c r="BP432"/>
      <c r="BQ432"/>
      <c r="BR432"/>
      <c r="BS432"/>
      <c r="BT432"/>
      <c r="BU432"/>
      <c r="BV432"/>
      <c r="BW432"/>
      <c r="BX432"/>
      <c r="BY432"/>
      <c r="BZ432"/>
      <c r="CA432"/>
      <c r="CB432"/>
      <c r="CC432"/>
      <c r="CD432"/>
      <c r="CE432"/>
      <c r="CF432"/>
      <c r="CG432"/>
      <c r="CH432"/>
      <c r="CI432"/>
      <c r="CJ432"/>
      <c r="CK432"/>
      <c r="CL432"/>
      <c r="CM432"/>
      <c r="CN432"/>
      <c r="CO432"/>
      <c r="CP432"/>
      <c r="CQ432"/>
      <c r="CR432"/>
      <c r="CS432"/>
      <c r="CT432"/>
      <c r="CU432"/>
      <c r="CV432"/>
      <c r="CW432"/>
      <c r="CX432"/>
      <c r="CY432"/>
      <c r="CZ432"/>
      <c r="DA432"/>
      <c r="DB432"/>
      <c r="DC432"/>
      <c r="DD432"/>
      <c r="DE432"/>
      <c r="DF432"/>
      <c r="DG432"/>
      <c r="DH432"/>
      <c r="DI432"/>
      <c r="DJ432"/>
      <c r="DK432"/>
      <c r="DL432"/>
      <c r="DM432"/>
      <c r="DN432"/>
      <c r="DO432"/>
      <c r="DP432"/>
      <c r="DQ432"/>
      <c r="DR432"/>
      <c r="DS432"/>
      <c r="DT432"/>
      <c r="DU432"/>
      <c r="DV432"/>
      <c r="DW432"/>
      <c r="DX432"/>
      <c r="DY432"/>
      <c r="DZ432"/>
      <c r="EA432"/>
      <c r="EB432"/>
      <c r="EC432"/>
      <c r="ED432"/>
      <c r="EE432"/>
      <c r="EF432"/>
      <c r="EG432"/>
      <c r="EH432"/>
      <c r="EI432"/>
      <c r="EJ432"/>
      <c r="EK432"/>
      <c r="EL432"/>
      <c r="EM432"/>
      <c r="EN432"/>
      <c r="EO432"/>
      <c r="EP432"/>
      <c r="EQ432"/>
      <c r="ER432"/>
      <c r="ES432"/>
      <c r="ET432"/>
      <c r="EU432"/>
      <c r="EV432"/>
      <c r="EW432"/>
      <c r="EX432"/>
      <c r="EY432"/>
      <c r="EZ432"/>
      <c r="FA432"/>
      <c r="FB432"/>
      <c r="FC432"/>
      <c r="FD432"/>
      <c r="FE432"/>
      <c r="FF432"/>
      <c r="FG432"/>
      <c r="FH432"/>
      <c r="FI432"/>
      <c r="FJ432"/>
      <c r="FK432"/>
      <c r="FL432"/>
      <c r="FM432"/>
      <c r="FN432"/>
      <c r="FO432"/>
      <c r="FP432"/>
      <c r="FQ432"/>
      <c r="FR432"/>
      <c r="FS432"/>
      <c r="FT432"/>
      <c r="FU432"/>
      <c r="FV432"/>
      <c r="FW432"/>
      <c r="FX432"/>
      <c r="FY432"/>
      <c r="FZ432"/>
      <c r="GA432"/>
      <c r="GB432"/>
      <c r="GC432"/>
      <c r="GD432"/>
      <c r="GE432"/>
      <c r="GF432"/>
      <c r="GG432"/>
      <c r="GH432"/>
      <c r="GI432"/>
      <c r="GJ432"/>
      <c r="GK432"/>
      <c r="GL432"/>
      <c r="GM432"/>
      <c r="GN432"/>
      <c r="GO432"/>
      <c r="GP432"/>
      <c r="GQ432"/>
      <c r="GR432"/>
      <c r="GS432"/>
      <c r="GT432"/>
      <c r="GU432"/>
      <c r="GV432"/>
      <c r="GW432"/>
      <c r="GX432"/>
      <c r="GY432"/>
      <c r="GZ432"/>
      <c r="HA432"/>
      <c r="HB432"/>
      <c r="HC432"/>
      <c r="HD432"/>
      <c r="HE432"/>
      <c r="HF432"/>
      <c r="HG432"/>
      <c r="HH432"/>
      <c r="HI432"/>
      <c r="HJ432"/>
      <c r="HK432"/>
      <c r="HL432"/>
      <c r="HM432"/>
      <c r="HN432"/>
      <c r="HO432"/>
      <c r="HP432"/>
      <c r="HQ432"/>
      <c r="HR432"/>
      <c r="HS432"/>
      <c r="HT432"/>
      <c r="HU432"/>
      <c r="HV432"/>
      <c r="HW432"/>
      <c r="HX432"/>
      <c r="HY432"/>
      <c r="HZ432"/>
      <c r="IA432"/>
      <c r="IB432"/>
      <c r="IC432"/>
      <c r="ID432"/>
      <c r="IE432"/>
      <c r="IF432"/>
      <c r="IG432"/>
      <c r="IH432"/>
      <c r="II432"/>
      <c r="IJ432"/>
      <c r="IK432"/>
      <c r="IL432"/>
      <c r="IM432"/>
      <c r="IN432"/>
      <c r="IO432"/>
      <c r="IP432"/>
      <c r="IQ432"/>
      <c r="IR432"/>
      <c r="IS432"/>
      <c r="IT432"/>
      <c r="IU432"/>
      <c r="IV432"/>
      <c r="IW432"/>
      <c r="IX432"/>
      <c r="IY432"/>
      <c r="IZ432"/>
      <c r="JA432"/>
      <c r="JB432"/>
      <c r="JC432"/>
      <c r="JD432"/>
      <c r="JE432"/>
      <c r="JF432"/>
      <c r="JG432"/>
      <c r="JH432"/>
      <c r="JI432"/>
      <c r="JJ432"/>
      <c r="JK432"/>
      <c r="JL432"/>
      <c r="JM432"/>
      <c r="JN432"/>
      <c r="JO432"/>
      <c r="JP432"/>
      <c r="JQ432"/>
      <c r="JR432"/>
      <c r="JS432"/>
      <c r="JT432"/>
      <c r="JU432"/>
      <c r="JV432"/>
      <c r="JW432"/>
      <c r="JX432"/>
      <c r="JY432"/>
      <c r="JZ432"/>
      <c r="KA432"/>
      <c r="KB432"/>
      <c r="KC432"/>
      <c r="KD432"/>
      <c r="KE432"/>
      <c r="KF432"/>
      <c r="KG432"/>
      <c r="KH432"/>
      <c r="KI432"/>
      <c r="KJ432"/>
      <c r="KK432"/>
      <c r="KL432"/>
      <c r="KM432"/>
      <c r="KN432"/>
      <c r="KO432"/>
      <c r="KP432"/>
      <c r="KQ432"/>
      <c r="KR432"/>
      <c r="KS432"/>
    </row>
    <row r="433" spans="2:305" hidden="1" x14ac:dyDescent="0.35">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c r="AR433"/>
      <c r="AS433"/>
      <c r="AT433"/>
      <c r="AU433"/>
      <c r="AV433"/>
      <c r="AW433"/>
      <c r="AX433"/>
      <c r="AY433"/>
      <c r="AZ433"/>
      <c r="BA433"/>
      <c r="BB433"/>
      <c r="BC433"/>
      <c r="BD433"/>
      <c r="BE433"/>
      <c r="BF433"/>
      <c r="BG433"/>
      <c r="BH433"/>
      <c r="BI433"/>
      <c r="BJ433"/>
      <c r="BK433"/>
      <c r="BL433"/>
      <c r="BM433"/>
      <c r="BN433"/>
      <c r="BO433"/>
      <c r="BP433"/>
      <c r="BQ433"/>
      <c r="BR433"/>
      <c r="BS433"/>
      <c r="BT433"/>
      <c r="BU433"/>
      <c r="BV433"/>
      <c r="BW433"/>
      <c r="BX433"/>
      <c r="BY433"/>
      <c r="BZ433"/>
      <c r="CA433"/>
      <c r="CB433"/>
      <c r="CC433"/>
      <c r="CD433"/>
      <c r="CE433"/>
      <c r="CF433"/>
      <c r="CG433"/>
      <c r="CH433"/>
      <c r="CI433"/>
      <c r="CJ433"/>
      <c r="CK433"/>
      <c r="CL433"/>
      <c r="CM433"/>
      <c r="CN433"/>
      <c r="CO433"/>
      <c r="CP433"/>
      <c r="CQ433"/>
      <c r="CR433"/>
      <c r="CS433"/>
      <c r="CT433"/>
      <c r="CU433"/>
      <c r="CV433"/>
      <c r="CW433"/>
      <c r="CX433"/>
      <c r="CY433"/>
      <c r="CZ433"/>
      <c r="DA433"/>
      <c r="DB433"/>
      <c r="DC433"/>
      <c r="DD433"/>
      <c r="DE433"/>
      <c r="DF433"/>
      <c r="DG433"/>
      <c r="DH433"/>
      <c r="DI433"/>
      <c r="DJ433"/>
      <c r="DK433"/>
      <c r="DL433"/>
      <c r="DM433"/>
      <c r="DN433"/>
      <c r="DO433"/>
      <c r="DP433"/>
      <c r="DQ433"/>
      <c r="DR433"/>
      <c r="DS433"/>
      <c r="DT433"/>
      <c r="DU433"/>
      <c r="DV433"/>
      <c r="DW433"/>
      <c r="DX433"/>
      <c r="DY433"/>
      <c r="DZ433"/>
      <c r="EA433"/>
      <c r="EB433"/>
      <c r="EC433"/>
      <c r="ED433"/>
      <c r="EE433"/>
      <c r="EF433"/>
      <c r="EG433"/>
      <c r="EH433"/>
      <c r="EI433"/>
      <c r="EJ433"/>
      <c r="EK433"/>
      <c r="EL433"/>
      <c r="EM433"/>
      <c r="EN433"/>
      <c r="EO433"/>
      <c r="EP433"/>
      <c r="EQ433"/>
      <c r="ER433"/>
      <c r="ES433"/>
      <c r="ET433"/>
      <c r="EU433"/>
      <c r="EV433"/>
      <c r="EW433"/>
      <c r="EX433"/>
      <c r="EY433"/>
      <c r="EZ433"/>
      <c r="FA433"/>
      <c r="FB433"/>
      <c r="FC433"/>
      <c r="FD433"/>
      <c r="FE433"/>
      <c r="FF433"/>
      <c r="FG433"/>
      <c r="FH433"/>
      <c r="FI433"/>
      <c r="FJ433"/>
      <c r="FK433"/>
      <c r="FL433"/>
      <c r="FM433"/>
      <c r="FN433"/>
      <c r="FO433"/>
      <c r="FP433"/>
      <c r="FQ433"/>
      <c r="FR433"/>
      <c r="FS433"/>
      <c r="FT433"/>
      <c r="FU433"/>
      <c r="FV433"/>
      <c r="FW433"/>
      <c r="FX433"/>
      <c r="FY433"/>
      <c r="FZ433"/>
      <c r="GA433"/>
      <c r="GB433"/>
      <c r="GC433"/>
      <c r="GD433"/>
      <c r="GE433"/>
      <c r="GF433"/>
      <c r="GG433"/>
      <c r="GH433"/>
      <c r="GI433"/>
      <c r="GJ433"/>
      <c r="GK433"/>
      <c r="GL433"/>
      <c r="GM433"/>
      <c r="GN433"/>
      <c r="GO433"/>
      <c r="GP433"/>
      <c r="GQ433"/>
      <c r="GR433"/>
      <c r="GS433"/>
      <c r="GT433"/>
      <c r="GU433"/>
      <c r="GV433"/>
      <c r="GW433"/>
      <c r="GX433"/>
      <c r="GY433"/>
      <c r="GZ433"/>
      <c r="HA433"/>
      <c r="HB433"/>
      <c r="HC433"/>
      <c r="HD433"/>
      <c r="HE433"/>
      <c r="HF433"/>
      <c r="HG433"/>
      <c r="HH433"/>
      <c r="HI433"/>
      <c r="HJ433"/>
      <c r="HK433"/>
      <c r="HL433"/>
      <c r="HM433"/>
      <c r="HN433"/>
      <c r="HO433"/>
      <c r="HP433"/>
      <c r="HQ433"/>
      <c r="HR433"/>
      <c r="HS433"/>
      <c r="HT433"/>
      <c r="HU433"/>
      <c r="HV433"/>
      <c r="HW433"/>
      <c r="HX433"/>
      <c r="HY433"/>
      <c r="HZ433"/>
      <c r="IA433"/>
      <c r="IB433"/>
      <c r="IC433"/>
      <c r="ID433"/>
      <c r="IE433"/>
      <c r="IF433"/>
      <c r="IG433"/>
      <c r="IH433"/>
      <c r="II433"/>
      <c r="IJ433"/>
      <c r="IK433"/>
      <c r="IL433"/>
      <c r="IM433"/>
      <c r="IN433"/>
      <c r="IO433"/>
      <c r="IP433"/>
      <c r="IQ433"/>
      <c r="IR433"/>
      <c r="IS433"/>
      <c r="IT433"/>
      <c r="IU433"/>
      <c r="IV433"/>
      <c r="IW433"/>
      <c r="IX433"/>
      <c r="IY433"/>
      <c r="IZ433"/>
      <c r="JA433"/>
      <c r="JB433"/>
      <c r="JC433"/>
      <c r="JD433"/>
      <c r="JE433"/>
      <c r="JF433"/>
      <c r="JG433"/>
      <c r="JH433"/>
      <c r="JI433"/>
      <c r="JJ433"/>
      <c r="JK433"/>
      <c r="JL433"/>
      <c r="JM433"/>
      <c r="JN433"/>
      <c r="JO433"/>
      <c r="JP433"/>
      <c r="JQ433"/>
      <c r="JR433"/>
      <c r="JS433"/>
      <c r="JT433"/>
      <c r="JU433"/>
      <c r="JV433"/>
      <c r="JW433"/>
      <c r="JX433"/>
      <c r="JY433"/>
      <c r="JZ433"/>
      <c r="KA433"/>
      <c r="KB433"/>
      <c r="KC433"/>
      <c r="KD433"/>
      <c r="KE433"/>
      <c r="KF433"/>
      <c r="KG433"/>
      <c r="KH433"/>
      <c r="KI433"/>
      <c r="KJ433"/>
      <c r="KK433"/>
      <c r="KL433"/>
      <c r="KM433"/>
      <c r="KN433"/>
      <c r="KO433"/>
      <c r="KP433"/>
      <c r="KQ433"/>
      <c r="KR433"/>
      <c r="KS433"/>
    </row>
    <row r="434" spans="2:305" hidden="1" x14ac:dyDescent="0.35">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c r="AR434"/>
      <c r="AS434"/>
      <c r="AT434"/>
      <c r="AU434"/>
      <c r="AV434"/>
      <c r="AW434"/>
      <c r="AX434"/>
      <c r="AY434"/>
      <c r="AZ434"/>
      <c r="BA434"/>
      <c r="BB434"/>
      <c r="BC434"/>
      <c r="BD434"/>
      <c r="BE434"/>
      <c r="BF434"/>
      <c r="BG434"/>
      <c r="BH434"/>
      <c r="BI434"/>
      <c r="BJ434"/>
      <c r="BK434"/>
      <c r="BL434"/>
      <c r="BM434"/>
      <c r="BN434"/>
      <c r="BO434"/>
      <c r="BP434"/>
      <c r="BQ434"/>
      <c r="BR434"/>
      <c r="BS434"/>
      <c r="BT434"/>
      <c r="BU434"/>
      <c r="BV434"/>
      <c r="BW434"/>
      <c r="BX434"/>
      <c r="BY434"/>
      <c r="BZ434"/>
      <c r="CA434"/>
      <c r="CB434"/>
      <c r="CC434"/>
      <c r="CD434"/>
      <c r="CE434"/>
      <c r="CF434"/>
      <c r="CG434"/>
      <c r="CH434"/>
      <c r="CI434"/>
      <c r="CJ434"/>
      <c r="CK434"/>
      <c r="CL434"/>
      <c r="CM434"/>
      <c r="CN434"/>
      <c r="CO434"/>
      <c r="CP434"/>
      <c r="CQ434"/>
      <c r="CR434"/>
      <c r="CS434"/>
      <c r="CT434"/>
      <c r="CU434"/>
      <c r="CV434"/>
      <c r="CW434"/>
      <c r="CX434"/>
      <c r="CY434"/>
      <c r="CZ434"/>
      <c r="DA434"/>
      <c r="DB434"/>
      <c r="DC434"/>
      <c r="DD434"/>
      <c r="DE434"/>
      <c r="DF434"/>
      <c r="DG434"/>
      <c r="DH434"/>
      <c r="DI434"/>
      <c r="DJ434"/>
      <c r="DK434"/>
      <c r="DL434"/>
      <c r="DM434"/>
      <c r="DN434"/>
      <c r="DO434"/>
      <c r="DP434"/>
      <c r="DQ434"/>
      <c r="DR434"/>
      <c r="DS434"/>
      <c r="DT434"/>
      <c r="DU434"/>
      <c r="DV434"/>
      <c r="DW434"/>
      <c r="DX434"/>
      <c r="DY434"/>
      <c r="DZ434"/>
      <c r="EA434"/>
      <c r="EB434"/>
      <c r="EC434"/>
      <c r="ED434"/>
      <c r="EE434"/>
      <c r="EF434"/>
      <c r="EG434"/>
      <c r="EH434"/>
      <c r="EI434"/>
      <c r="EJ434"/>
      <c r="EK434"/>
      <c r="EL434"/>
      <c r="EM434"/>
      <c r="EN434"/>
      <c r="EO434"/>
      <c r="EP434"/>
      <c r="EQ434"/>
      <c r="ER434"/>
      <c r="ES434"/>
      <c r="ET434"/>
      <c r="EU434"/>
      <c r="EV434"/>
      <c r="EW434"/>
      <c r="EX434"/>
      <c r="EY434"/>
      <c r="EZ434"/>
      <c r="FA434"/>
      <c r="FB434"/>
      <c r="FC434"/>
      <c r="FD434"/>
      <c r="FE434"/>
      <c r="FF434"/>
      <c r="FG434"/>
      <c r="FH434"/>
      <c r="FI434"/>
      <c r="FJ434"/>
      <c r="FK434"/>
      <c r="FL434"/>
      <c r="FM434"/>
      <c r="FN434"/>
      <c r="FO434"/>
      <c r="FP434"/>
      <c r="FQ434"/>
      <c r="FR434"/>
      <c r="FS434"/>
      <c r="FT434"/>
      <c r="FU434"/>
      <c r="FV434"/>
      <c r="FW434"/>
      <c r="FX434"/>
      <c r="FY434"/>
      <c r="FZ434"/>
      <c r="GA434"/>
      <c r="GB434"/>
      <c r="GC434"/>
      <c r="GD434"/>
      <c r="GE434"/>
      <c r="GF434"/>
      <c r="GG434"/>
      <c r="GH434"/>
      <c r="GI434"/>
      <c r="GJ434"/>
      <c r="GK434"/>
      <c r="GL434"/>
      <c r="GM434"/>
      <c r="GN434"/>
      <c r="GO434"/>
      <c r="GP434"/>
      <c r="GQ434"/>
      <c r="GR434"/>
      <c r="GS434"/>
      <c r="GT434"/>
      <c r="GU434"/>
      <c r="GV434"/>
      <c r="GW434"/>
      <c r="GX434"/>
      <c r="GY434"/>
      <c r="GZ434"/>
      <c r="HA434"/>
      <c r="HB434"/>
      <c r="HC434"/>
      <c r="HD434"/>
      <c r="HE434"/>
      <c r="HF434"/>
      <c r="HG434"/>
      <c r="HH434"/>
      <c r="HI434"/>
      <c r="HJ434"/>
      <c r="HK434"/>
      <c r="HL434"/>
      <c r="HM434"/>
      <c r="HN434"/>
      <c r="HO434"/>
      <c r="HP434"/>
      <c r="HQ434"/>
      <c r="HR434"/>
      <c r="HS434"/>
      <c r="HT434"/>
      <c r="HU434"/>
      <c r="HV434"/>
      <c r="HW434"/>
      <c r="HX434"/>
      <c r="HY434"/>
      <c r="HZ434"/>
      <c r="IA434"/>
      <c r="IB434"/>
      <c r="IC434"/>
      <c r="ID434"/>
      <c r="IE434"/>
      <c r="IF434"/>
      <c r="IG434"/>
      <c r="IH434"/>
      <c r="II434"/>
      <c r="IJ434"/>
      <c r="IK434"/>
      <c r="IL434"/>
      <c r="IM434"/>
      <c r="IN434"/>
      <c r="IO434"/>
      <c r="IP434"/>
      <c r="IQ434"/>
      <c r="IR434"/>
      <c r="IS434"/>
      <c r="IT434"/>
      <c r="IU434"/>
      <c r="IV434"/>
      <c r="IW434"/>
      <c r="IX434"/>
      <c r="IY434"/>
      <c r="IZ434"/>
      <c r="JA434"/>
      <c r="JB434"/>
      <c r="JC434"/>
      <c r="JD434"/>
      <c r="JE434"/>
      <c r="JF434"/>
      <c r="JG434"/>
      <c r="JH434"/>
      <c r="JI434"/>
      <c r="JJ434"/>
      <c r="JK434"/>
      <c r="JL434"/>
      <c r="JM434"/>
      <c r="JN434"/>
      <c r="JO434"/>
      <c r="JP434"/>
      <c r="JQ434"/>
      <c r="JR434"/>
      <c r="JS434"/>
      <c r="JT434"/>
      <c r="JU434"/>
      <c r="JV434"/>
      <c r="JW434"/>
      <c r="JX434"/>
      <c r="JY434"/>
      <c r="JZ434"/>
      <c r="KA434"/>
      <c r="KB434"/>
      <c r="KC434"/>
      <c r="KD434"/>
      <c r="KE434"/>
      <c r="KF434"/>
      <c r="KG434"/>
      <c r="KH434"/>
      <c r="KI434"/>
      <c r="KJ434"/>
      <c r="KK434"/>
      <c r="KL434"/>
      <c r="KM434"/>
      <c r="KN434"/>
      <c r="KO434"/>
      <c r="KP434"/>
      <c r="KQ434"/>
      <c r="KR434"/>
      <c r="KS434"/>
    </row>
    <row r="435" spans="2:305" hidden="1" x14ac:dyDescent="0.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c r="AR435"/>
      <c r="AS435"/>
      <c r="AT435"/>
      <c r="AU435"/>
      <c r="AV435"/>
      <c r="AW435"/>
      <c r="AX435"/>
      <c r="AY435"/>
      <c r="AZ435"/>
      <c r="BA435"/>
      <c r="BB435"/>
      <c r="BC435"/>
      <c r="BD435"/>
      <c r="BE435"/>
      <c r="BF435"/>
      <c r="BG435"/>
      <c r="BH435"/>
      <c r="BI435"/>
      <c r="BJ435"/>
      <c r="BK435"/>
      <c r="BL435"/>
      <c r="BM435"/>
      <c r="BN435"/>
      <c r="BO435"/>
      <c r="BP435"/>
      <c r="BQ435"/>
      <c r="BR435"/>
      <c r="BS435"/>
      <c r="BT435"/>
      <c r="BU435"/>
      <c r="BV435"/>
      <c r="BW435"/>
      <c r="BX435"/>
      <c r="BY435"/>
      <c r="BZ435"/>
      <c r="CA435"/>
      <c r="CB435"/>
      <c r="CC435"/>
      <c r="CD435"/>
      <c r="CE435"/>
      <c r="CF435"/>
      <c r="CG435"/>
      <c r="CH435"/>
      <c r="CI435"/>
      <c r="CJ435"/>
      <c r="CK435"/>
      <c r="CL435"/>
      <c r="CM435"/>
      <c r="CN435"/>
      <c r="CO435"/>
      <c r="CP435"/>
      <c r="CQ435"/>
      <c r="CR435"/>
      <c r="CS435"/>
      <c r="CT435"/>
      <c r="CU435"/>
      <c r="CV435"/>
      <c r="CW435"/>
      <c r="CX435"/>
      <c r="CY435"/>
      <c r="CZ435"/>
      <c r="DA435"/>
      <c r="DB435"/>
      <c r="DC435"/>
      <c r="DD435"/>
      <c r="DE435"/>
      <c r="DF435"/>
      <c r="DG435"/>
      <c r="DH435"/>
      <c r="DI435"/>
      <c r="DJ435"/>
      <c r="DK435"/>
      <c r="DL435"/>
      <c r="DM435"/>
      <c r="DN435"/>
      <c r="DO435"/>
      <c r="DP435"/>
      <c r="DQ435"/>
      <c r="DR435"/>
      <c r="DS435"/>
      <c r="DT435"/>
      <c r="DU435"/>
      <c r="DV435"/>
      <c r="DW435"/>
      <c r="DX435"/>
      <c r="DY435"/>
      <c r="DZ435"/>
      <c r="EA435"/>
      <c r="EB435"/>
      <c r="EC435"/>
      <c r="ED435"/>
      <c r="EE435"/>
      <c r="EF435"/>
      <c r="EG435"/>
      <c r="EH435"/>
      <c r="EI435"/>
      <c r="EJ435"/>
      <c r="EK435"/>
      <c r="EL435"/>
      <c r="EM435"/>
      <c r="EN435"/>
      <c r="EO435"/>
      <c r="EP435"/>
      <c r="EQ435"/>
      <c r="ER435"/>
      <c r="ES435"/>
      <c r="ET435"/>
      <c r="EU435"/>
      <c r="EV435"/>
      <c r="EW435"/>
      <c r="EX435"/>
      <c r="EY435"/>
      <c r="EZ435"/>
      <c r="FA435"/>
      <c r="FB435"/>
      <c r="FC435"/>
      <c r="FD435"/>
      <c r="FE435"/>
      <c r="FF435"/>
      <c r="FG435"/>
      <c r="FH435"/>
      <c r="FI435"/>
      <c r="FJ435"/>
      <c r="FK435"/>
      <c r="FL435"/>
      <c r="FM435"/>
      <c r="FN435"/>
      <c r="FO435"/>
      <c r="FP435"/>
      <c r="FQ435"/>
      <c r="FR435"/>
      <c r="FS435"/>
      <c r="FT435"/>
      <c r="FU435"/>
      <c r="FV435"/>
      <c r="FW435"/>
      <c r="FX435"/>
      <c r="FY435"/>
      <c r="FZ435"/>
      <c r="GA435"/>
      <c r="GB435"/>
      <c r="GC435"/>
      <c r="GD435"/>
      <c r="GE435"/>
      <c r="GF435"/>
      <c r="GG435"/>
      <c r="GH435"/>
      <c r="GI435"/>
      <c r="GJ435"/>
      <c r="GK435"/>
      <c r="GL435"/>
      <c r="GM435"/>
      <c r="GN435"/>
      <c r="GO435"/>
      <c r="GP435"/>
      <c r="GQ435"/>
      <c r="GR435"/>
      <c r="GS435"/>
      <c r="GT435"/>
      <c r="GU435"/>
      <c r="GV435"/>
      <c r="GW435"/>
      <c r="GX435"/>
      <c r="GY435"/>
      <c r="GZ435"/>
      <c r="HA435"/>
      <c r="HB435"/>
      <c r="HC435"/>
      <c r="HD435"/>
      <c r="HE435"/>
      <c r="HF435"/>
      <c r="HG435"/>
      <c r="HH435"/>
      <c r="HI435"/>
      <c r="HJ435"/>
      <c r="HK435"/>
      <c r="HL435"/>
      <c r="HM435"/>
      <c r="HN435"/>
      <c r="HO435"/>
      <c r="HP435"/>
      <c r="HQ435"/>
      <c r="HR435"/>
      <c r="HS435"/>
      <c r="HT435"/>
      <c r="HU435"/>
      <c r="HV435"/>
      <c r="HW435"/>
      <c r="HX435"/>
      <c r="HY435"/>
      <c r="HZ435"/>
      <c r="IA435"/>
      <c r="IB435"/>
      <c r="IC435"/>
      <c r="ID435"/>
      <c r="IE435"/>
      <c r="IF435"/>
      <c r="IG435"/>
      <c r="IH435"/>
      <c r="II435"/>
      <c r="IJ435"/>
      <c r="IK435"/>
      <c r="IL435"/>
      <c r="IM435"/>
      <c r="IN435"/>
      <c r="IO435"/>
      <c r="IP435"/>
      <c r="IQ435"/>
      <c r="IR435"/>
      <c r="IS435"/>
      <c r="IT435"/>
      <c r="IU435"/>
      <c r="IV435"/>
      <c r="IW435"/>
      <c r="IX435"/>
      <c r="IY435"/>
      <c r="IZ435"/>
      <c r="JA435"/>
      <c r="JB435"/>
      <c r="JC435"/>
      <c r="JD435"/>
      <c r="JE435"/>
      <c r="JF435"/>
      <c r="JG435"/>
      <c r="JH435"/>
      <c r="JI435"/>
      <c r="JJ435"/>
      <c r="JK435"/>
      <c r="JL435"/>
      <c r="JM435"/>
      <c r="JN435"/>
      <c r="JO435"/>
      <c r="JP435"/>
      <c r="JQ435"/>
      <c r="JR435"/>
      <c r="JS435"/>
      <c r="JT435"/>
      <c r="JU435"/>
      <c r="JV435"/>
      <c r="JW435"/>
      <c r="JX435"/>
      <c r="JY435"/>
      <c r="JZ435"/>
      <c r="KA435"/>
      <c r="KB435"/>
      <c r="KC435"/>
      <c r="KD435"/>
      <c r="KE435"/>
      <c r="KF435"/>
      <c r="KG435"/>
      <c r="KH435"/>
      <c r="KI435"/>
      <c r="KJ435"/>
      <c r="KK435"/>
      <c r="KL435"/>
      <c r="KM435"/>
      <c r="KN435"/>
      <c r="KO435"/>
      <c r="KP435"/>
      <c r="KQ435"/>
      <c r="KR435"/>
      <c r="KS435"/>
    </row>
    <row r="436" spans="2:305" hidden="1" x14ac:dyDescent="0.35">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c r="AR436"/>
      <c r="AS436"/>
      <c r="AT436"/>
      <c r="AU436"/>
      <c r="AV436"/>
      <c r="AW436"/>
      <c r="AX436"/>
      <c r="AY436"/>
      <c r="AZ436"/>
      <c r="BA436"/>
      <c r="BB436"/>
      <c r="BC436"/>
      <c r="BD436"/>
      <c r="BE436"/>
      <c r="BF436"/>
      <c r="BG436"/>
      <c r="BH436"/>
      <c r="BI436"/>
      <c r="BJ436"/>
      <c r="BK436"/>
      <c r="BL436"/>
      <c r="BM436"/>
      <c r="BN436"/>
      <c r="BO436"/>
      <c r="BP436"/>
      <c r="BQ436"/>
      <c r="BR436"/>
      <c r="BS436"/>
      <c r="BT436"/>
      <c r="BU436"/>
      <c r="BV436"/>
      <c r="BW436"/>
      <c r="BX436"/>
      <c r="BY436"/>
      <c r="BZ436"/>
      <c r="CA436"/>
      <c r="CB436"/>
      <c r="CC436"/>
      <c r="CD436"/>
      <c r="CE436"/>
      <c r="CF436"/>
      <c r="CG436"/>
      <c r="CH436"/>
      <c r="CI436"/>
      <c r="CJ436"/>
      <c r="CK436"/>
      <c r="CL436"/>
      <c r="CM436"/>
      <c r="CN436"/>
      <c r="CO436"/>
      <c r="CP436"/>
      <c r="CQ436"/>
      <c r="CR436"/>
      <c r="CS436"/>
      <c r="CT436"/>
      <c r="CU436"/>
      <c r="CV436"/>
      <c r="CW436"/>
      <c r="CX436"/>
      <c r="CY436"/>
      <c r="CZ436"/>
      <c r="DA436"/>
      <c r="DB436"/>
      <c r="DC436"/>
      <c r="DD436"/>
      <c r="DE436"/>
      <c r="DF436"/>
      <c r="DG436"/>
      <c r="DH436"/>
      <c r="DI436"/>
      <c r="DJ436"/>
      <c r="DK436"/>
      <c r="DL436"/>
      <c r="DM436"/>
      <c r="DN436"/>
      <c r="DO436"/>
      <c r="DP436"/>
      <c r="DQ436"/>
      <c r="DR436"/>
      <c r="DS436"/>
      <c r="DT436"/>
      <c r="DU436"/>
      <c r="DV436"/>
      <c r="DW436"/>
      <c r="DX436"/>
      <c r="DY436"/>
      <c r="DZ436"/>
      <c r="EA436"/>
      <c r="EB436"/>
      <c r="EC436"/>
      <c r="ED436"/>
      <c r="EE436"/>
      <c r="EF436"/>
      <c r="EG436"/>
      <c r="EH436"/>
      <c r="EI436"/>
      <c r="EJ436"/>
      <c r="EK436"/>
      <c r="EL436"/>
      <c r="EM436"/>
      <c r="EN436"/>
      <c r="EO436"/>
      <c r="EP436"/>
      <c r="EQ436"/>
      <c r="ER436"/>
      <c r="ES436"/>
      <c r="ET436"/>
      <c r="EU436"/>
      <c r="EV436"/>
      <c r="EW436"/>
      <c r="EX436"/>
      <c r="EY436"/>
      <c r="EZ436"/>
      <c r="FA436"/>
      <c r="FB436"/>
      <c r="FC436"/>
      <c r="FD436"/>
      <c r="FE436"/>
      <c r="FF436"/>
      <c r="FG436"/>
      <c r="FH436"/>
      <c r="FI436"/>
      <c r="FJ436"/>
      <c r="FK436"/>
      <c r="FL436"/>
      <c r="FM436"/>
      <c r="FN436"/>
      <c r="FO436"/>
      <c r="FP436"/>
      <c r="FQ436"/>
      <c r="FR436"/>
      <c r="FS436"/>
      <c r="FT436"/>
      <c r="FU436"/>
      <c r="FV436"/>
      <c r="FW436"/>
      <c r="FX436"/>
      <c r="FY436"/>
      <c r="FZ436"/>
      <c r="GA436"/>
      <c r="GB436"/>
      <c r="GC436"/>
      <c r="GD436"/>
      <c r="GE436"/>
      <c r="GF436"/>
      <c r="GG436"/>
      <c r="GH436"/>
      <c r="GI436"/>
      <c r="GJ436"/>
      <c r="GK436"/>
      <c r="GL436"/>
      <c r="GM436"/>
      <c r="GN436"/>
      <c r="GO436"/>
      <c r="GP436"/>
      <c r="GQ436"/>
      <c r="GR436"/>
      <c r="GS436"/>
      <c r="GT436"/>
      <c r="GU436"/>
      <c r="GV436"/>
      <c r="GW436"/>
      <c r="GX436"/>
      <c r="GY436"/>
      <c r="GZ436"/>
      <c r="HA436"/>
      <c r="HB436"/>
      <c r="HC436"/>
      <c r="HD436"/>
      <c r="HE436"/>
      <c r="HF436"/>
      <c r="HG436"/>
      <c r="HH436"/>
      <c r="HI436"/>
      <c r="HJ436"/>
      <c r="HK436"/>
      <c r="HL436"/>
      <c r="HM436"/>
      <c r="HN436"/>
      <c r="HO436"/>
      <c r="HP436"/>
      <c r="HQ436"/>
      <c r="HR436"/>
      <c r="HS436"/>
      <c r="HT436"/>
      <c r="HU436"/>
      <c r="HV436"/>
      <c r="HW436"/>
      <c r="HX436"/>
      <c r="HY436"/>
      <c r="HZ436"/>
      <c r="IA436"/>
      <c r="IB436"/>
      <c r="IC436"/>
      <c r="ID436"/>
      <c r="IE436"/>
      <c r="IF436"/>
      <c r="IG436"/>
      <c r="IH436"/>
      <c r="II436"/>
      <c r="IJ436"/>
      <c r="IK436"/>
      <c r="IL436"/>
      <c r="IM436"/>
      <c r="IN436"/>
      <c r="IO436"/>
      <c r="IP436"/>
      <c r="IQ436"/>
      <c r="IR436"/>
      <c r="IS436"/>
      <c r="IT436"/>
      <c r="IU436"/>
      <c r="IV436"/>
      <c r="IW436"/>
      <c r="IX436"/>
      <c r="IY436"/>
      <c r="IZ436"/>
      <c r="JA436"/>
      <c r="JB436"/>
      <c r="JC436"/>
      <c r="JD436"/>
      <c r="JE436"/>
      <c r="JF436"/>
      <c r="JG436"/>
      <c r="JH436"/>
      <c r="JI436"/>
      <c r="JJ436"/>
      <c r="JK436"/>
      <c r="JL436"/>
      <c r="JM436"/>
      <c r="JN436"/>
      <c r="JO436"/>
      <c r="JP436"/>
      <c r="JQ436"/>
      <c r="JR436"/>
      <c r="JS436"/>
      <c r="JT436"/>
      <c r="JU436"/>
      <c r="JV436"/>
      <c r="JW436"/>
      <c r="JX436"/>
      <c r="JY436"/>
      <c r="JZ436"/>
      <c r="KA436"/>
      <c r="KB436"/>
      <c r="KC436"/>
      <c r="KD436"/>
      <c r="KE436"/>
      <c r="KF436"/>
      <c r="KG436"/>
      <c r="KH436"/>
      <c r="KI436"/>
      <c r="KJ436"/>
      <c r="KK436"/>
      <c r="KL436"/>
      <c r="KM436"/>
      <c r="KN436"/>
      <c r="KO436"/>
      <c r="KP436"/>
      <c r="KQ436"/>
      <c r="KR436"/>
      <c r="KS436"/>
    </row>
    <row r="437" spans="2:305" hidden="1" x14ac:dyDescent="0.35">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c r="AR437"/>
      <c r="AS437"/>
      <c r="AT437"/>
      <c r="AU437"/>
      <c r="AV437"/>
      <c r="AW437"/>
      <c r="AX437"/>
      <c r="AY437"/>
      <c r="AZ437"/>
      <c r="BA437"/>
      <c r="BB437"/>
      <c r="BC437"/>
      <c r="BD437"/>
      <c r="BE437"/>
      <c r="BF437"/>
      <c r="BG437"/>
      <c r="BH437"/>
      <c r="BI437"/>
      <c r="BJ437"/>
      <c r="BK437"/>
      <c r="BL437"/>
      <c r="BM437"/>
      <c r="BN437"/>
      <c r="BO437"/>
      <c r="BP437"/>
      <c r="BQ437"/>
      <c r="BR437"/>
      <c r="BS437"/>
      <c r="BT437"/>
      <c r="BU437"/>
      <c r="BV437"/>
      <c r="BW437"/>
      <c r="BX437"/>
      <c r="BY437"/>
      <c r="BZ437"/>
      <c r="CA437"/>
      <c r="CB437"/>
      <c r="CC437"/>
      <c r="CD437"/>
      <c r="CE437"/>
      <c r="CF437"/>
      <c r="CG437"/>
      <c r="CH437"/>
      <c r="CI437"/>
      <c r="CJ437"/>
      <c r="CK437"/>
      <c r="CL437"/>
      <c r="CM437"/>
      <c r="CN437"/>
      <c r="CO437"/>
      <c r="CP437"/>
      <c r="CQ437"/>
      <c r="CR437"/>
      <c r="CS437"/>
      <c r="CT437"/>
      <c r="CU437"/>
      <c r="CV437"/>
      <c r="CW437"/>
      <c r="CX437"/>
      <c r="CY437"/>
      <c r="CZ437"/>
      <c r="DA437"/>
      <c r="DB437"/>
      <c r="DC437"/>
      <c r="DD437"/>
      <c r="DE437"/>
      <c r="DF437"/>
      <c r="DG437"/>
      <c r="DH437"/>
      <c r="DI437"/>
      <c r="DJ437"/>
      <c r="DK437"/>
      <c r="DL437"/>
      <c r="DM437"/>
      <c r="DN437"/>
      <c r="DO437"/>
      <c r="DP437"/>
      <c r="DQ437"/>
      <c r="DR437"/>
      <c r="DS437"/>
      <c r="DT437"/>
      <c r="DU437"/>
      <c r="DV437"/>
      <c r="DW437"/>
      <c r="DX437"/>
      <c r="DY437"/>
      <c r="DZ437"/>
      <c r="EA437"/>
      <c r="EB437"/>
      <c r="EC437"/>
      <c r="ED437"/>
      <c r="EE437"/>
      <c r="EF437"/>
      <c r="EG437"/>
      <c r="EH437"/>
      <c r="EI437"/>
      <c r="EJ437"/>
      <c r="EK437"/>
      <c r="EL437"/>
      <c r="EM437"/>
      <c r="EN437"/>
      <c r="EO437"/>
      <c r="EP437"/>
      <c r="EQ437"/>
      <c r="ER437"/>
      <c r="ES437"/>
      <c r="ET437"/>
      <c r="EU437"/>
      <c r="EV437"/>
      <c r="EW437"/>
      <c r="EX437"/>
      <c r="EY437"/>
      <c r="EZ437"/>
      <c r="FA437"/>
      <c r="FB437"/>
      <c r="FC437"/>
      <c r="FD437"/>
      <c r="FE437"/>
      <c r="FF437"/>
      <c r="FG437"/>
      <c r="FH437"/>
      <c r="FI437"/>
      <c r="FJ437"/>
      <c r="FK437"/>
      <c r="FL437"/>
      <c r="FM437"/>
      <c r="FN437"/>
      <c r="FO437"/>
      <c r="FP437"/>
      <c r="FQ437"/>
      <c r="FR437"/>
      <c r="FS437"/>
      <c r="FT437"/>
      <c r="FU437"/>
      <c r="FV437"/>
      <c r="FW437"/>
      <c r="FX437"/>
      <c r="FY437"/>
      <c r="FZ437"/>
      <c r="GA437"/>
      <c r="GB437"/>
      <c r="GC437"/>
      <c r="GD437"/>
      <c r="GE437"/>
      <c r="GF437"/>
      <c r="GG437"/>
      <c r="GH437"/>
      <c r="GI437"/>
      <c r="GJ437"/>
      <c r="GK437"/>
      <c r="GL437"/>
      <c r="GM437"/>
      <c r="GN437"/>
      <c r="GO437"/>
      <c r="GP437"/>
      <c r="GQ437"/>
      <c r="GR437"/>
      <c r="GS437"/>
      <c r="GT437"/>
      <c r="GU437"/>
      <c r="GV437"/>
      <c r="GW437"/>
      <c r="GX437"/>
      <c r="GY437"/>
      <c r="GZ437"/>
      <c r="HA437"/>
      <c r="HB437"/>
      <c r="HC437"/>
      <c r="HD437"/>
      <c r="HE437"/>
      <c r="HF437"/>
      <c r="HG437"/>
      <c r="HH437"/>
      <c r="HI437"/>
      <c r="HJ437"/>
      <c r="HK437"/>
      <c r="HL437"/>
      <c r="HM437"/>
      <c r="HN437"/>
      <c r="HO437"/>
      <c r="HP437"/>
      <c r="HQ437"/>
      <c r="HR437"/>
      <c r="HS437"/>
      <c r="HT437"/>
      <c r="HU437"/>
      <c r="HV437"/>
      <c r="HW437"/>
      <c r="HX437"/>
      <c r="HY437"/>
      <c r="HZ437"/>
      <c r="IA437"/>
      <c r="IB437"/>
      <c r="IC437"/>
      <c r="ID437"/>
      <c r="IE437"/>
      <c r="IF437"/>
      <c r="IG437"/>
      <c r="IH437"/>
      <c r="II437"/>
      <c r="IJ437"/>
      <c r="IK437"/>
      <c r="IL437"/>
      <c r="IM437"/>
      <c r="IN437"/>
      <c r="IO437"/>
      <c r="IP437"/>
      <c r="IQ437"/>
      <c r="IR437"/>
      <c r="IS437"/>
      <c r="IT437"/>
      <c r="IU437"/>
      <c r="IV437"/>
      <c r="IW437"/>
      <c r="IX437"/>
      <c r="IY437"/>
      <c r="IZ437"/>
      <c r="JA437"/>
      <c r="JB437"/>
      <c r="JC437"/>
      <c r="JD437"/>
      <c r="JE437"/>
      <c r="JF437"/>
      <c r="JG437"/>
      <c r="JH437"/>
      <c r="JI437"/>
      <c r="JJ437"/>
      <c r="JK437"/>
      <c r="JL437"/>
      <c r="JM437"/>
      <c r="JN437"/>
      <c r="JO437"/>
      <c r="JP437"/>
      <c r="JQ437"/>
      <c r="JR437"/>
      <c r="JS437"/>
      <c r="JT437"/>
      <c r="JU437"/>
      <c r="JV437"/>
      <c r="JW437"/>
      <c r="JX437"/>
      <c r="JY437"/>
      <c r="JZ437"/>
      <c r="KA437"/>
      <c r="KB437"/>
      <c r="KC437"/>
      <c r="KD437"/>
      <c r="KE437"/>
      <c r="KF437"/>
      <c r="KG437"/>
      <c r="KH437"/>
      <c r="KI437"/>
      <c r="KJ437"/>
      <c r="KK437"/>
      <c r="KL437"/>
      <c r="KM437"/>
      <c r="KN437"/>
      <c r="KO437"/>
      <c r="KP437"/>
      <c r="KQ437"/>
      <c r="KR437"/>
      <c r="KS437"/>
    </row>
    <row r="438" spans="2:305" hidden="1" x14ac:dyDescent="0.35">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c r="AZ438"/>
      <c r="BA438"/>
      <c r="BB438"/>
      <c r="BC438"/>
      <c r="BD438"/>
      <c r="BE438"/>
      <c r="BF438"/>
      <c r="BG438"/>
      <c r="BH438"/>
      <c r="BI438"/>
      <c r="BJ438"/>
      <c r="BK438"/>
      <c r="BL438"/>
      <c r="BM438"/>
      <c r="BN438"/>
      <c r="BO438"/>
      <c r="BP438"/>
      <c r="BQ438"/>
      <c r="BR438"/>
      <c r="BS438"/>
      <c r="BT438"/>
      <c r="BU438"/>
      <c r="BV438"/>
      <c r="BW438"/>
      <c r="BX438"/>
      <c r="BY438"/>
      <c r="BZ438"/>
      <c r="CA438"/>
      <c r="CB438"/>
      <c r="CC438"/>
      <c r="CD438"/>
      <c r="CE438"/>
      <c r="CF438"/>
      <c r="CG438"/>
      <c r="CH438"/>
      <c r="CI438"/>
      <c r="CJ438"/>
      <c r="CK438"/>
      <c r="CL438"/>
      <c r="CM438"/>
      <c r="CN438"/>
      <c r="CO438"/>
      <c r="CP438"/>
      <c r="CQ438"/>
      <c r="CR438"/>
      <c r="CS438"/>
      <c r="CT438"/>
      <c r="CU438"/>
      <c r="CV438"/>
      <c r="CW438"/>
      <c r="CX438"/>
      <c r="CY438"/>
      <c r="CZ438"/>
      <c r="DA438"/>
      <c r="DB438"/>
      <c r="DC438"/>
      <c r="DD438"/>
      <c r="DE438"/>
      <c r="DF438"/>
      <c r="DG438"/>
      <c r="DH438"/>
      <c r="DI438"/>
      <c r="DJ438"/>
      <c r="DK438"/>
      <c r="DL438"/>
      <c r="DM438"/>
      <c r="DN438"/>
      <c r="DO438"/>
      <c r="DP438"/>
      <c r="DQ438"/>
      <c r="DR438"/>
      <c r="DS438"/>
      <c r="DT438"/>
      <c r="DU438"/>
      <c r="DV438"/>
      <c r="DW438"/>
      <c r="DX438"/>
      <c r="DY438"/>
      <c r="DZ438"/>
      <c r="EA438"/>
      <c r="EB438"/>
      <c r="EC438"/>
      <c r="ED438"/>
      <c r="EE438"/>
      <c r="EF438"/>
      <c r="EG438"/>
      <c r="EH438"/>
      <c r="EI438"/>
      <c r="EJ438"/>
      <c r="EK438"/>
      <c r="EL438"/>
      <c r="EM438"/>
      <c r="EN438"/>
      <c r="EO438"/>
      <c r="EP438"/>
      <c r="EQ438"/>
      <c r="ER438"/>
      <c r="ES438"/>
      <c r="ET438"/>
      <c r="EU438"/>
      <c r="EV438"/>
      <c r="EW438"/>
      <c r="EX438"/>
      <c r="EY438"/>
      <c r="EZ438"/>
      <c r="FA438"/>
      <c r="FB438"/>
      <c r="FC438"/>
      <c r="FD438"/>
      <c r="FE438"/>
      <c r="FF438"/>
      <c r="FG438"/>
      <c r="FH438"/>
      <c r="FI438"/>
      <c r="FJ438"/>
      <c r="FK438"/>
      <c r="FL438"/>
      <c r="FM438"/>
      <c r="FN438"/>
      <c r="FO438"/>
      <c r="FP438"/>
      <c r="FQ438"/>
      <c r="FR438"/>
      <c r="FS438"/>
      <c r="FT438"/>
      <c r="FU438"/>
      <c r="FV438"/>
      <c r="FW438"/>
      <c r="FX438"/>
      <c r="FY438"/>
      <c r="FZ438"/>
      <c r="GA438"/>
      <c r="GB438"/>
      <c r="GC438"/>
      <c r="GD438"/>
      <c r="GE438"/>
      <c r="GF438"/>
      <c r="GG438"/>
      <c r="GH438"/>
      <c r="GI438"/>
      <c r="GJ438"/>
      <c r="GK438"/>
      <c r="GL438"/>
      <c r="GM438"/>
      <c r="GN438"/>
      <c r="GO438"/>
      <c r="GP438"/>
      <c r="GQ438"/>
      <c r="GR438"/>
      <c r="GS438"/>
      <c r="GT438"/>
      <c r="GU438"/>
      <c r="GV438"/>
      <c r="GW438"/>
      <c r="GX438"/>
      <c r="GY438"/>
      <c r="GZ438"/>
      <c r="HA438"/>
      <c r="HB438"/>
      <c r="HC438"/>
      <c r="HD438"/>
      <c r="HE438"/>
      <c r="HF438"/>
      <c r="HG438"/>
      <c r="HH438"/>
      <c r="HI438"/>
      <c r="HJ438"/>
      <c r="HK438"/>
      <c r="HL438"/>
      <c r="HM438"/>
      <c r="HN438"/>
      <c r="HO438"/>
      <c r="HP438"/>
      <c r="HQ438"/>
      <c r="HR438"/>
      <c r="HS438"/>
      <c r="HT438"/>
      <c r="HU438"/>
      <c r="HV438"/>
      <c r="HW438"/>
      <c r="HX438"/>
      <c r="HY438"/>
      <c r="HZ438"/>
      <c r="IA438"/>
      <c r="IB438"/>
      <c r="IC438"/>
      <c r="ID438"/>
      <c r="IE438"/>
      <c r="IF438"/>
      <c r="IG438"/>
      <c r="IH438"/>
      <c r="II438"/>
      <c r="IJ438"/>
      <c r="IK438"/>
      <c r="IL438"/>
      <c r="IM438"/>
      <c r="IN438"/>
      <c r="IO438"/>
      <c r="IP438"/>
      <c r="IQ438"/>
      <c r="IR438"/>
      <c r="IS438"/>
      <c r="IT438"/>
      <c r="IU438"/>
      <c r="IV438"/>
      <c r="IW438"/>
      <c r="IX438"/>
      <c r="IY438"/>
      <c r="IZ438"/>
      <c r="JA438"/>
      <c r="JB438"/>
      <c r="JC438"/>
      <c r="JD438"/>
      <c r="JE438"/>
      <c r="JF438"/>
      <c r="JG438"/>
      <c r="JH438"/>
      <c r="JI438"/>
      <c r="JJ438"/>
      <c r="JK438"/>
      <c r="JL438"/>
      <c r="JM438"/>
      <c r="JN438"/>
      <c r="JO438"/>
      <c r="JP438"/>
      <c r="JQ438"/>
      <c r="JR438"/>
      <c r="JS438"/>
      <c r="JT438"/>
      <c r="JU438"/>
      <c r="JV438"/>
      <c r="JW438"/>
      <c r="JX438"/>
      <c r="JY438"/>
      <c r="JZ438"/>
      <c r="KA438"/>
      <c r="KB438"/>
      <c r="KC438"/>
      <c r="KD438"/>
      <c r="KE438"/>
      <c r="KF438"/>
      <c r="KG438"/>
      <c r="KH438"/>
      <c r="KI438"/>
      <c r="KJ438"/>
      <c r="KK438"/>
      <c r="KL438"/>
      <c r="KM438"/>
      <c r="KN438"/>
      <c r="KO438"/>
      <c r="KP438"/>
      <c r="KQ438"/>
      <c r="KR438"/>
      <c r="KS438"/>
    </row>
    <row r="439" spans="2:305" hidden="1" x14ac:dyDescent="0.35">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c r="AR439"/>
      <c r="AS439"/>
      <c r="AT439"/>
      <c r="AU439"/>
      <c r="AV439"/>
      <c r="AW439"/>
      <c r="AX439"/>
      <c r="AY439"/>
      <c r="AZ439"/>
      <c r="BA439"/>
      <c r="BB439"/>
      <c r="BC439"/>
      <c r="BD439"/>
      <c r="BE439"/>
      <c r="BF439"/>
      <c r="BG439"/>
      <c r="BH439"/>
      <c r="BI439"/>
      <c r="BJ439"/>
      <c r="BK439"/>
      <c r="BL439"/>
      <c r="BM439"/>
      <c r="BN439"/>
      <c r="BO439"/>
      <c r="BP439"/>
      <c r="BQ439"/>
      <c r="BR439"/>
      <c r="BS439"/>
      <c r="BT439"/>
      <c r="BU439"/>
      <c r="BV439"/>
      <c r="BW439"/>
      <c r="BX439"/>
      <c r="BY439"/>
      <c r="BZ439"/>
      <c r="CA439"/>
      <c r="CB439"/>
      <c r="CC439"/>
      <c r="CD439"/>
      <c r="CE439"/>
      <c r="CF439"/>
      <c r="CG439"/>
      <c r="CH439"/>
      <c r="CI439"/>
      <c r="CJ439"/>
      <c r="CK439"/>
      <c r="CL439"/>
      <c r="CM439"/>
      <c r="CN439"/>
      <c r="CO439"/>
      <c r="CP439"/>
      <c r="CQ439"/>
      <c r="CR439"/>
      <c r="CS439"/>
      <c r="CT439"/>
      <c r="CU439"/>
      <c r="CV439"/>
      <c r="CW439"/>
      <c r="CX439"/>
      <c r="CY439"/>
      <c r="CZ439"/>
      <c r="DA439"/>
      <c r="DB439"/>
      <c r="DC439"/>
      <c r="DD439"/>
      <c r="DE439"/>
      <c r="DF439"/>
      <c r="DG439"/>
      <c r="DH439"/>
      <c r="DI439"/>
      <c r="DJ439"/>
      <c r="DK439"/>
      <c r="DL439"/>
      <c r="DM439"/>
      <c r="DN439"/>
      <c r="DO439"/>
      <c r="DP439"/>
      <c r="DQ439"/>
      <c r="DR439"/>
      <c r="DS439"/>
      <c r="DT439"/>
      <c r="DU439"/>
      <c r="DV439"/>
      <c r="DW439"/>
      <c r="DX439"/>
      <c r="DY439"/>
      <c r="DZ439"/>
      <c r="EA439"/>
      <c r="EB439"/>
      <c r="EC439"/>
      <c r="ED439"/>
      <c r="EE439"/>
      <c r="EF439"/>
      <c r="EG439"/>
      <c r="EH439"/>
      <c r="EI439"/>
      <c r="EJ439"/>
      <c r="EK439"/>
      <c r="EL439"/>
      <c r="EM439"/>
      <c r="EN439"/>
      <c r="EO439"/>
      <c r="EP439"/>
      <c r="EQ439"/>
      <c r="ER439"/>
      <c r="ES439"/>
      <c r="ET439"/>
      <c r="EU439"/>
      <c r="EV439"/>
      <c r="EW439"/>
      <c r="EX439"/>
      <c r="EY439"/>
      <c r="EZ439"/>
      <c r="FA439"/>
      <c r="FB439"/>
      <c r="FC439"/>
      <c r="FD439"/>
      <c r="FE439"/>
      <c r="FF439"/>
      <c r="FG439"/>
      <c r="FH439"/>
      <c r="FI439"/>
      <c r="FJ439"/>
      <c r="FK439"/>
      <c r="FL439"/>
      <c r="FM439"/>
      <c r="FN439"/>
      <c r="FO439"/>
      <c r="FP439"/>
      <c r="FQ439"/>
      <c r="FR439"/>
      <c r="FS439"/>
      <c r="FT439"/>
      <c r="FU439"/>
      <c r="FV439"/>
      <c r="FW439"/>
      <c r="FX439"/>
      <c r="FY439"/>
      <c r="FZ439"/>
      <c r="GA439"/>
      <c r="GB439"/>
      <c r="GC439"/>
      <c r="GD439"/>
      <c r="GE439"/>
      <c r="GF439"/>
      <c r="GG439"/>
      <c r="GH439"/>
      <c r="GI439"/>
      <c r="GJ439"/>
      <c r="GK439"/>
      <c r="GL439"/>
      <c r="GM439"/>
      <c r="GN439"/>
      <c r="GO439"/>
      <c r="GP439"/>
      <c r="GQ439"/>
      <c r="GR439"/>
      <c r="GS439"/>
      <c r="GT439"/>
      <c r="GU439"/>
      <c r="GV439"/>
      <c r="GW439"/>
      <c r="GX439"/>
      <c r="GY439"/>
      <c r="GZ439"/>
      <c r="HA439"/>
      <c r="HB439"/>
      <c r="HC439"/>
      <c r="HD439"/>
      <c r="HE439"/>
      <c r="HF439"/>
      <c r="HG439"/>
      <c r="HH439"/>
      <c r="HI439"/>
      <c r="HJ439"/>
      <c r="HK439"/>
      <c r="HL439"/>
      <c r="HM439"/>
      <c r="HN439"/>
      <c r="HO439"/>
      <c r="HP439"/>
      <c r="HQ439"/>
      <c r="HR439"/>
      <c r="HS439"/>
      <c r="HT439"/>
      <c r="HU439"/>
      <c r="HV439"/>
      <c r="HW439"/>
      <c r="HX439"/>
      <c r="HY439"/>
      <c r="HZ439"/>
      <c r="IA439"/>
      <c r="IB439"/>
      <c r="IC439"/>
      <c r="ID439"/>
      <c r="IE439"/>
      <c r="IF439"/>
      <c r="IG439"/>
      <c r="IH439"/>
      <c r="II439"/>
      <c r="IJ439"/>
      <c r="IK439"/>
      <c r="IL439"/>
      <c r="IM439"/>
      <c r="IN439"/>
      <c r="IO439"/>
      <c r="IP439"/>
      <c r="IQ439"/>
      <c r="IR439"/>
      <c r="IS439"/>
      <c r="IT439"/>
      <c r="IU439"/>
      <c r="IV439"/>
      <c r="IW439"/>
      <c r="IX439"/>
      <c r="IY439"/>
      <c r="IZ439"/>
      <c r="JA439"/>
      <c r="JB439"/>
      <c r="JC439"/>
      <c r="JD439"/>
      <c r="JE439"/>
      <c r="JF439"/>
      <c r="JG439"/>
      <c r="JH439"/>
      <c r="JI439"/>
      <c r="JJ439"/>
      <c r="JK439"/>
      <c r="JL439"/>
      <c r="JM439"/>
      <c r="JN439"/>
      <c r="JO439"/>
      <c r="JP439"/>
      <c r="JQ439"/>
      <c r="JR439"/>
      <c r="JS439"/>
      <c r="JT439"/>
      <c r="JU439"/>
      <c r="JV439"/>
      <c r="JW439"/>
      <c r="JX439"/>
      <c r="JY439"/>
      <c r="JZ439"/>
      <c r="KA439"/>
      <c r="KB439"/>
      <c r="KC439"/>
      <c r="KD439"/>
      <c r="KE439"/>
      <c r="KF439"/>
      <c r="KG439"/>
      <c r="KH439"/>
      <c r="KI439"/>
      <c r="KJ439"/>
      <c r="KK439"/>
      <c r="KL439"/>
      <c r="KM439"/>
      <c r="KN439"/>
      <c r="KO439"/>
      <c r="KP439"/>
      <c r="KQ439"/>
      <c r="KR439"/>
      <c r="KS439"/>
    </row>
    <row r="440" spans="2:305" hidden="1" x14ac:dyDescent="0.35">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c r="AR440"/>
      <c r="AS440"/>
      <c r="AT440"/>
      <c r="AU440"/>
      <c r="AV440"/>
      <c r="AW440"/>
      <c r="AX440"/>
      <c r="AY440"/>
      <c r="AZ440"/>
      <c r="BA440"/>
      <c r="BB440"/>
      <c r="BC440"/>
      <c r="BD440"/>
      <c r="BE440"/>
      <c r="BF440"/>
      <c r="BG440"/>
      <c r="BH440"/>
      <c r="BI440"/>
      <c r="BJ440"/>
      <c r="BK440"/>
      <c r="BL440"/>
      <c r="BM440"/>
      <c r="BN440"/>
      <c r="BO440"/>
      <c r="BP440"/>
      <c r="BQ440"/>
      <c r="BR440"/>
      <c r="BS440"/>
      <c r="BT440"/>
      <c r="BU440"/>
      <c r="BV440"/>
      <c r="BW440"/>
      <c r="BX440"/>
      <c r="BY440"/>
      <c r="BZ440"/>
      <c r="CA440"/>
      <c r="CB440"/>
      <c r="CC440"/>
      <c r="CD440"/>
      <c r="CE440"/>
      <c r="CF440"/>
      <c r="CG440"/>
      <c r="CH440"/>
      <c r="CI440"/>
      <c r="CJ440"/>
      <c r="CK440"/>
      <c r="CL440"/>
      <c r="CM440"/>
      <c r="CN440"/>
      <c r="CO440"/>
      <c r="CP440"/>
      <c r="CQ440"/>
      <c r="CR440"/>
      <c r="CS440"/>
      <c r="CT440"/>
      <c r="CU440"/>
      <c r="CV440"/>
      <c r="CW440"/>
      <c r="CX440"/>
      <c r="CY440"/>
      <c r="CZ440"/>
      <c r="DA440"/>
      <c r="DB440"/>
      <c r="DC440"/>
      <c r="DD440"/>
      <c r="DE440"/>
      <c r="DF440"/>
      <c r="DG440"/>
      <c r="DH440"/>
      <c r="DI440"/>
      <c r="DJ440"/>
      <c r="DK440"/>
      <c r="DL440"/>
      <c r="DM440"/>
      <c r="DN440"/>
      <c r="DO440"/>
      <c r="DP440"/>
      <c r="DQ440"/>
      <c r="DR440"/>
      <c r="DS440"/>
      <c r="DT440"/>
      <c r="DU440"/>
      <c r="DV440"/>
      <c r="DW440"/>
      <c r="DX440"/>
      <c r="DY440"/>
      <c r="DZ440"/>
      <c r="EA440"/>
      <c r="EB440"/>
      <c r="EC440"/>
      <c r="ED440"/>
      <c r="EE440"/>
      <c r="EF440"/>
      <c r="EG440"/>
      <c r="EH440"/>
      <c r="EI440"/>
      <c r="EJ440"/>
      <c r="EK440"/>
      <c r="EL440"/>
      <c r="EM440"/>
      <c r="EN440"/>
      <c r="EO440"/>
      <c r="EP440"/>
      <c r="EQ440"/>
      <c r="ER440"/>
      <c r="ES440"/>
      <c r="ET440"/>
      <c r="EU440"/>
      <c r="EV440"/>
      <c r="EW440"/>
      <c r="EX440"/>
      <c r="EY440"/>
      <c r="EZ440"/>
      <c r="FA440"/>
      <c r="FB440"/>
      <c r="FC440"/>
      <c r="FD440"/>
      <c r="FE440"/>
      <c r="FF440"/>
      <c r="FG440"/>
      <c r="FH440"/>
      <c r="FI440"/>
      <c r="FJ440"/>
      <c r="FK440"/>
      <c r="FL440"/>
      <c r="FM440"/>
      <c r="FN440"/>
      <c r="FO440"/>
      <c r="FP440"/>
      <c r="FQ440"/>
      <c r="FR440"/>
      <c r="FS440"/>
      <c r="FT440"/>
      <c r="FU440"/>
      <c r="FV440"/>
      <c r="FW440"/>
      <c r="FX440"/>
      <c r="FY440"/>
      <c r="FZ440"/>
      <c r="GA440"/>
      <c r="GB440"/>
      <c r="GC440"/>
      <c r="GD440"/>
      <c r="GE440"/>
      <c r="GF440"/>
      <c r="GG440"/>
      <c r="GH440"/>
      <c r="GI440"/>
      <c r="GJ440"/>
      <c r="GK440"/>
      <c r="GL440"/>
      <c r="GM440"/>
      <c r="GN440"/>
      <c r="GO440"/>
      <c r="GP440"/>
      <c r="GQ440"/>
      <c r="GR440"/>
      <c r="GS440"/>
      <c r="GT440"/>
      <c r="GU440"/>
      <c r="GV440"/>
      <c r="GW440"/>
      <c r="GX440"/>
      <c r="GY440"/>
      <c r="GZ440"/>
      <c r="HA440"/>
      <c r="HB440"/>
      <c r="HC440"/>
      <c r="HD440"/>
      <c r="HE440"/>
      <c r="HF440"/>
      <c r="HG440"/>
      <c r="HH440"/>
      <c r="HI440"/>
      <c r="HJ440"/>
      <c r="HK440"/>
      <c r="HL440"/>
      <c r="HM440"/>
      <c r="HN440"/>
      <c r="HO440"/>
      <c r="HP440"/>
      <c r="HQ440"/>
      <c r="HR440"/>
      <c r="HS440"/>
      <c r="HT440"/>
      <c r="HU440"/>
      <c r="HV440"/>
      <c r="HW440"/>
      <c r="HX440"/>
      <c r="HY440"/>
      <c r="HZ440"/>
      <c r="IA440"/>
      <c r="IB440"/>
      <c r="IC440"/>
      <c r="ID440"/>
      <c r="IE440"/>
      <c r="IF440"/>
      <c r="IG440"/>
      <c r="IH440"/>
      <c r="II440"/>
      <c r="IJ440"/>
      <c r="IK440"/>
      <c r="IL440"/>
      <c r="IM440"/>
      <c r="IN440"/>
      <c r="IO440"/>
      <c r="IP440"/>
      <c r="IQ440"/>
      <c r="IR440"/>
      <c r="IS440"/>
      <c r="IT440"/>
      <c r="IU440"/>
      <c r="IV440"/>
      <c r="IW440"/>
      <c r="IX440"/>
      <c r="IY440"/>
      <c r="IZ440"/>
      <c r="JA440"/>
      <c r="JB440"/>
      <c r="JC440"/>
      <c r="JD440"/>
      <c r="JE440"/>
      <c r="JF440"/>
      <c r="JG440"/>
      <c r="JH440"/>
      <c r="JI440"/>
      <c r="JJ440"/>
      <c r="JK440"/>
      <c r="JL440"/>
      <c r="JM440"/>
      <c r="JN440"/>
      <c r="JO440"/>
      <c r="JP440"/>
      <c r="JQ440"/>
      <c r="JR440"/>
      <c r="JS440"/>
      <c r="JT440"/>
      <c r="JU440"/>
      <c r="JV440"/>
      <c r="JW440"/>
      <c r="JX440"/>
      <c r="JY440"/>
      <c r="JZ440"/>
      <c r="KA440"/>
      <c r="KB440"/>
      <c r="KC440"/>
      <c r="KD440"/>
      <c r="KE440"/>
      <c r="KF440"/>
      <c r="KG440"/>
      <c r="KH440"/>
      <c r="KI440"/>
      <c r="KJ440"/>
      <c r="KK440"/>
      <c r="KL440"/>
      <c r="KM440"/>
      <c r="KN440"/>
      <c r="KO440"/>
      <c r="KP440"/>
      <c r="KQ440"/>
      <c r="KR440"/>
      <c r="KS440"/>
    </row>
    <row r="441" spans="2:305" hidden="1" x14ac:dyDescent="0.35">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c r="AR441"/>
      <c r="AS441"/>
      <c r="AT441"/>
      <c r="AU441"/>
      <c r="AV441"/>
      <c r="AW441"/>
      <c r="AX441"/>
      <c r="AY441"/>
      <c r="AZ441"/>
      <c r="BA441"/>
      <c r="BB441"/>
      <c r="BC441"/>
      <c r="BD441"/>
      <c r="BE441"/>
      <c r="BF441"/>
      <c r="BG441"/>
      <c r="BH441"/>
      <c r="BI441"/>
      <c r="BJ441"/>
      <c r="BK441"/>
      <c r="BL441"/>
      <c r="BM441"/>
      <c r="BN441"/>
      <c r="BO441"/>
      <c r="BP441"/>
      <c r="BQ441"/>
      <c r="BR441"/>
      <c r="BS441"/>
      <c r="BT441"/>
      <c r="BU441"/>
      <c r="BV441"/>
      <c r="BW441"/>
      <c r="BX441"/>
      <c r="BY441"/>
      <c r="BZ441"/>
      <c r="CA441"/>
      <c r="CB441"/>
      <c r="CC441"/>
      <c r="CD441"/>
      <c r="CE441"/>
      <c r="CF441"/>
      <c r="CG441"/>
      <c r="CH441"/>
      <c r="CI441"/>
      <c r="CJ441"/>
      <c r="CK441"/>
      <c r="CL441"/>
      <c r="CM441"/>
      <c r="CN441"/>
      <c r="CO441"/>
      <c r="CP441"/>
      <c r="CQ441"/>
      <c r="CR441"/>
      <c r="CS441"/>
      <c r="CT441"/>
      <c r="CU441"/>
      <c r="CV441"/>
      <c r="CW441"/>
      <c r="CX441"/>
      <c r="CY441"/>
      <c r="CZ441"/>
      <c r="DA441"/>
      <c r="DB441"/>
      <c r="DC441"/>
      <c r="DD441"/>
      <c r="DE441"/>
      <c r="DF441"/>
      <c r="DG441"/>
      <c r="DH441"/>
      <c r="DI441"/>
      <c r="DJ441"/>
      <c r="DK441"/>
      <c r="DL441"/>
      <c r="DM441"/>
      <c r="DN441"/>
      <c r="DO441"/>
      <c r="DP441"/>
      <c r="DQ441"/>
      <c r="DR441"/>
      <c r="DS441"/>
      <c r="DT441"/>
      <c r="DU441"/>
      <c r="DV441"/>
      <c r="DW441"/>
      <c r="DX441"/>
      <c r="DY441"/>
      <c r="DZ441"/>
      <c r="EA441"/>
      <c r="EB441"/>
      <c r="EC441"/>
      <c r="ED441"/>
      <c r="EE441"/>
      <c r="EF441"/>
      <c r="EG441"/>
      <c r="EH441"/>
      <c r="EI441"/>
      <c r="EJ441"/>
      <c r="EK441"/>
      <c r="EL441"/>
      <c r="EM441"/>
      <c r="EN441"/>
      <c r="EO441"/>
      <c r="EP441"/>
      <c r="EQ441"/>
      <c r="ER441"/>
      <c r="ES441"/>
      <c r="ET441"/>
      <c r="EU441"/>
      <c r="EV441"/>
      <c r="EW441"/>
      <c r="EX441"/>
      <c r="EY441"/>
      <c r="EZ441"/>
      <c r="FA441"/>
      <c r="FB441"/>
      <c r="FC441"/>
      <c r="FD441"/>
      <c r="FE441"/>
      <c r="FF441"/>
      <c r="FG441"/>
      <c r="FH441"/>
      <c r="FI441"/>
      <c r="FJ441"/>
      <c r="FK441"/>
      <c r="FL441"/>
      <c r="FM441"/>
      <c r="FN441"/>
      <c r="FO441"/>
      <c r="FP441"/>
      <c r="FQ441"/>
      <c r="FR441"/>
      <c r="FS441"/>
      <c r="FT441"/>
      <c r="FU441"/>
      <c r="FV441"/>
      <c r="FW441"/>
      <c r="FX441"/>
      <c r="FY441"/>
      <c r="FZ441"/>
      <c r="GA441"/>
      <c r="GB441"/>
      <c r="GC441"/>
      <c r="GD441"/>
      <c r="GE441"/>
      <c r="GF441"/>
      <c r="GG441"/>
      <c r="GH441"/>
      <c r="GI441"/>
      <c r="GJ441"/>
      <c r="GK441"/>
      <c r="GL441"/>
      <c r="GM441"/>
      <c r="GN441"/>
      <c r="GO441"/>
      <c r="GP441"/>
      <c r="GQ441"/>
      <c r="GR441"/>
      <c r="GS441"/>
      <c r="GT441"/>
      <c r="GU441"/>
      <c r="GV441"/>
      <c r="GW441"/>
      <c r="GX441"/>
      <c r="GY441"/>
      <c r="GZ441"/>
      <c r="HA441"/>
      <c r="HB441"/>
      <c r="HC441"/>
      <c r="HD441"/>
      <c r="HE441"/>
      <c r="HF441"/>
      <c r="HG441"/>
      <c r="HH441"/>
      <c r="HI441"/>
      <c r="HJ441"/>
      <c r="HK441"/>
      <c r="HL441"/>
      <c r="HM441"/>
      <c r="HN441"/>
      <c r="HO441"/>
      <c r="HP441"/>
      <c r="HQ441"/>
      <c r="HR441"/>
      <c r="HS441"/>
      <c r="HT441"/>
      <c r="HU441"/>
      <c r="HV441"/>
      <c r="HW441"/>
      <c r="HX441"/>
      <c r="HY441"/>
      <c r="HZ441"/>
      <c r="IA441"/>
      <c r="IB441"/>
      <c r="IC441"/>
      <c r="ID441"/>
      <c r="IE441"/>
      <c r="IF441"/>
      <c r="IG441"/>
      <c r="IH441"/>
      <c r="II441"/>
      <c r="IJ441"/>
      <c r="IK441"/>
      <c r="IL441"/>
      <c r="IM441"/>
      <c r="IN441"/>
      <c r="IO441"/>
      <c r="IP441"/>
      <c r="IQ441"/>
      <c r="IR441"/>
      <c r="IS441"/>
      <c r="IT441"/>
      <c r="IU441"/>
      <c r="IV441"/>
      <c r="IW441"/>
      <c r="IX441"/>
      <c r="IY441"/>
      <c r="IZ441"/>
      <c r="JA441"/>
      <c r="JB441"/>
      <c r="JC441"/>
      <c r="JD441"/>
      <c r="JE441"/>
      <c r="JF441"/>
      <c r="JG441"/>
      <c r="JH441"/>
      <c r="JI441"/>
      <c r="JJ441"/>
      <c r="JK441"/>
      <c r="JL441"/>
      <c r="JM441"/>
      <c r="JN441"/>
      <c r="JO441"/>
      <c r="JP441"/>
      <c r="JQ441"/>
      <c r="JR441"/>
      <c r="JS441"/>
      <c r="JT441"/>
      <c r="JU441"/>
      <c r="JV441"/>
      <c r="JW441"/>
      <c r="JX441"/>
      <c r="JY441"/>
      <c r="JZ441"/>
      <c r="KA441"/>
      <c r="KB441"/>
      <c r="KC441"/>
      <c r="KD441"/>
      <c r="KE441"/>
      <c r="KF441"/>
      <c r="KG441"/>
      <c r="KH441"/>
      <c r="KI441"/>
      <c r="KJ441"/>
      <c r="KK441"/>
      <c r="KL441"/>
      <c r="KM441"/>
      <c r="KN441"/>
      <c r="KO441"/>
      <c r="KP441"/>
      <c r="KQ441"/>
      <c r="KR441"/>
      <c r="KS441"/>
    </row>
    <row r="442" spans="2:305" hidden="1" x14ac:dyDescent="0.35">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c r="AR442"/>
      <c r="AS442"/>
      <c r="AT442"/>
      <c r="AU442"/>
      <c r="AV442"/>
      <c r="AW442"/>
      <c r="AX442"/>
      <c r="AY442"/>
      <c r="AZ442"/>
      <c r="BA442"/>
      <c r="BB442"/>
      <c r="BC442"/>
      <c r="BD442"/>
      <c r="BE442"/>
      <c r="BF442"/>
      <c r="BG442"/>
      <c r="BH442"/>
      <c r="BI442"/>
      <c r="BJ442"/>
      <c r="BK442"/>
      <c r="BL442"/>
      <c r="BM442"/>
      <c r="BN442"/>
      <c r="BO442"/>
      <c r="BP442"/>
      <c r="BQ442"/>
      <c r="BR442"/>
      <c r="BS442"/>
      <c r="BT442"/>
      <c r="BU442"/>
      <c r="BV442"/>
      <c r="BW442"/>
      <c r="BX442"/>
      <c r="BY442"/>
      <c r="BZ442"/>
      <c r="CA442"/>
      <c r="CB442"/>
      <c r="CC442"/>
      <c r="CD442"/>
      <c r="CE442"/>
      <c r="CF442"/>
      <c r="CG442"/>
      <c r="CH442"/>
      <c r="CI442"/>
      <c r="CJ442"/>
      <c r="CK442"/>
      <c r="CL442"/>
      <c r="CM442"/>
      <c r="CN442"/>
      <c r="CO442"/>
      <c r="CP442"/>
      <c r="CQ442"/>
      <c r="CR442"/>
      <c r="CS442"/>
      <c r="CT442"/>
      <c r="CU442"/>
      <c r="CV442"/>
      <c r="CW442"/>
      <c r="CX442"/>
      <c r="CY442"/>
      <c r="CZ442"/>
      <c r="DA442"/>
      <c r="DB442"/>
      <c r="DC442"/>
      <c r="DD442"/>
      <c r="DE442"/>
      <c r="DF442"/>
      <c r="DG442"/>
      <c r="DH442"/>
      <c r="DI442"/>
      <c r="DJ442"/>
      <c r="DK442"/>
      <c r="DL442"/>
      <c r="DM442"/>
      <c r="DN442"/>
      <c r="DO442"/>
      <c r="DP442"/>
      <c r="DQ442"/>
      <c r="DR442"/>
      <c r="DS442"/>
      <c r="DT442"/>
      <c r="DU442"/>
      <c r="DV442"/>
      <c r="DW442"/>
      <c r="DX442"/>
      <c r="DY442"/>
      <c r="DZ442"/>
      <c r="EA442"/>
      <c r="EB442"/>
      <c r="EC442"/>
      <c r="ED442"/>
      <c r="EE442"/>
      <c r="EF442"/>
      <c r="EG442"/>
      <c r="EH442"/>
      <c r="EI442"/>
      <c r="EJ442"/>
      <c r="EK442"/>
      <c r="EL442"/>
      <c r="EM442"/>
      <c r="EN442"/>
      <c r="EO442"/>
      <c r="EP442"/>
      <c r="EQ442"/>
      <c r="ER442"/>
      <c r="ES442"/>
      <c r="ET442"/>
      <c r="EU442"/>
      <c r="EV442"/>
      <c r="EW442"/>
      <c r="EX442"/>
      <c r="EY442"/>
      <c r="EZ442"/>
      <c r="FA442"/>
      <c r="FB442"/>
      <c r="FC442"/>
      <c r="FD442"/>
      <c r="FE442"/>
      <c r="FF442"/>
      <c r="FG442"/>
      <c r="FH442"/>
      <c r="FI442"/>
      <c r="FJ442"/>
      <c r="FK442"/>
      <c r="FL442"/>
      <c r="FM442"/>
      <c r="FN442"/>
      <c r="FO442"/>
      <c r="FP442"/>
      <c r="FQ442"/>
      <c r="FR442"/>
      <c r="FS442"/>
      <c r="FT442"/>
      <c r="FU442"/>
      <c r="FV442"/>
      <c r="FW442"/>
      <c r="FX442"/>
      <c r="FY442"/>
      <c r="FZ442"/>
      <c r="GA442"/>
      <c r="GB442"/>
      <c r="GC442"/>
      <c r="GD442"/>
      <c r="GE442"/>
      <c r="GF442"/>
      <c r="GG442"/>
      <c r="GH442"/>
      <c r="GI442"/>
      <c r="GJ442"/>
      <c r="GK442"/>
      <c r="GL442"/>
      <c r="GM442"/>
      <c r="GN442"/>
      <c r="GO442"/>
      <c r="GP442"/>
      <c r="GQ442"/>
      <c r="GR442"/>
      <c r="GS442"/>
      <c r="GT442"/>
      <c r="GU442"/>
      <c r="GV442"/>
      <c r="GW442"/>
      <c r="GX442"/>
      <c r="GY442"/>
      <c r="GZ442"/>
      <c r="HA442"/>
      <c r="HB442"/>
      <c r="HC442"/>
      <c r="HD442"/>
      <c r="HE442"/>
      <c r="HF442"/>
      <c r="HG442"/>
      <c r="HH442"/>
      <c r="HI442"/>
      <c r="HJ442"/>
      <c r="HK442"/>
      <c r="HL442"/>
      <c r="HM442"/>
      <c r="HN442"/>
      <c r="HO442"/>
      <c r="HP442"/>
      <c r="HQ442"/>
      <c r="HR442"/>
      <c r="HS442"/>
      <c r="HT442"/>
      <c r="HU442"/>
      <c r="HV442"/>
      <c r="HW442"/>
      <c r="HX442"/>
      <c r="HY442"/>
      <c r="HZ442"/>
      <c r="IA442"/>
      <c r="IB442"/>
      <c r="IC442"/>
      <c r="ID442"/>
      <c r="IE442"/>
      <c r="IF442"/>
      <c r="IG442"/>
      <c r="IH442"/>
      <c r="II442"/>
      <c r="IJ442"/>
      <c r="IK442"/>
      <c r="IL442"/>
      <c r="IM442"/>
      <c r="IN442"/>
      <c r="IO442"/>
      <c r="IP442"/>
      <c r="IQ442"/>
      <c r="IR442"/>
      <c r="IS442"/>
      <c r="IT442"/>
      <c r="IU442"/>
      <c r="IV442"/>
      <c r="IW442"/>
      <c r="IX442"/>
      <c r="IY442"/>
      <c r="IZ442"/>
      <c r="JA442"/>
      <c r="JB442"/>
      <c r="JC442"/>
      <c r="JD442"/>
      <c r="JE442"/>
      <c r="JF442"/>
      <c r="JG442"/>
      <c r="JH442"/>
      <c r="JI442"/>
      <c r="JJ442"/>
      <c r="JK442"/>
      <c r="JL442"/>
      <c r="JM442"/>
      <c r="JN442"/>
      <c r="JO442"/>
      <c r="JP442"/>
      <c r="JQ442"/>
      <c r="JR442"/>
      <c r="JS442"/>
      <c r="JT442"/>
      <c r="JU442"/>
      <c r="JV442"/>
      <c r="JW442"/>
      <c r="JX442"/>
      <c r="JY442"/>
      <c r="JZ442"/>
      <c r="KA442"/>
      <c r="KB442"/>
      <c r="KC442"/>
      <c r="KD442"/>
      <c r="KE442"/>
      <c r="KF442"/>
      <c r="KG442"/>
      <c r="KH442"/>
      <c r="KI442"/>
      <c r="KJ442"/>
      <c r="KK442"/>
      <c r="KL442"/>
      <c r="KM442"/>
      <c r="KN442"/>
      <c r="KO442"/>
      <c r="KP442"/>
      <c r="KQ442"/>
      <c r="KR442"/>
      <c r="KS442"/>
    </row>
    <row r="443" spans="2:305" hidden="1" x14ac:dyDescent="0.35">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c r="AR443"/>
      <c r="AS443"/>
      <c r="AT443"/>
      <c r="AU443"/>
      <c r="AV443"/>
      <c r="AW443"/>
      <c r="AX443"/>
      <c r="AY443"/>
      <c r="AZ443"/>
      <c r="BA443"/>
      <c r="BB443"/>
      <c r="BC443"/>
      <c r="BD443"/>
      <c r="BE443"/>
      <c r="BF443"/>
      <c r="BG443"/>
      <c r="BH443"/>
      <c r="BI443"/>
      <c r="BJ443"/>
      <c r="BK443"/>
      <c r="BL443"/>
      <c r="BM443"/>
      <c r="BN443"/>
      <c r="BO443"/>
      <c r="BP443"/>
      <c r="BQ443"/>
      <c r="BR443"/>
      <c r="BS443"/>
      <c r="BT443"/>
      <c r="BU443"/>
      <c r="BV443"/>
      <c r="BW443"/>
      <c r="BX443"/>
      <c r="BY443"/>
      <c r="BZ443"/>
      <c r="CA443"/>
      <c r="CB443"/>
      <c r="CC443"/>
      <c r="CD443"/>
      <c r="CE443"/>
      <c r="CF443"/>
      <c r="CG443"/>
      <c r="CH443"/>
      <c r="CI443"/>
      <c r="CJ443"/>
      <c r="CK443"/>
      <c r="CL443"/>
      <c r="CM443"/>
      <c r="CN443"/>
      <c r="CO443"/>
      <c r="CP443"/>
      <c r="CQ443"/>
      <c r="CR443"/>
      <c r="CS443"/>
      <c r="CT443"/>
      <c r="CU443"/>
      <c r="CV443"/>
      <c r="CW443"/>
      <c r="CX443"/>
      <c r="CY443"/>
      <c r="CZ443"/>
      <c r="DA443"/>
      <c r="DB443"/>
      <c r="DC443"/>
      <c r="DD443"/>
      <c r="DE443"/>
      <c r="DF443"/>
      <c r="DG443"/>
      <c r="DH443"/>
      <c r="DI443"/>
      <c r="DJ443"/>
      <c r="DK443"/>
      <c r="DL443"/>
      <c r="DM443"/>
      <c r="DN443"/>
      <c r="DO443"/>
      <c r="DP443"/>
      <c r="DQ443"/>
      <c r="DR443"/>
      <c r="DS443"/>
      <c r="DT443"/>
      <c r="DU443"/>
      <c r="DV443"/>
      <c r="DW443"/>
      <c r="DX443"/>
      <c r="DY443"/>
      <c r="DZ443"/>
      <c r="EA443"/>
      <c r="EB443"/>
      <c r="EC443"/>
      <c r="ED443"/>
      <c r="EE443"/>
      <c r="EF443"/>
      <c r="EG443"/>
      <c r="EH443"/>
      <c r="EI443"/>
      <c r="EJ443"/>
      <c r="EK443"/>
      <c r="EL443"/>
      <c r="EM443"/>
      <c r="EN443"/>
      <c r="EO443"/>
      <c r="EP443"/>
      <c r="EQ443"/>
      <c r="ER443"/>
      <c r="ES443"/>
      <c r="ET443"/>
      <c r="EU443"/>
      <c r="EV443"/>
      <c r="EW443"/>
      <c r="EX443"/>
      <c r="EY443"/>
      <c r="EZ443"/>
      <c r="FA443"/>
      <c r="FB443"/>
      <c r="FC443"/>
      <c r="FD443"/>
      <c r="FE443"/>
      <c r="FF443"/>
      <c r="FG443"/>
      <c r="FH443"/>
      <c r="FI443"/>
      <c r="FJ443"/>
      <c r="FK443"/>
      <c r="FL443"/>
      <c r="FM443"/>
      <c r="FN443"/>
      <c r="FO443"/>
      <c r="FP443"/>
      <c r="FQ443"/>
      <c r="FR443"/>
      <c r="FS443"/>
      <c r="FT443"/>
      <c r="FU443"/>
      <c r="FV443"/>
      <c r="FW443"/>
      <c r="FX443"/>
      <c r="FY443"/>
      <c r="FZ443"/>
      <c r="GA443"/>
      <c r="GB443"/>
      <c r="GC443"/>
      <c r="GD443"/>
      <c r="GE443"/>
      <c r="GF443"/>
      <c r="GG443"/>
      <c r="GH443"/>
      <c r="GI443"/>
      <c r="GJ443"/>
      <c r="GK443"/>
      <c r="GL443"/>
      <c r="GM443"/>
      <c r="GN443"/>
      <c r="GO443"/>
      <c r="GP443"/>
      <c r="GQ443"/>
      <c r="GR443"/>
      <c r="GS443"/>
      <c r="GT443"/>
      <c r="GU443"/>
      <c r="GV443"/>
      <c r="GW443"/>
      <c r="GX443"/>
      <c r="GY443"/>
      <c r="GZ443"/>
      <c r="HA443"/>
      <c r="HB443"/>
      <c r="HC443"/>
      <c r="HD443"/>
      <c r="HE443"/>
      <c r="HF443"/>
      <c r="HG443"/>
      <c r="HH443"/>
      <c r="HI443"/>
      <c r="HJ443"/>
      <c r="HK443"/>
      <c r="HL443"/>
      <c r="HM443"/>
      <c r="HN443"/>
      <c r="HO443"/>
      <c r="HP443"/>
      <c r="HQ443"/>
      <c r="HR443"/>
      <c r="HS443"/>
      <c r="HT443"/>
      <c r="HU443"/>
      <c r="HV443"/>
      <c r="HW443"/>
      <c r="HX443"/>
      <c r="HY443"/>
      <c r="HZ443"/>
      <c r="IA443"/>
      <c r="IB443"/>
      <c r="IC443"/>
      <c r="ID443"/>
      <c r="IE443"/>
      <c r="IF443"/>
      <c r="IG443"/>
      <c r="IH443"/>
      <c r="II443"/>
      <c r="IJ443"/>
      <c r="IK443"/>
      <c r="IL443"/>
      <c r="IM443"/>
      <c r="IN443"/>
      <c r="IO443"/>
      <c r="IP443"/>
      <c r="IQ443"/>
      <c r="IR443"/>
      <c r="IS443"/>
      <c r="IT443"/>
      <c r="IU443"/>
      <c r="IV443"/>
      <c r="IW443"/>
      <c r="IX443"/>
      <c r="IY443"/>
      <c r="IZ443"/>
      <c r="JA443"/>
      <c r="JB443"/>
      <c r="JC443"/>
      <c r="JD443"/>
      <c r="JE443"/>
      <c r="JF443"/>
      <c r="JG443"/>
      <c r="JH443"/>
      <c r="JI443"/>
      <c r="JJ443"/>
      <c r="JK443"/>
      <c r="JL443"/>
      <c r="JM443"/>
      <c r="JN443"/>
      <c r="JO443"/>
      <c r="JP443"/>
      <c r="JQ443"/>
      <c r="JR443"/>
      <c r="JS443"/>
      <c r="JT443"/>
      <c r="JU443"/>
      <c r="JV443"/>
      <c r="JW443"/>
      <c r="JX443"/>
      <c r="JY443"/>
      <c r="JZ443"/>
      <c r="KA443"/>
      <c r="KB443"/>
      <c r="KC443"/>
      <c r="KD443"/>
      <c r="KE443"/>
      <c r="KF443"/>
      <c r="KG443"/>
      <c r="KH443"/>
      <c r="KI443"/>
      <c r="KJ443"/>
      <c r="KK443"/>
      <c r="KL443"/>
      <c r="KM443"/>
      <c r="KN443"/>
      <c r="KO443"/>
      <c r="KP443"/>
      <c r="KQ443"/>
      <c r="KR443"/>
      <c r="KS443"/>
    </row>
    <row r="444" spans="2:305" hidden="1" x14ac:dyDescent="0.35">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c r="AR444"/>
      <c r="AS444"/>
      <c r="AT444"/>
      <c r="AU444"/>
      <c r="AV444"/>
      <c r="AW444"/>
      <c r="AX444"/>
      <c r="AY444"/>
      <c r="AZ444"/>
      <c r="BA444"/>
      <c r="BB444"/>
      <c r="BC444"/>
      <c r="BD444"/>
      <c r="BE444"/>
      <c r="BF444"/>
      <c r="BG444"/>
      <c r="BH444"/>
      <c r="BI444"/>
      <c r="BJ444"/>
      <c r="BK444"/>
      <c r="BL444"/>
      <c r="BM444"/>
      <c r="BN444"/>
      <c r="BO444"/>
      <c r="BP444"/>
      <c r="BQ444"/>
      <c r="BR444"/>
      <c r="BS444"/>
      <c r="BT444"/>
      <c r="BU444"/>
      <c r="BV444"/>
      <c r="BW444"/>
      <c r="BX444"/>
      <c r="BY444"/>
      <c r="BZ444"/>
      <c r="CA444"/>
      <c r="CB444"/>
      <c r="CC444"/>
      <c r="CD444"/>
      <c r="CE444"/>
      <c r="CF444"/>
      <c r="CG444"/>
      <c r="CH444"/>
      <c r="CI444"/>
      <c r="CJ444"/>
      <c r="CK444"/>
      <c r="CL444"/>
      <c r="CM444"/>
      <c r="CN444"/>
      <c r="CO444"/>
      <c r="CP444"/>
      <c r="CQ444"/>
      <c r="CR444"/>
      <c r="CS444"/>
      <c r="CT444"/>
      <c r="CU444"/>
      <c r="CV444"/>
      <c r="CW444"/>
      <c r="CX444"/>
      <c r="CY444"/>
      <c r="CZ444"/>
      <c r="DA444"/>
      <c r="DB444"/>
      <c r="DC444"/>
      <c r="DD444"/>
      <c r="DE444"/>
      <c r="DF444"/>
      <c r="DG444"/>
      <c r="DH444"/>
      <c r="DI444"/>
      <c r="DJ444"/>
      <c r="DK444"/>
      <c r="DL444"/>
      <c r="DM444"/>
      <c r="DN444"/>
      <c r="DO444"/>
      <c r="DP444"/>
      <c r="DQ444"/>
      <c r="DR444"/>
      <c r="DS444"/>
      <c r="DT444"/>
      <c r="DU444"/>
      <c r="DV444"/>
      <c r="DW444"/>
      <c r="DX444"/>
      <c r="DY444"/>
      <c r="DZ444"/>
      <c r="EA444"/>
      <c r="EB444"/>
      <c r="EC444"/>
      <c r="ED444"/>
      <c r="EE444"/>
      <c r="EF444"/>
      <c r="EG444"/>
      <c r="EH444"/>
      <c r="EI444"/>
      <c r="EJ444"/>
      <c r="EK444"/>
      <c r="EL444"/>
      <c r="EM444"/>
      <c r="EN444"/>
      <c r="EO444"/>
      <c r="EP444"/>
      <c r="EQ444"/>
      <c r="ER444"/>
      <c r="ES444"/>
      <c r="ET444"/>
      <c r="EU444"/>
      <c r="EV444"/>
      <c r="EW444"/>
      <c r="EX444"/>
      <c r="EY444"/>
      <c r="EZ444"/>
      <c r="FA444"/>
      <c r="FB444"/>
      <c r="FC444"/>
      <c r="FD444"/>
      <c r="FE444"/>
      <c r="FF444"/>
      <c r="FG444"/>
      <c r="FH444"/>
      <c r="FI444"/>
      <c r="FJ444"/>
      <c r="FK444"/>
      <c r="FL444"/>
      <c r="FM444"/>
      <c r="FN444"/>
      <c r="FO444"/>
      <c r="FP444"/>
      <c r="FQ444"/>
      <c r="FR444"/>
      <c r="FS444"/>
      <c r="FT444"/>
      <c r="FU444"/>
      <c r="FV444"/>
      <c r="FW444"/>
      <c r="FX444"/>
      <c r="FY444"/>
      <c r="FZ444"/>
      <c r="GA444"/>
      <c r="GB444"/>
      <c r="GC444"/>
      <c r="GD444"/>
      <c r="GE444"/>
      <c r="GF444"/>
      <c r="GG444"/>
      <c r="GH444"/>
      <c r="GI444"/>
      <c r="GJ444"/>
      <c r="GK444"/>
      <c r="GL444"/>
      <c r="GM444"/>
      <c r="GN444"/>
      <c r="GO444"/>
      <c r="GP444"/>
      <c r="GQ444"/>
      <c r="GR444"/>
      <c r="GS444"/>
      <c r="GT444"/>
      <c r="GU444"/>
      <c r="GV444"/>
      <c r="GW444"/>
      <c r="GX444"/>
      <c r="GY444"/>
      <c r="GZ444"/>
      <c r="HA444"/>
      <c r="HB444"/>
      <c r="HC444"/>
      <c r="HD444"/>
      <c r="HE444"/>
      <c r="HF444"/>
      <c r="HG444"/>
      <c r="HH444"/>
      <c r="HI444"/>
      <c r="HJ444"/>
      <c r="HK444"/>
      <c r="HL444"/>
      <c r="HM444"/>
      <c r="HN444"/>
      <c r="HO444"/>
      <c r="HP444"/>
      <c r="HQ444"/>
      <c r="HR444"/>
      <c r="HS444"/>
      <c r="HT444"/>
      <c r="HU444"/>
      <c r="HV444"/>
      <c r="HW444"/>
      <c r="HX444"/>
      <c r="HY444"/>
      <c r="HZ444"/>
      <c r="IA444"/>
      <c r="IB444"/>
      <c r="IC444"/>
      <c r="ID444"/>
      <c r="IE444"/>
      <c r="IF444"/>
      <c r="IG444"/>
      <c r="IH444"/>
      <c r="II444"/>
      <c r="IJ444"/>
      <c r="IK444"/>
      <c r="IL444"/>
      <c r="IM444"/>
      <c r="IN444"/>
      <c r="IO444"/>
      <c r="IP444"/>
      <c r="IQ444"/>
      <c r="IR444"/>
      <c r="IS444"/>
      <c r="IT444"/>
      <c r="IU444"/>
      <c r="IV444"/>
      <c r="IW444"/>
      <c r="IX444"/>
      <c r="IY444"/>
      <c r="IZ444"/>
      <c r="JA444"/>
      <c r="JB444"/>
      <c r="JC444"/>
      <c r="JD444"/>
      <c r="JE444"/>
      <c r="JF444"/>
      <c r="JG444"/>
      <c r="JH444"/>
      <c r="JI444"/>
      <c r="JJ444"/>
      <c r="JK444"/>
      <c r="JL444"/>
      <c r="JM444"/>
      <c r="JN444"/>
      <c r="JO444"/>
      <c r="JP444"/>
      <c r="JQ444"/>
      <c r="JR444"/>
      <c r="JS444"/>
      <c r="JT444"/>
      <c r="JU444"/>
      <c r="JV444"/>
      <c r="JW444"/>
      <c r="JX444"/>
      <c r="JY444"/>
      <c r="JZ444"/>
      <c r="KA444"/>
      <c r="KB444"/>
      <c r="KC444"/>
      <c r="KD444"/>
      <c r="KE444"/>
      <c r="KF444"/>
      <c r="KG444"/>
      <c r="KH444"/>
      <c r="KI444"/>
      <c r="KJ444"/>
      <c r="KK444"/>
      <c r="KL444"/>
      <c r="KM444"/>
      <c r="KN444"/>
      <c r="KO444"/>
      <c r="KP444"/>
      <c r="KQ444"/>
      <c r="KR444"/>
      <c r="KS444"/>
    </row>
    <row r="445" spans="2:305" hidden="1" x14ac:dyDescent="0.3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c r="AR445"/>
      <c r="AS445"/>
      <c r="AT445"/>
      <c r="AU445"/>
      <c r="AV445"/>
      <c r="AW445"/>
      <c r="AX445"/>
      <c r="AY445"/>
      <c r="AZ445"/>
      <c r="BA445"/>
      <c r="BB445"/>
      <c r="BC445"/>
      <c r="BD445"/>
      <c r="BE445"/>
      <c r="BF445"/>
      <c r="BG445"/>
      <c r="BH445"/>
      <c r="BI445"/>
      <c r="BJ445"/>
      <c r="BK445"/>
      <c r="BL445"/>
      <c r="BM445"/>
      <c r="BN445"/>
      <c r="BO445"/>
      <c r="BP445"/>
      <c r="BQ445"/>
      <c r="BR445"/>
      <c r="BS445"/>
      <c r="BT445"/>
      <c r="BU445"/>
      <c r="BV445"/>
      <c r="BW445"/>
      <c r="BX445"/>
      <c r="BY445"/>
      <c r="BZ445"/>
      <c r="CA445"/>
      <c r="CB445"/>
      <c r="CC445"/>
      <c r="CD445"/>
      <c r="CE445"/>
      <c r="CF445"/>
      <c r="CG445"/>
      <c r="CH445"/>
      <c r="CI445"/>
      <c r="CJ445"/>
      <c r="CK445"/>
      <c r="CL445"/>
      <c r="CM445"/>
      <c r="CN445"/>
      <c r="CO445"/>
      <c r="CP445"/>
      <c r="CQ445"/>
      <c r="CR445"/>
      <c r="CS445"/>
      <c r="CT445"/>
      <c r="CU445"/>
      <c r="CV445"/>
      <c r="CW445"/>
      <c r="CX445"/>
      <c r="CY445"/>
      <c r="CZ445"/>
      <c r="DA445"/>
      <c r="DB445"/>
      <c r="DC445"/>
      <c r="DD445"/>
      <c r="DE445"/>
      <c r="DF445"/>
      <c r="DG445"/>
      <c r="DH445"/>
      <c r="DI445"/>
      <c r="DJ445"/>
      <c r="DK445"/>
      <c r="DL445"/>
      <c r="DM445"/>
      <c r="DN445"/>
      <c r="DO445"/>
      <c r="DP445"/>
      <c r="DQ445"/>
      <c r="DR445"/>
      <c r="DS445"/>
      <c r="DT445"/>
      <c r="DU445"/>
      <c r="DV445"/>
      <c r="DW445"/>
      <c r="DX445"/>
      <c r="DY445"/>
      <c r="DZ445"/>
      <c r="EA445"/>
      <c r="EB445"/>
      <c r="EC445"/>
      <c r="ED445"/>
      <c r="EE445"/>
      <c r="EF445"/>
      <c r="EG445"/>
      <c r="EH445"/>
      <c r="EI445"/>
      <c r="EJ445"/>
      <c r="EK445"/>
      <c r="EL445"/>
      <c r="EM445"/>
      <c r="EN445"/>
      <c r="EO445"/>
      <c r="EP445"/>
      <c r="EQ445"/>
      <c r="ER445"/>
      <c r="ES445"/>
      <c r="ET445"/>
      <c r="EU445"/>
      <c r="EV445"/>
      <c r="EW445"/>
      <c r="EX445"/>
      <c r="EY445"/>
      <c r="EZ445"/>
      <c r="FA445"/>
      <c r="FB445"/>
      <c r="FC445"/>
      <c r="FD445"/>
      <c r="FE445"/>
      <c r="FF445"/>
      <c r="FG445"/>
      <c r="FH445"/>
      <c r="FI445"/>
      <c r="FJ445"/>
      <c r="FK445"/>
      <c r="FL445"/>
      <c r="FM445"/>
      <c r="FN445"/>
      <c r="FO445"/>
      <c r="FP445"/>
      <c r="FQ445"/>
      <c r="FR445"/>
      <c r="FS445"/>
      <c r="FT445"/>
      <c r="FU445"/>
      <c r="FV445"/>
      <c r="FW445"/>
      <c r="FX445"/>
      <c r="FY445"/>
      <c r="FZ445"/>
      <c r="GA445"/>
      <c r="GB445"/>
      <c r="GC445"/>
      <c r="GD445"/>
      <c r="GE445"/>
      <c r="GF445"/>
      <c r="GG445"/>
      <c r="GH445"/>
      <c r="GI445"/>
      <c r="GJ445"/>
      <c r="GK445"/>
      <c r="GL445"/>
      <c r="GM445"/>
      <c r="GN445"/>
      <c r="GO445"/>
      <c r="GP445"/>
      <c r="GQ445"/>
      <c r="GR445"/>
      <c r="GS445"/>
      <c r="GT445"/>
      <c r="GU445"/>
      <c r="GV445"/>
      <c r="GW445"/>
      <c r="GX445"/>
      <c r="GY445"/>
      <c r="GZ445"/>
      <c r="HA445"/>
      <c r="HB445"/>
      <c r="HC445"/>
      <c r="HD445"/>
      <c r="HE445"/>
      <c r="HF445"/>
      <c r="HG445"/>
      <c r="HH445"/>
      <c r="HI445"/>
      <c r="HJ445"/>
      <c r="HK445"/>
      <c r="HL445"/>
      <c r="HM445"/>
      <c r="HN445"/>
      <c r="HO445"/>
      <c r="HP445"/>
      <c r="HQ445"/>
      <c r="HR445"/>
      <c r="HS445"/>
      <c r="HT445"/>
      <c r="HU445"/>
      <c r="HV445"/>
      <c r="HW445"/>
      <c r="HX445"/>
      <c r="HY445"/>
      <c r="HZ445"/>
      <c r="IA445"/>
      <c r="IB445"/>
      <c r="IC445"/>
      <c r="ID445"/>
      <c r="IE445"/>
      <c r="IF445"/>
      <c r="IG445"/>
      <c r="IH445"/>
      <c r="II445"/>
      <c r="IJ445"/>
      <c r="IK445"/>
      <c r="IL445"/>
      <c r="IM445"/>
      <c r="IN445"/>
      <c r="IO445"/>
      <c r="IP445"/>
      <c r="IQ445"/>
      <c r="IR445"/>
      <c r="IS445"/>
      <c r="IT445"/>
      <c r="IU445"/>
      <c r="IV445"/>
      <c r="IW445"/>
      <c r="IX445"/>
      <c r="IY445"/>
      <c r="IZ445"/>
      <c r="JA445"/>
      <c r="JB445"/>
      <c r="JC445"/>
      <c r="JD445"/>
      <c r="JE445"/>
      <c r="JF445"/>
      <c r="JG445"/>
      <c r="JH445"/>
      <c r="JI445"/>
      <c r="JJ445"/>
      <c r="JK445"/>
      <c r="JL445"/>
      <c r="JM445"/>
      <c r="JN445"/>
      <c r="JO445"/>
      <c r="JP445"/>
      <c r="JQ445"/>
      <c r="JR445"/>
      <c r="JS445"/>
      <c r="JT445"/>
      <c r="JU445"/>
      <c r="JV445"/>
      <c r="JW445"/>
      <c r="JX445"/>
      <c r="JY445"/>
      <c r="JZ445"/>
      <c r="KA445"/>
      <c r="KB445"/>
      <c r="KC445"/>
      <c r="KD445"/>
      <c r="KE445"/>
      <c r="KF445"/>
      <c r="KG445"/>
      <c r="KH445"/>
      <c r="KI445"/>
      <c r="KJ445"/>
      <c r="KK445"/>
      <c r="KL445"/>
      <c r="KM445"/>
      <c r="KN445"/>
      <c r="KO445"/>
      <c r="KP445"/>
      <c r="KQ445"/>
      <c r="KR445"/>
      <c r="KS445"/>
    </row>
    <row r="446" spans="2:305" hidden="1" x14ac:dyDescent="0.35">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c r="AR446"/>
      <c r="AS446"/>
      <c r="AT446"/>
      <c r="AU446"/>
      <c r="AV446"/>
      <c r="AW446"/>
      <c r="AX446"/>
      <c r="AY446"/>
      <c r="AZ446"/>
      <c r="BA446"/>
      <c r="BB446"/>
      <c r="BC446"/>
      <c r="BD446"/>
      <c r="BE446"/>
      <c r="BF446"/>
      <c r="BG446"/>
      <c r="BH446"/>
      <c r="BI446"/>
      <c r="BJ446"/>
      <c r="BK446"/>
      <c r="BL446"/>
      <c r="BM446"/>
      <c r="BN446"/>
      <c r="BO446"/>
      <c r="BP446"/>
      <c r="BQ446"/>
      <c r="BR446"/>
      <c r="BS446"/>
      <c r="BT446"/>
      <c r="BU446"/>
      <c r="BV446"/>
      <c r="BW446"/>
      <c r="BX446"/>
      <c r="BY446"/>
      <c r="BZ446"/>
      <c r="CA446"/>
      <c r="CB446"/>
      <c r="CC446"/>
      <c r="CD446"/>
      <c r="CE446"/>
      <c r="CF446"/>
      <c r="CG446"/>
      <c r="CH446"/>
      <c r="CI446"/>
      <c r="CJ446"/>
      <c r="CK446"/>
      <c r="CL446"/>
      <c r="CM446"/>
      <c r="CN446"/>
      <c r="CO446"/>
      <c r="CP446"/>
      <c r="CQ446"/>
      <c r="CR446"/>
      <c r="CS446"/>
      <c r="CT446"/>
      <c r="CU446"/>
      <c r="CV446"/>
      <c r="CW446"/>
      <c r="CX446"/>
      <c r="CY446"/>
      <c r="CZ446"/>
      <c r="DA446"/>
      <c r="DB446"/>
      <c r="DC446"/>
      <c r="DD446"/>
      <c r="DE446"/>
      <c r="DF446"/>
      <c r="DG446"/>
      <c r="DH446"/>
      <c r="DI446"/>
      <c r="DJ446"/>
      <c r="DK446"/>
      <c r="DL446"/>
      <c r="DM446"/>
      <c r="DN446"/>
      <c r="DO446"/>
      <c r="DP446"/>
      <c r="DQ446"/>
      <c r="DR446"/>
      <c r="DS446"/>
      <c r="DT446"/>
      <c r="DU446"/>
      <c r="DV446"/>
      <c r="DW446"/>
      <c r="DX446"/>
      <c r="DY446"/>
      <c r="DZ446"/>
      <c r="EA446"/>
      <c r="EB446"/>
      <c r="EC446"/>
      <c r="ED446"/>
      <c r="EE446"/>
      <c r="EF446"/>
      <c r="EG446"/>
      <c r="EH446"/>
      <c r="EI446"/>
      <c r="EJ446"/>
      <c r="EK446"/>
      <c r="EL446"/>
      <c r="EM446"/>
      <c r="EN446"/>
      <c r="EO446"/>
      <c r="EP446"/>
      <c r="EQ446"/>
      <c r="ER446"/>
      <c r="ES446"/>
      <c r="ET446"/>
      <c r="EU446"/>
      <c r="EV446"/>
      <c r="EW446"/>
      <c r="EX446"/>
      <c r="EY446"/>
      <c r="EZ446"/>
      <c r="FA446"/>
      <c r="FB446"/>
      <c r="FC446"/>
      <c r="FD446"/>
      <c r="FE446"/>
      <c r="FF446"/>
      <c r="FG446"/>
      <c r="FH446"/>
      <c r="FI446"/>
      <c r="FJ446"/>
      <c r="FK446"/>
      <c r="FL446"/>
      <c r="FM446"/>
      <c r="FN446"/>
      <c r="FO446"/>
      <c r="FP446"/>
      <c r="FQ446"/>
      <c r="FR446"/>
      <c r="FS446"/>
      <c r="FT446"/>
      <c r="FU446"/>
      <c r="FV446"/>
      <c r="FW446"/>
      <c r="FX446"/>
      <c r="FY446"/>
      <c r="FZ446"/>
      <c r="GA446"/>
      <c r="GB446"/>
      <c r="GC446"/>
      <c r="GD446"/>
      <c r="GE446"/>
      <c r="GF446"/>
      <c r="GG446"/>
      <c r="GH446"/>
      <c r="GI446"/>
      <c r="GJ446"/>
      <c r="GK446"/>
      <c r="GL446"/>
      <c r="GM446"/>
      <c r="GN446"/>
      <c r="GO446"/>
      <c r="GP446"/>
      <c r="GQ446"/>
      <c r="GR446"/>
      <c r="GS446"/>
      <c r="GT446"/>
      <c r="GU446"/>
      <c r="GV446"/>
      <c r="GW446"/>
      <c r="GX446"/>
      <c r="GY446"/>
      <c r="GZ446"/>
      <c r="HA446"/>
      <c r="HB446"/>
      <c r="HC446"/>
      <c r="HD446"/>
      <c r="HE446"/>
      <c r="HF446"/>
      <c r="HG446"/>
      <c r="HH446"/>
      <c r="HI446"/>
      <c r="HJ446"/>
      <c r="HK446"/>
      <c r="HL446"/>
      <c r="HM446"/>
      <c r="HN446"/>
      <c r="HO446"/>
      <c r="HP446"/>
      <c r="HQ446"/>
      <c r="HR446"/>
      <c r="HS446"/>
      <c r="HT446"/>
      <c r="HU446"/>
      <c r="HV446"/>
      <c r="HW446"/>
      <c r="HX446"/>
      <c r="HY446"/>
      <c r="HZ446"/>
      <c r="IA446"/>
      <c r="IB446"/>
      <c r="IC446"/>
      <c r="ID446"/>
      <c r="IE446"/>
      <c r="IF446"/>
      <c r="IG446"/>
      <c r="IH446"/>
      <c r="II446"/>
      <c r="IJ446"/>
      <c r="IK446"/>
      <c r="IL446"/>
      <c r="IM446"/>
      <c r="IN446"/>
      <c r="IO446"/>
      <c r="IP446"/>
      <c r="IQ446"/>
      <c r="IR446"/>
      <c r="IS446"/>
      <c r="IT446"/>
      <c r="IU446"/>
      <c r="IV446"/>
      <c r="IW446"/>
      <c r="IX446"/>
      <c r="IY446"/>
      <c r="IZ446"/>
      <c r="JA446"/>
      <c r="JB446"/>
      <c r="JC446"/>
      <c r="JD446"/>
      <c r="JE446"/>
      <c r="JF446"/>
      <c r="JG446"/>
      <c r="JH446"/>
      <c r="JI446"/>
      <c r="JJ446"/>
      <c r="JK446"/>
      <c r="JL446"/>
      <c r="JM446"/>
      <c r="JN446"/>
      <c r="JO446"/>
      <c r="JP446"/>
      <c r="JQ446"/>
      <c r="JR446"/>
      <c r="JS446"/>
      <c r="JT446"/>
      <c r="JU446"/>
      <c r="JV446"/>
      <c r="JW446"/>
      <c r="JX446"/>
      <c r="JY446"/>
      <c r="JZ446"/>
      <c r="KA446"/>
      <c r="KB446"/>
      <c r="KC446"/>
      <c r="KD446"/>
      <c r="KE446"/>
      <c r="KF446"/>
      <c r="KG446"/>
      <c r="KH446"/>
      <c r="KI446"/>
      <c r="KJ446"/>
      <c r="KK446"/>
      <c r="KL446"/>
      <c r="KM446"/>
      <c r="KN446"/>
      <c r="KO446"/>
      <c r="KP446"/>
      <c r="KQ446"/>
      <c r="KR446"/>
      <c r="KS446"/>
    </row>
    <row r="447" spans="2:305" hidden="1" x14ac:dyDescent="0.35">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c r="AR447"/>
      <c r="AS447"/>
      <c r="AT447"/>
      <c r="AU447"/>
      <c r="AV447"/>
      <c r="AW447"/>
      <c r="AX447"/>
      <c r="AY447"/>
      <c r="AZ447"/>
      <c r="BA447"/>
      <c r="BB447"/>
      <c r="BC447"/>
      <c r="BD447"/>
      <c r="BE447"/>
      <c r="BF447"/>
      <c r="BG447"/>
      <c r="BH447"/>
      <c r="BI447"/>
      <c r="BJ447"/>
      <c r="BK447"/>
      <c r="BL447"/>
      <c r="BM447"/>
      <c r="BN447"/>
      <c r="BO447"/>
      <c r="BP447"/>
      <c r="BQ447"/>
      <c r="BR447"/>
      <c r="BS447"/>
      <c r="BT447"/>
      <c r="BU447"/>
      <c r="BV447"/>
      <c r="BW447"/>
      <c r="BX447"/>
      <c r="BY447"/>
      <c r="BZ447"/>
      <c r="CA447"/>
      <c r="CB447"/>
      <c r="CC447"/>
      <c r="CD447"/>
      <c r="CE447"/>
      <c r="CF447"/>
      <c r="CG447"/>
      <c r="CH447"/>
      <c r="CI447"/>
      <c r="CJ447"/>
      <c r="CK447"/>
      <c r="CL447"/>
      <c r="CM447"/>
      <c r="CN447"/>
      <c r="CO447"/>
      <c r="CP447"/>
      <c r="CQ447"/>
      <c r="CR447"/>
      <c r="CS447"/>
      <c r="CT447"/>
      <c r="CU447"/>
      <c r="CV447"/>
      <c r="CW447"/>
      <c r="CX447"/>
      <c r="CY447"/>
      <c r="CZ447"/>
      <c r="DA447"/>
      <c r="DB447"/>
      <c r="DC447"/>
      <c r="DD447"/>
      <c r="DE447"/>
      <c r="DF447"/>
      <c r="DG447"/>
      <c r="DH447"/>
      <c r="DI447"/>
      <c r="DJ447"/>
      <c r="DK447"/>
      <c r="DL447"/>
      <c r="DM447"/>
      <c r="DN447"/>
      <c r="DO447"/>
      <c r="DP447"/>
      <c r="DQ447"/>
      <c r="DR447"/>
      <c r="DS447"/>
      <c r="DT447"/>
      <c r="DU447"/>
      <c r="DV447"/>
      <c r="DW447"/>
      <c r="DX447"/>
      <c r="DY447"/>
      <c r="DZ447"/>
      <c r="EA447"/>
      <c r="EB447"/>
      <c r="EC447"/>
      <c r="ED447"/>
      <c r="EE447"/>
      <c r="EF447"/>
      <c r="EG447"/>
      <c r="EH447"/>
      <c r="EI447"/>
      <c r="EJ447"/>
      <c r="EK447"/>
      <c r="EL447"/>
      <c r="EM447"/>
      <c r="EN447"/>
      <c r="EO447"/>
      <c r="EP447"/>
      <c r="EQ447"/>
      <c r="ER447"/>
      <c r="ES447"/>
      <c r="ET447"/>
      <c r="EU447"/>
      <c r="EV447"/>
      <c r="EW447"/>
      <c r="EX447"/>
      <c r="EY447"/>
      <c r="EZ447"/>
      <c r="FA447"/>
      <c r="FB447"/>
      <c r="FC447"/>
      <c r="FD447"/>
      <c r="FE447"/>
      <c r="FF447"/>
      <c r="FG447"/>
      <c r="FH447"/>
      <c r="FI447"/>
      <c r="FJ447"/>
      <c r="FK447"/>
      <c r="FL447"/>
      <c r="FM447"/>
      <c r="FN447"/>
      <c r="FO447"/>
      <c r="FP447"/>
      <c r="FQ447"/>
      <c r="FR447"/>
      <c r="FS447"/>
      <c r="FT447"/>
      <c r="FU447"/>
      <c r="FV447"/>
      <c r="FW447"/>
      <c r="FX447"/>
      <c r="FY447"/>
      <c r="FZ447"/>
      <c r="GA447"/>
      <c r="GB447"/>
      <c r="GC447"/>
      <c r="GD447"/>
      <c r="GE447"/>
      <c r="GF447"/>
      <c r="GG447"/>
      <c r="GH447"/>
      <c r="GI447"/>
      <c r="GJ447"/>
      <c r="GK447"/>
      <c r="GL447"/>
      <c r="GM447"/>
      <c r="GN447"/>
      <c r="GO447"/>
      <c r="GP447"/>
      <c r="GQ447"/>
      <c r="GR447"/>
      <c r="GS447"/>
      <c r="GT447"/>
      <c r="GU447"/>
      <c r="GV447"/>
      <c r="GW447"/>
      <c r="GX447"/>
      <c r="GY447"/>
      <c r="GZ447"/>
      <c r="HA447"/>
      <c r="HB447"/>
      <c r="HC447"/>
      <c r="HD447"/>
      <c r="HE447"/>
      <c r="HF447"/>
      <c r="HG447"/>
      <c r="HH447"/>
      <c r="HI447"/>
      <c r="HJ447"/>
      <c r="HK447"/>
      <c r="HL447"/>
      <c r="HM447"/>
      <c r="HN447"/>
      <c r="HO447"/>
      <c r="HP447"/>
      <c r="HQ447"/>
      <c r="HR447"/>
      <c r="HS447"/>
      <c r="HT447"/>
      <c r="HU447"/>
      <c r="HV447"/>
      <c r="HW447"/>
      <c r="HX447"/>
      <c r="HY447"/>
      <c r="HZ447"/>
      <c r="IA447"/>
      <c r="IB447"/>
      <c r="IC447"/>
      <c r="ID447"/>
      <c r="IE447"/>
      <c r="IF447"/>
      <c r="IG447"/>
      <c r="IH447"/>
      <c r="II447"/>
      <c r="IJ447"/>
      <c r="IK447"/>
      <c r="IL447"/>
      <c r="IM447"/>
      <c r="IN447"/>
      <c r="IO447"/>
      <c r="IP447"/>
      <c r="IQ447"/>
      <c r="IR447"/>
      <c r="IS447"/>
      <c r="IT447"/>
      <c r="IU447"/>
      <c r="IV447"/>
      <c r="IW447"/>
      <c r="IX447"/>
      <c r="IY447"/>
      <c r="IZ447"/>
      <c r="JA447"/>
      <c r="JB447"/>
      <c r="JC447"/>
      <c r="JD447"/>
      <c r="JE447"/>
      <c r="JF447"/>
      <c r="JG447"/>
      <c r="JH447"/>
      <c r="JI447"/>
      <c r="JJ447"/>
      <c r="JK447"/>
      <c r="JL447"/>
      <c r="JM447"/>
      <c r="JN447"/>
      <c r="JO447"/>
      <c r="JP447"/>
      <c r="JQ447"/>
      <c r="JR447"/>
      <c r="JS447"/>
      <c r="JT447"/>
      <c r="JU447"/>
      <c r="JV447"/>
      <c r="JW447"/>
      <c r="JX447"/>
      <c r="JY447"/>
      <c r="JZ447"/>
      <c r="KA447"/>
      <c r="KB447"/>
      <c r="KC447"/>
      <c r="KD447"/>
      <c r="KE447"/>
      <c r="KF447"/>
      <c r="KG447"/>
      <c r="KH447"/>
      <c r="KI447"/>
      <c r="KJ447"/>
      <c r="KK447"/>
      <c r="KL447"/>
      <c r="KM447"/>
      <c r="KN447"/>
      <c r="KO447"/>
      <c r="KP447"/>
      <c r="KQ447"/>
      <c r="KR447"/>
      <c r="KS447"/>
    </row>
    <row r="448" spans="2:305" hidden="1" x14ac:dyDescent="0.35">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c r="AR448"/>
      <c r="AS448"/>
      <c r="AT448"/>
      <c r="AU448"/>
      <c r="AV448"/>
      <c r="AW448"/>
      <c r="AX448"/>
      <c r="AY448"/>
      <c r="AZ448"/>
      <c r="BA448"/>
      <c r="BB448"/>
      <c r="BC448"/>
      <c r="BD448"/>
      <c r="BE448"/>
      <c r="BF448"/>
      <c r="BG448"/>
      <c r="BH448"/>
      <c r="BI448"/>
      <c r="BJ448"/>
      <c r="BK448"/>
      <c r="BL448"/>
      <c r="BM448"/>
      <c r="BN448"/>
      <c r="BO448"/>
      <c r="BP448"/>
      <c r="BQ448"/>
      <c r="BR448"/>
      <c r="BS448"/>
      <c r="BT448"/>
      <c r="BU448"/>
      <c r="BV448"/>
      <c r="BW448"/>
      <c r="BX448"/>
      <c r="BY448"/>
      <c r="BZ448"/>
      <c r="CA448"/>
      <c r="CB448"/>
      <c r="CC448"/>
      <c r="CD448"/>
      <c r="CE448"/>
      <c r="CF448"/>
      <c r="CG448"/>
      <c r="CH448"/>
      <c r="CI448"/>
      <c r="CJ448"/>
      <c r="CK448"/>
      <c r="CL448"/>
      <c r="CM448"/>
      <c r="CN448"/>
      <c r="CO448"/>
      <c r="CP448"/>
      <c r="CQ448"/>
      <c r="CR448"/>
      <c r="CS448"/>
      <c r="CT448"/>
      <c r="CU448"/>
      <c r="CV448"/>
      <c r="CW448"/>
      <c r="CX448"/>
      <c r="CY448"/>
      <c r="CZ448"/>
      <c r="DA448"/>
      <c r="DB448"/>
      <c r="DC448"/>
      <c r="DD448"/>
      <c r="DE448"/>
      <c r="DF448"/>
      <c r="DG448"/>
      <c r="DH448"/>
      <c r="DI448"/>
      <c r="DJ448"/>
      <c r="DK448"/>
      <c r="DL448"/>
      <c r="DM448"/>
      <c r="DN448"/>
      <c r="DO448"/>
      <c r="DP448"/>
      <c r="DQ448"/>
      <c r="DR448"/>
      <c r="DS448"/>
      <c r="DT448"/>
      <c r="DU448"/>
      <c r="DV448"/>
      <c r="DW448"/>
      <c r="DX448"/>
      <c r="DY448"/>
      <c r="DZ448"/>
      <c r="EA448"/>
      <c r="EB448"/>
      <c r="EC448"/>
      <c r="ED448"/>
      <c r="EE448"/>
      <c r="EF448"/>
      <c r="EG448"/>
      <c r="EH448"/>
      <c r="EI448"/>
      <c r="EJ448"/>
      <c r="EK448"/>
      <c r="EL448"/>
      <c r="EM448"/>
      <c r="EN448"/>
      <c r="EO448"/>
      <c r="EP448"/>
      <c r="EQ448"/>
      <c r="ER448"/>
      <c r="ES448"/>
      <c r="ET448"/>
      <c r="EU448"/>
      <c r="EV448"/>
      <c r="EW448"/>
      <c r="EX448"/>
      <c r="EY448"/>
      <c r="EZ448"/>
      <c r="FA448"/>
      <c r="FB448"/>
      <c r="FC448"/>
      <c r="FD448"/>
      <c r="FE448"/>
      <c r="FF448"/>
      <c r="FG448"/>
      <c r="FH448"/>
      <c r="FI448"/>
      <c r="FJ448"/>
      <c r="FK448"/>
      <c r="FL448"/>
      <c r="FM448"/>
      <c r="FN448"/>
      <c r="FO448"/>
      <c r="FP448"/>
      <c r="FQ448"/>
      <c r="FR448"/>
      <c r="FS448"/>
      <c r="FT448"/>
      <c r="FU448"/>
      <c r="FV448"/>
      <c r="FW448"/>
      <c r="FX448"/>
      <c r="FY448"/>
      <c r="FZ448"/>
      <c r="GA448"/>
      <c r="GB448"/>
      <c r="GC448"/>
      <c r="GD448"/>
      <c r="GE448"/>
      <c r="GF448"/>
      <c r="GG448"/>
      <c r="GH448"/>
      <c r="GI448"/>
      <c r="GJ448"/>
      <c r="GK448"/>
      <c r="GL448"/>
      <c r="GM448"/>
      <c r="GN448"/>
      <c r="GO448"/>
      <c r="GP448"/>
      <c r="GQ448"/>
      <c r="GR448"/>
      <c r="GS448"/>
      <c r="GT448"/>
      <c r="GU448"/>
      <c r="GV448"/>
      <c r="GW448"/>
      <c r="GX448"/>
      <c r="GY448"/>
      <c r="GZ448"/>
      <c r="HA448"/>
      <c r="HB448"/>
      <c r="HC448"/>
      <c r="HD448"/>
      <c r="HE448"/>
      <c r="HF448"/>
      <c r="HG448"/>
      <c r="HH448"/>
      <c r="HI448"/>
      <c r="HJ448"/>
      <c r="HK448"/>
      <c r="HL448"/>
      <c r="HM448"/>
      <c r="HN448"/>
      <c r="HO448"/>
      <c r="HP448"/>
      <c r="HQ448"/>
      <c r="HR448"/>
      <c r="HS448"/>
      <c r="HT448"/>
      <c r="HU448"/>
      <c r="HV448"/>
      <c r="HW448"/>
      <c r="HX448"/>
      <c r="HY448"/>
      <c r="HZ448"/>
      <c r="IA448"/>
      <c r="IB448"/>
      <c r="IC448"/>
      <c r="ID448"/>
      <c r="IE448"/>
      <c r="IF448"/>
      <c r="IG448"/>
      <c r="IH448"/>
      <c r="II448"/>
      <c r="IJ448"/>
      <c r="IK448"/>
      <c r="IL448"/>
      <c r="IM448"/>
      <c r="IN448"/>
      <c r="IO448"/>
      <c r="IP448"/>
      <c r="IQ448"/>
      <c r="IR448"/>
      <c r="IS448"/>
      <c r="IT448"/>
      <c r="IU448"/>
      <c r="IV448"/>
      <c r="IW448"/>
      <c r="IX448"/>
      <c r="IY448"/>
      <c r="IZ448"/>
      <c r="JA448"/>
      <c r="JB448"/>
      <c r="JC448"/>
      <c r="JD448"/>
      <c r="JE448"/>
      <c r="JF448"/>
      <c r="JG448"/>
      <c r="JH448"/>
      <c r="JI448"/>
      <c r="JJ448"/>
      <c r="JK448"/>
      <c r="JL448"/>
      <c r="JM448"/>
      <c r="JN448"/>
      <c r="JO448"/>
      <c r="JP448"/>
      <c r="JQ448"/>
      <c r="JR448"/>
      <c r="JS448"/>
      <c r="JT448"/>
      <c r="JU448"/>
      <c r="JV448"/>
      <c r="JW448"/>
      <c r="JX448"/>
      <c r="JY448"/>
      <c r="JZ448"/>
      <c r="KA448"/>
      <c r="KB448"/>
      <c r="KC448"/>
      <c r="KD448"/>
      <c r="KE448"/>
      <c r="KF448"/>
      <c r="KG448"/>
      <c r="KH448"/>
      <c r="KI448"/>
      <c r="KJ448"/>
      <c r="KK448"/>
      <c r="KL448"/>
      <c r="KM448"/>
      <c r="KN448"/>
      <c r="KO448"/>
      <c r="KP448"/>
      <c r="KQ448"/>
      <c r="KR448"/>
      <c r="KS448"/>
    </row>
    <row r="449" spans="2:305" hidden="1" x14ac:dyDescent="0.35">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c r="AR449"/>
      <c r="AS449"/>
      <c r="AT449"/>
      <c r="AU449"/>
      <c r="AV449"/>
      <c r="AW449"/>
      <c r="AX449"/>
      <c r="AY449"/>
      <c r="AZ449"/>
      <c r="BA449"/>
      <c r="BB449"/>
      <c r="BC449"/>
      <c r="BD449"/>
      <c r="BE449"/>
      <c r="BF449"/>
      <c r="BG449"/>
      <c r="BH449"/>
      <c r="BI449"/>
      <c r="BJ449"/>
      <c r="BK449"/>
      <c r="BL449"/>
      <c r="BM449"/>
      <c r="BN449"/>
      <c r="BO449"/>
      <c r="BP449"/>
      <c r="BQ449"/>
      <c r="BR449"/>
      <c r="BS449"/>
      <c r="BT449"/>
      <c r="BU449"/>
      <c r="BV449"/>
      <c r="BW449"/>
      <c r="BX449"/>
      <c r="BY449"/>
      <c r="BZ449"/>
      <c r="CA449"/>
      <c r="CB449"/>
      <c r="CC449"/>
      <c r="CD449"/>
      <c r="CE449"/>
      <c r="CF449"/>
      <c r="CG449"/>
      <c r="CH449"/>
      <c r="CI449"/>
      <c r="CJ449"/>
      <c r="CK449"/>
      <c r="CL449"/>
      <c r="CM449"/>
      <c r="CN449"/>
      <c r="CO449"/>
      <c r="CP449"/>
      <c r="CQ449"/>
      <c r="CR449"/>
      <c r="CS449"/>
      <c r="CT449"/>
      <c r="CU449"/>
      <c r="CV449"/>
      <c r="CW449"/>
      <c r="CX449"/>
      <c r="CY449"/>
      <c r="CZ449"/>
      <c r="DA449"/>
      <c r="DB449"/>
      <c r="DC449"/>
      <c r="DD449"/>
      <c r="DE449"/>
      <c r="DF449"/>
      <c r="DG449"/>
      <c r="DH449"/>
      <c r="DI449"/>
      <c r="DJ449"/>
      <c r="DK449"/>
      <c r="DL449"/>
      <c r="DM449"/>
      <c r="DN449"/>
      <c r="DO449"/>
      <c r="DP449"/>
      <c r="DQ449"/>
      <c r="DR449"/>
      <c r="DS449"/>
      <c r="DT449"/>
      <c r="DU449"/>
      <c r="DV449"/>
      <c r="DW449"/>
      <c r="DX449"/>
      <c r="DY449"/>
      <c r="DZ449"/>
      <c r="EA449"/>
      <c r="EB449"/>
      <c r="EC449"/>
      <c r="ED449"/>
      <c r="EE449"/>
      <c r="EF449"/>
      <c r="EG449"/>
      <c r="EH449"/>
      <c r="EI449"/>
      <c r="EJ449"/>
      <c r="EK449"/>
      <c r="EL449"/>
      <c r="EM449"/>
      <c r="EN449"/>
      <c r="EO449"/>
      <c r="EP449"/>
      <c r="EQ449"/>
      <c r="ER449"/>
      <c r="ES449"/>
      <c r="ET449"/>
      <c r="EU449"/>
      <c r="EV449"/>
      <c r="EW449"/>
      <c r="EX449"/>
      <c r="EY449"/>
      <c r="EZ449"/>
      <c r="FA449"/>
      <c r="FB449"/>
      <c r="FC449"/>
      <c r="FD449"/>
      <c r="FE449"/>
      <c r="FF449"/>
      <c r="FG449"/>
      <c r="FH449"/>
      <c r="FI449"/>
      <c r="FJ449"/>
      <c r="FK449"/>
      <c r="FL449"/>
      <c r="FM449"/>
      <c r="FN449"/>
      <c r="FO449"/>
      <c r="FP449"/>
      <c r="FQ449"/>
      <c r="FR449"/>
      <c r="FS449"/>
      <c r="FT449"/>
      <c r="FU449"/>
      <c r="FV449"/>
      <c r="FW449"/>
      <c r="FX449"/>
      <c r="FY449"/>
      <c r="FZ449"/>
      <c r="GA449"/>
      <c r="GB449"/>
      <c r="GC449"/>
      <c r="GD449"/>
      <c r="GE449"/>
      <c r="GF449"/>
      <c r="GG449"/>
      <c r="GH449"/>
      <c r="GI449"/>
      <c r="GJ449"/>
      <c r="GK449"/>
      <c r="GL449"/>
      <c r="GM449"/>
      <c r="GN449"/>
      <c r="GO449"/>
      <c r="GP449"/>
      <c r="GQ449"/>
      <c r="GR449"/>
      <c r="GS449"/>
      <c r="GT449"/>
      <c r="GU449"/>
      <c r="GV449"/>
      <c r="GW449"/>
      <c r="GX449"/>
      <c r="GY449"/>
      <c r="GZ449"/>
      <c r="HA449"/>
      <c r="HB449"/>
      <c r="HC449"/>
      <c r="HD449"/>
      <c r="HE449"/>
      <c r="HF449"/>
      <c r="HG449"/>
      <c r="HH449"/>
      <c r="HI449"/>
      <c r="HJ449"/>
      <c r="HK449"/>
      <c r="HL449"/>
      <c r="HM449"/>
      <c r="HN449"/>
      <c r="HO449"/>
      <c r="HP449"/>
      <c r="HQ449"/>
      <c r="HR449"/>
      <c r="HS449"/>
      <c r="HT449"/>
      <c r="HU449"/>
      <c r="HV449"/>
      <c r="HW449"/>
      <c r="HX449"/>
      <c r="HY449"/>
      <c r="HZ449"/>
      <c r="IA449"/>
      <c r="IB449"/>
      <c r="IC449"/>
      <c r="ID449"/>
      <c r="IE449"/>
      <c r="IF449"/>
      <c r="IG449"/>
      <c r="IH449"/>
      <c r="II449"/>
      <c r="IJ449"/>
      <c r="IK449"/>
      <c r="IL449"/>
      <c r="IM449"/>
      <c r="IN449"/>
      <c r="IO449"/>
      <c r="IP449"/>
      <c r="IQ449"/>
      <c r="IR449"/>
      <c r="IS449"/>
      <c r="IT449"/>
      <c r="IU449"/>
      <c r="IV449"/>
      <c r="IW449"/>
      <c r="IX449"/>
      <c r="IY449"/>
      <c r="IZ449"/>
      <c r="JA449"/>
      <c r="JB449"/>
      <c r="JC449"/>
      <c r="JD449"/>
      <c r="JE449"/>
      <c r="JF449"/>
      <c r="JG449"/>
      <c r="JH449"/>
      <c r="JI449"/>
      <c r="JJ449"/>
      <c r="JK449"/>
      <c r="JL449"/>
      <c r="JM449"/>
      <c r="JN449"/>
      <c r="JO449"/>
      <c r="JP449"/>
      <c r="JQ449"/>
      <c r="JR449"/>
      <c r="JS449"/>
      <c r="JT449"/>
      <c r="JU449"/>
      <c r="JV449"/>
      <c r="JW449"/>
      <c r="JX449"/>
      <c r="JY449"/>
      <c r="JZ449"/>
      <c r="KA449"/>
      <c r="KB449"/>
      <c r="KC449"/>
      <c r="KD449"/>
      <c r="KE449"/>
      <c r="KF449"/>
      <c r="KG449"/>
      <c r="KH449"/>
      <c r="KI449"/>
      <c r="KJ449"/>
      <c r="KK449"/>
      <c r="KL449"/>
      <c r="KM449"/>
      <c r="KN449"/>
      <c r="KO449"/>
      <c r="KP449"/>
      <c r="KQ449"/>
      <c r="KR449"/>
      <c r="KS449"/>
    </row>
    <row r="450" spans="2:305" hidden="1" x14ac:dyDescent="0.35">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c r="AR450"/>
      <c r="AS450"/>
      <c r="AT450"/>
      <c r="AU450"/>
      <c r="AV450"/>
      <c r="AW450"/>
      <c r="AX450"/>
      <c r="AY450"/>
      <c r="AZ450"/>
      <c r="BA450"/>
      <c r="BB450"/>
      <c r="BC450"/>
      <c r="BD450"/>
      <c r="BE450"/>
      <c r="BF450"/>
      <c r="BG450"/>
      <c r="BH450"/>
      <c r="BI450"/>
      <c r="BJ450"/>
      <c r="BK450"/>
      <c r="BL450"/>
      <c r="BM450"/>
      <c r="BN450"/>
      <c r="BO450"/>
      <c r="BP450"/>
      <c r="BQ450"/>
      <c r="BR450"/>
      <c r="BS450"/>
      <c r="BT450"/>
      <c r="BU450"/>
      <c r="BV450"/>
      <c r="BW450"/>
      <c r="BX450"/>
      <c r="BY450"/>
      <c r="BZ450"/>
      <c r="CA450"/>
      <c r="CB450"/>
      <c r="CC450"/>
      <c r="CD450"/>
      <c r="CE450"/>
      <c r="CF450"/>
      <c r="CG450"/>
      <c r="CH450"/>
      <c r="CI450"/>
      <c r="CJ450"/>
      <c r="CK450"/>
      <c r="CL450"/>
      <c r="CM450"/>
      <c r="CN450"/>
      <c r="CO450"/>
      <c r="CP450"/>
      <c r="CQ450"/>
      <c r="CR450"/>
      <c r="CS450"/>
      <c r="CT450"/>
      <c r="CU450"/>
      <c r="CV450"/>
      <c r="CW450"/>
      <c r="CX450"/>
      <c r="CY450"/>
      <c r="CZ450"/>
      <c r="DA450"/>
      <c r="DB450"/>
      <c r="DC450"/>
      <c r="DD450"/>
      <c r="DE450"/>
      <c r="DF450"/>
      <c r="DG450"/>
      <c r="DH450"/>
      <c r="DI450"/>
      <c r="DJ450"/>
      <c r="DK450"/>
      <c r="DL450"/>
      <c r="DM450"/>
      <c r="DN450"/>
      <c r="DO450"/>
      <c r="DP450"/>
      <c r="DQ450"/>
      <c r="DR450"/>
      <c r="DS450"/>
      <c r="DT450"/>
      <c r="DU450"/>
      <c r="DV450"/>
      <c r="DW450"/>
      <c r="DX450"/>
      <c r="DY450"/>
      <c r="DZ450"/>
      <c r="EA450"/>
      <c r="EB450"/>
      <c r="EC450"/>
      <c r="ED450"/>
      <c r="EE450"/>
      <c r="EF450"/>
      <c r="EG450"/>
      <c r="EH450"/>
      <c r="EI450"/>
      <c r="EJ450"/>
      <c r="EK450"/>
      <c r="EL450"/>
      <c r="EM450"/>
      <c r="EN450"/>
      <c r="EO450"/>
      <c r="EP450"/>
      <c r="EQ450"/>
      <c r="ER450"/>
      <c r="ES450"/>
      <c r="ET450"/>
      <c r="EU450"/>
      <c r="EV450"/>
      <c r="EW450"/>
      <c r="EX450"/>
      <c r="EY450"/>
      <c r="EZ450"/>
      <c r="FA450"/>
      <c r="FB450"/>
      <c r="FC450"/>
      <c r="FD450"/>
      <c r="FE450"/>
      <c r="FF450"/>
      <c r="FG450"/>
      <c r="FH450"/>
      <c r="FI450"/>
      <c r="FJ450"/>
      <c r="FK450"/>
      <c r="FL450"/>
      <c r="FM450"/>
      <c r="FN450"/>
      <c r="FO450"/>
      <c r="FP450"/>
      <c r="FQ450"/>
      <c r="FR450"/>
      <c r="FS450"/>
      <c r="FT450"/>
      <c r="FU450"/>
      <c r="FV450"/>
      <c r="FW450"/>
      <c r="FX450"/>
      <c r="FY450"/>
      <c r="FZ450"/>
      <c r="GA450"/>
      <c r="GB450"/>
      <c r="GC450"/>
      <c r="GD450"/>
      <c r="GE450"/>
      <c r="GF450"/>
      <c r="GG450"/>
      <c r="GH450"/>
      <c r="GI450"/>
      <c r="GJ450"/>
      <c r="GK450"/>
      <c r="GL450"/>
      <c r="GM450"/>
      <c r="GN450"/>
      <c r="GO450"/>
      <c r="GP450"/>
      <c r="GQ450"/>
      <c r="GR450"/>
      <c r="GS450"/>
      <c r="GT450"/>
      <c r="GU450"/>
      <c r="GV450"/>
      <c r="GW450"/>
      <c r="GX450"/>
      <c r="GY450"/>
      <c r="GZ450"/>
      <c r="HA450"/>
      <c r="HB450"/>
      <c r="HC450"/>
      <c r="HD450"/>
      <c r="HE450"/>
      <c r="HF450"/>
      <c r="HG450"/>
      <c r="HH450"/>
      <c r="HI450"/>
      <c r="HJ450"/>
      <c r="HK450"/>
      <c r="HL450"/>
      <c r="HM450"/>
      <c r="HN450"/>
      <c r="HO450"/>
      <c r="HP450"/>
      <c r="HQ450"/>
      <c r="HR450"/>
      <c r="HS450"/>
      <c r="HT450"/>
      <c r="HU450"/>
      <c r="HV450"/>
      <c r="HW450"/>
      <c r="HX450"/>
      <c r="HY450"/>
      <c r="HZ450"/>
      <c r="IA450"/>
      <c r="IB450"/>
      <c r="IC450"/>
      <c r="ID450"/>
      <c r="IE450"/>
      <c r="IF450"/>
      <c r="IG450"/>
      <c r="IH450"/>
      <c r="II450"/>
      <c r="IJ450"/>
      <c r="IK450"/>
      <c r="IL450"/>
      <c r="IM450"/>
      <c r="IN450"/>
      <c r="IO450"/>
      <c r="IP450"/>
      <c r="IQ450"/>
      <c r="IR450"/>
      <c r="IS450"/>
      <c r="IT450"/>
      <c r="IU450"/>
      <c r="IV450"/>
      <c r="IW450"/>
      <c r="IX450"/>
      <c r="IY450"/>
      <c r="IZ450"/>
      <c r="JA450"/>
      <c r="JB450"/>
      <c r="JC450"/>
      <c r="JD450"/>
      <c r="JE450"/>
      <c r="JF450"/>
      <c r="JG450"/>
      <c r="JH450"/>
      <c r="JI450"/>
      <c r="JJ450"/>
      <c r="JK450"/>
      <c r="JL450"/>
      <c r="JM450"/>
      <c r="JN450"/>
      <c r="JO450"/>
      <c r="JP450"/>
      <c r="JQ450"/>
      <c r="JR450"/>
      <c r="JS450"/>
      <c r="JT450"/>
      <c r="JU450"/>
      <c r="JV450"/>
      <c r="JW450"/>
      <c r="JX450"/>
      <c r="JY450"/>
      <c r="JZ450"/>
      <c r="KA450"/>
      <c r="KB450"/>
      <c r="KC450"/>
      <c r="KD450"/>
      <c r="KE450"/>
      <c r="KF450"/>
      <c r="KG450"/>
      <c r="KH450"/>
      <c r="KI450"/>
      <c r="KJ450"/>
      <c r="KK450"/>
      <c r="KL450"/>
      <c r="KM450"/>
      <c r="KN450"/>
      <c r="KO450"/>
      <c r="KP450"/>
      <c r="KQ450"/>
      <c r="KR450"/>
      <c r="KS450"/>
    </row>
    <row r="451" spans="2:305" hidden="1" x14ac:dyDescent="0.35">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c r="AR451"/>
      <c r="AS451"/>
      <c r="AT451"/>
      <c r="AU451"/>
      <c r="AV451"/>
      <c r="AW451"/>
      <c r="AX451"/>
      <c r="AY451"/>
      <c r="AZ451"/>
      <c r="BA451"/>
      <c r="BB451"/>
      <c r="BC451"/>
      <c r="BD451"/>
      <c r="BE451"/>
      <c r="BF451"/>
      <c r="BG451"/>
      <c r="BH451"/>
      <c r="BI451"/>
      <c r="BJ451"/>
      <c r="BK451"/>
      <c r="BL451"/>
      <c r="BM451"/>
      <c r="BN451"/>
      <c r="BO451"/>
      <c r="BP451"/>
      <c r="BQ451"/>
      <c r="BR451"/>
      <c r="BS451"/>
      <c r="BT451"/>
      <c r="BU451"/>
      <c r="BV451"/>
      <c r="BW451"/>
      <c r="BX451"/>
      <c r="BY451"/>
      <c r="BZ451"/>
      <c r="CA451"/>
      <c r="CB451"/>
      <c r="CC451"/>
      <c r="CD451"/>
      <c r="CE451"/>
      <c r="CF451"/>
      <c r="CG451"/>
      <c r="CH451"/>
      <c r="CI451"/>
      <c r="CJ451"/>
      <c r="CK451"/>
      <c r="CL451"/>
      <c r="CM451"/>
      <c r="CN451"/>
      <c r="CO451"/>
      <c r="CP451"/>
      <c r="CQ451"/>
      <c r="CR451"/>
      <c r="CS451"/>
      <c r="CT451"/>
      <c r="CU451"/>
      <c r="CV451"/>
      <c r="CW451"/>
      <c r="CX451"/>
      <c r="CY451"/>
      <c r="CZ451"/>
      <c r="DA451"/>
      <c r="DB451"/>
      <c r="DC451"/>
      <c r="DD451"/>
      <c r="DE451"/>
      <c r="DF451"/>
      <c r="DG451"/>
      <c r="DH451"/>
      <c r="DI451"/>
      <c r="DJ451"/>
      <c r="DK451"/>
      <c r="DL451"/>
      <c r="DM451"/>
      <c r="DN451"/>
      <c r="DO451"/>
      <c r="DP451"/>
      <c r="DQ451"/>
      <c r="DR451"/>
      <c r="DS451"/>
      <c r="DT451"/>
      <c r="DU451"/>
      <c r="DV451"/>
      <c r="DW451"/>
      <c r="DX451"/>
      <c r="DY451"/>
      <c r="DZ451"/>
      <c r="EA451"/>
      <c r="EB451"/>
      <c r="EC451"/>
      <c r="ED451"/>
      <c r="EE451"/>
      <c r="EF451"/>
      <c r="EG451"/>
      <c r="EH451"/>
      <c r="EI451"/>
      <c r="EJ451"/>
      <c r="EK451"/>
      <c r="EL451"/>
      <c r="EM451"/>
      <c r="EN451"/>
      <c r="EO451"/>
      <c r="EP451"/>
      <c r="EQ451"/>
      <c r="ER451"/>
      <c r="ES451"/>
      <c r="ET451"/>
      <c r="EU451"/>
      <c r="EV451"/>
      <c r="EW451"/>
      <c r="EX451"/>
      <c r="EY451"/>
      <c r="EZ451"/>
      <c r="FA451"/>
      <c r="FB451"/>
      <c r="FC451"/>
      <c r="FD451"/>
      <c r="FE451"/>
      <c r="FF451"/>
      <c r="FG451"/>
      <c r="FH451"/>
      <c r="FI451"/>
      <c r="FJ451"/>
      <c r="FK451"/>
      <c r="FL451"/>
      <c r="FM451"/>
      <c r="FN451"/>
      <c r="FO451"/>
      <c r="FP451"/>
      <c r="FQ451"/>
      <c r="FR451"/>
      <c r="FS451"/>
      <c r="FT451"/>
      <c r="FU451"/>
      <c r="FV451"/>
      <c r="FW451"/>
      <c r="FX451"/>
      <c r="FY451"/>
      <c r="FZ451"/>
      <c r="GA451"/>
      <c r="GB451"/>
      <c r="GC451"/>
      <c r="GD451"/>
      <c r="GE451"/>
      <c r="GF451"/>
      <c r="GG451"/>
      <c r="GH451"/>
      <c r="GI451"/>
      <c r="GJ451"/>
      <c r="GK451"/>
      <c r="GL451"/>
      <c r="GM451"/>
      <c r="GN451"/>
      <c r="GO451"/>
      <c r="GP451"/>
      <c r="GQ451"/>
      <c r="GR451"/>
      <c r="GS451"/>
      <c r="GT451"/>
      <c r="GU451"/>
      <c r="GV451"/>
      <c r="GW451"/>
      <c r="GX451"/>
      <c r="GY451"/>
      <c r="GZ451"/>
      <c r="HA451"/>
      <c r="HB451"/>
      <c r="HC451"/>
      <c r="HD451"/>
      <c r="HE451"/>
      <c r="HF451"/>
      <c r="HG451"/>
      <c r="HH451"/>
      <c r="HI451"/>
      <c r="HJ451"/>
      <c r="HK451"/>
      <c r="HL451"/>
      <c r="HM451"/>
      <c r="HN451"/>
      <c r="HO451"/>
      <c r="HP451"/>
      <c r="HQ451"/>
      <c r="HR451"/>
      <c r="HS451"/>
      <c r="HT451"/>
      <c r="HU451"/>
      <c r="HV451"/>
      <c r="HW451"/>
      <c r="HX451"/>
      <c r="HY451"/>
      <c r="HZ451"/>
      <c r="IA451"/>
      <c r="IB451"/>
      <c r="IC451"/>
      <c r="ID451"/>
      <c r="IE451"/>
      <c r="IF451"/>
      <c r="IG451"/>
      <c r="IH451"/>
      <c r="II451"/>
      <c r="IJ451"/>
      <c r="IK451"/>
      <c r="IL451"/>
      <c r="IM451"/>
      <c r="IN451"/>
      <c r="IO451"/>
      <c r="IP451"/>
      <c r="IQ451"/>
      <c r="IR451"/>
      <c r="IS451"/>
      <c r="IT451"/>
      <c r="IU451"/>
      <c r="IV451"/>
      <c r="IW451"/>
      <c r="IX451"/>
      <c r="IY451"/>
      <c r="IZ451"/>
      <c r="JA451"/>
      <c r="JB451"/>
      <c r="JC451"/>
      <c r="JD451"/>
      <c r="JE451"/>
      <c r="JF451"/>
      <c r="JG451"/>
      <c r="JH451"/>
      <c r="JI451"/>
      <c r="JJ451"/>
      <c r="JK451"/>
      <c r="JL451"/>
      <c r="JM451"/>
      <c r="JN451"/>
      <c r="JO451"/>
      <c r="JP451"/>
      <c r="JQ451"/>
      <c r="JR451"/>
      <c r="JS451"/>
      <c r="JT451"/>
      <c r="JU451"/>
      <c r="JV451"/>
      <c r="JW451"/>
      <c r="JX451"/>
      <c r="JY451"/>
      <c r="JZ451"/>
      <c r="KA451"/>
      <c r="KB451"/>
      <c r="KC451"/>
      <c r="KD451"/>
      <c r="KE451"/>
      <c r="KF451"/>
      <c r="KG451"/>
      <c r="KH451"/>
      <c r="KI451"/>
      <c r="KJ451"/>
      <c r="KK451"/>
      <c r="KL451"/>
      <c r="KM451"/>
      <c r="KN451"/>
      <c r="KO451"/>
      <c r="KP451"/>
      <c r="KQ451"/>
      <c r="KR451"/>
      <c r="KS451"/>
    </row>
    <row r="452" spans="2:305" hidden="1" x14ac:dyDescent="0.35">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c r="AR452"/>
      <c r="AS452"/>
      <c r="AT452"/>
      <c r="AU452"/>
      <c r="AV452"/>
      <c r="AW452"/>
      <c r="AX452"/>
      <c r="AY452"/>
      <c r="AZ452"/>
      <c r="BA452"/>
      <c r="BB452"/>
      <c r="BC452"/>
      <c r="BD452"/>
      <c r="BE452"/>
      <c r="BF452"/>
      <c r="BG452"/>
      <c r="BH452"/>
      <c r="BI452"/>
      <c r="BJ452"/>
      <c r="BK452"/>
      <c r="BL452"/>
      <c r="BM452"/>
      <c r="BN452"/>
      <c r="BO452"/>
      <c r="BP452"/>
      <c r="BQ452"/>
      <c r="BR452"/>
      <c r="BS452"/>
      <c r="BT452"/>
      <c r="BU452"/>
      <c r="BV452"/>
      <c r="BW452"/>
      <c r="BX452"/>
      <c r="BY452"/>
      <c r="BZ452"/>
      <c r="CA452"/>
      <c r="CB452"/>
      <c r="CC452"/>
      <c r="CD452"/>
      <c r="CE452"/>
      <c r="CF452"/>
      <c r="CG452"/>
      <c r="CH452"/>
      <c r="CI452"/>
      <c r="CJ452"/>
      <c r="CK452"/>
      <c r="CL452"/>
      <c r="CM452"/>
      <c r="CN452"/>
      <c r="CO452"/>
      <c r="CP452"/>
      <c r="CQ452"/>
      <c r="CR452"/>
      <c r="CS452"/>
      <c r="CT452"/>
      <c r="CU452"/>
      <c r="CV452"/>
      <c r="CW452"/>
      <c r="CX452"/>
      <c r="CY452"/>
      <c r="CZ452"/>
      <c r="DA452"/>
      <c r="DB452"/>
      <c r="DC452"/>
      <c r="DD452"/>
      <c r="DE452"/>
      <c r="DF452"/>
      <c r="DG452"/>
      <c r="DH452"/>
      <c r="DI452"/>
      <c r="DJ452"/>
      <c r="DK452"/>
      <c r="DL452"/>
      <c r="DM452"/>
      <c r="DN452"/>
      <c r="DO452"/>
      <c r="DP452"/>
      <c r="DQ452"/>
      <c r="DR452"/>
      <c r="DS452"/>
      <c r="DT452"/>
      <c r="DU452"/>
      <c r="DV452"/>
      <c r="DW452"/>
      <c r="DX452"/>
      <c r="DY452"/>
      <c r="DZ452"/>
      <c r="EA452"/>
      <c r="EB452"/>
      <c r="EC452"/>
      <c r="ED452"/>
      <c r="EE452"/>
      <c r="EF452"/>
      <c r="EG452"/>
      <c r="EH452"/>
      <c r="EI452"/>
      <c r="EJ452"/>
      <c r="EK452"/>
      <c r="EL452"/>
      <c r="EM452"/>
      <c r="EN452"/>
      <c r="EO452"/>
      <c r="EP452"/>
      <c r="EQ452"/>
      <c r="ER452"/>
      <c r="ES452"/>
      <c r="ET452"/>
      <c r="EU452"/>
      <c r="EV452"/>
      <c r="EW452"/>
      <c r="EX452"/>
      <c r="EY452"/>
      <c r="EZ452"/>
      <c r="FA452"/>
      <c r="FB452"/>
      <c r="FC452"/>
      <c r="FD452"/>
      <c r="FE452"/>
      <c r="FF452"/>
      <c r="FG452"/>
      <c r="FH452"/>
      <c r="FI452"/>
      <c r="FJ452"/>
      <c r="FK452"/>
      <c r="FL452"/>
      <c r="FM452"/>
      <c r="FN452"/>
      <c r="FO452"/>
      <c r="FP452"/>
      <c r="FQ452"/>
      <c r="FR452"/>
      <c r="FS452"/>
      <c r="FT452"/>
      <c r="FU452"/>
      <c r="FV452"/>
      <c r="FW452"/>
      <c r="FX452"/>
      <c r="FY452"/>
      <c r="FZ452"/>
      <c r="GA452"/>
      <c r="GB452"/>
      <c r="GC452"/>
      <c r="GD452"/>
      <c r="GE452"/>
      <c r="GF452"/>
      <c r="GG452"/>
      <c r="GH452"/>
      <c r="GI452"/>
      <c r="GJ452"/>
      <c r="GK452"/>
      <c r="GL452"/>
      <c r="GM452"/>
      <c r="GN452"/>
      <c r="GO452"/>
      <c r="GP452"/>
      <c r="GQ452"/>
      <c r="GR452"/>
      <c r="GS452"/>
      <c r="GT452"/>
      <c r="GU452"/>
      <c r="GV452"/>
      <c r="GW452"/>
      <c r="GX452"/>
      <c r="GY452"/>
      <c r="GZ452"/>
      <c r="HA452"/>
      <c r="HB452"/>
      <c r="HC452"/>
      <c r="HD452"/>
      <c r="HE452"/>
      <c r="HF452"/>
      <c r="HG452"/>
      <c r="HH452"/>
      <c r="HI452"/>
      <c r="HJ452"/>
      <c r="HK452"/>
      <c r="HL452"/>
      <c r="HM452"/>
      <c r="HN452"/>
      <c r="HO452"/>
      <c r="HP452"/>
      <c r="HQ452"/>
      <c r="HR452"/>
      <c r="HS452"/>
      <c r="HT452"/>
      <c r="HU452"/>
      <c r="HV452"/>
      <c r="HW452"/>
      <c r="HX452"/>
      <c r="HY452"/>
      <c r="HZ452"/>
      <c r="IA452"/>
      <c r="IB452"/>
      <c r="IC452"/>
      <c r="ID452"/>
      <c r="IE452"/>
      <c r="IF452"/>
      <c r="IG452"/>
      <c r="IH452"/>
      <c r="II452"/>
      <c r="IJ452"/>
      <c r="IK452"/>
      <c r="IL452"/>
      <c r="IM452"/>
      <c r="IN452"/>
      <c r="IO452"/>
      <c r="IP452"/>
      <c r="IQ452"/>
      <c r="IR452"/>
      <c r="IS452"/>
      <c r="IT452"/>
      <c r="IU452"/>
      <c r="IV452"/>
      <c r="IW452"/>
      <c r="IX452"/>
      <c r="IY452"/>
      <c r="IZ452"/>
      <c r="JA452"/>
      <c r="JB452"/>
      <c r="JC452"/>
      <c r="JD452"/>
      <c r="JE452"/>
      <c r="JF452"/>
      <c r="JG452"/>
      <c r="JH452"/>
      <c r="JI452"/>
      <c r="JJ452"/>
      <c r="JK452"/>
      <c r="JL452"/>
      <c r="JM452"/>
      <c r="JN452"/>
      <c r="JO452"/>
      <c r="JP452"/>
      <c r="JQ452"/>
      <c r="JR452"/>
      <c r="JS452"/>
      <c r="JT452"/>
      <c r="JU452"/>
      <c r="JV452"/>
      <c r="JW452"/>
      <c r="JX452"/>
      <c r="JY452"/>
      <c r="JZ452"/>
      <c r="KA452"/>
      <c r="KB452"/>
      <c r="KC452"/>
      <c r="KD452"/>
      <c r="KE452"/>
      <c r="KF452"/>
      <c r="KG452"/>
      <c r="KH452"/>
      <c r="KI452"/>
      <c r="KJ452"/>
      <c r="KK452"/>
      <c r="KL452"/>
      <c r="KM452"/>
      <c r="KN452"/>
      <c r="KO452"/>
      <c r="KP452"/>
      <c r="KQ452"/>
      <c r="KR452"/>
      <c r="KS452"/>
    </row>
    <row r="453" spans="2:305" hidden="1" x14ac:dyDescent="0.35">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c r="AR453"/>
      <c r="AS453"/>
      <c r="AT453"/>
      <c r="AU453"/>
      <c r="AV453"/>
      <c r="AW453"/>
      <c r="AX453"/>
      <c r="AY453"/>
      <c r="AZ453"/>
      <c r="BA453"/>
      <c r="BB453"/>
      <c r="BC453"/>
      <c r="BD453"/>
      <c r="BE453"/>
      <c r="BF453"/>
      <c r="BG453"/>
      <c r="BH453"/>
      <c r="BI453"/>
      <c r="BJ453"/>
      <c r="BK453"/>
      <c r="BL453"/>
      <c r="BM453"/>
      <c r="BN453"/>
      <c r="BO453"/>
      <c r="BP453"/>
      <c r="BQ453"/>
      <c r="BR453"/>
      <c r="BS453"/>
      <c r="BT453"/>
      <c r="BU453"/>
      <c r="BV453"/>
      <c r="BW453"/>
      <c r="BX453"/>
      <c r="BY453"/>
      <c r="BZ453"/>
      <c r="CA453"/>
      <c r="CB453"/>
      <c r="CC453"/>
      <c r="CD453"/>
      <c r="CE453"/>
      <c r="CF453"/>
      <c r="CG453"/>
      <c r="CH453"/>
      <c r="CI453"/>
      <c r="CJ453"/>
      <c r="CK453"/>
      <c r="CL453"/>
      <c r="CM453"/>
      <c r="CN453"/>
      <c r="CO453"/>
      <c r="CP453"/>
      <c r="CQ453"/>
      <c r="CR453"/>
      <c r="CS453"/>
      <c r="CT453"/>
      <c r="CU453"/>
      <c r="CV453"/>
      <c r="CW453"/>
      <c r="CX453"/>
      <c r="CY453"/>
      <c r="CZ453"/>
      <c r="DA453"/>
      <c r="DB453"/>
      <c r="DC453"/>
      <c r="DD453"/>
      <c r="DE453"/>
      <c r="DF453"/>
      <c r="DG453"/>
      <c r="DH453"/>
      <c r="DI453"/>
      <c r="DJ453"/>
      <c r="DK453"/>
      <c r="DL453"/>
      <c r="DM453"/>
      <c r="DN453"/>
      <c r="DO453"/>
      <c r="DP453"/>
      <c r="DQ453"/>
      <c r="DR453"/>
      <c r="DS453"/>
      <c r="DT453"/>
      <c r="DU453"/>
      <c r="DV453"/>
      <c r="DW453"/>
      <c r="DX453"/>
      <c r="DY453"/>
      <c r="DZ453"/>
      <c r="EA453"/>
      <c r="EB453"/>
      <c r="EC453"/>
      <c r="ED453"/>
      <c r="EE453"/>
      <c r="EF453"/>
      <c r="EG453"/>
      <c r="EH453"/>
      <c r="EI453"/>
      <c r="EJ453"/>
      <c r="EK453"/>
      <c r="EL453"/>
      <c r="EM453"/>
      <c r="EN453"/>
      <c r="EO453"/>
      <c r="EP453"/>
      <c r="EQ453"/>
      <c r="ER453"/>
      <c r="ES453"/>
      <c r="ET453"/>
      <c r="EU453"/>
      <c r="EV453"/>
      <c r="EW453"/>
      <c r="EX453"/>
      <c r="EY453"/>
      <c r="EZ453"/>
      <c r="FA453"/>
      <c r="FB453"/>
      <c r="FC453"/>
      <c r="FD453"/>
      <c r="FE453"/>
      <c r="FF453"/>
      <c r="FG453"/>
      <c r="FH453"/>
      <c r="FI453"/>
      <c r="FJ453"/>
      <c r="FK453"/>
      <c r="FL453"/>
      <c r="FM453"/>
      <c r="FN453"/>
      <c r="FO453"/>
      <c r="FP453"/>
      <c r="FQ453"/>
      <c r="FR453"/>
      <c r="FS453"/>
      <c r="FT453"/>
      <c r="FU453"/>
      <c r="FV453"/>
      <c r="FW453"/>
      <c r="FX453"/>
      <c r="FY453"/>
      <c r="FZ453"/>
      <c r="GA453"/>
      <c r="GB453"/>
      <c r="GC453"/>
      <c r="GD453"/>
      <c r="GE453"/>
      <c r="GF453"/>
      <c r="GG453"/>
      <c r="GH453"/>
      <c r="GI453"/>
      <c r="GJ453"/>
      <c r="GK453"/>
      <c r="GL453"/>
      <c r="GM453"/>
      <c r="GN453"/>
      <c r="GO453"/>
      <c r="GP453"/>
      <c r="GQ453"/>
      <c r="GR453"/>
      <c r="GS453"/>
      <c r="GT453"/>
      <c r="GU453"/>
      <c r="GV453"/>
      <c r="GW453"/>
      <c r="GX453"/>
      <c r="GY453"/>
      <c r="GZ453"/>
      <c r="HA453"/>
      <c r="HB453"/>
      <c r="HC453"/>
      <c r="HD453"/>
      <c r="HE453"/>
      <c r="HF453"/>
      <c r="HG453"/>
      <c r="HH453"/>
      <c r="HI453"/>
      <c r="HJ453"/>
      <c r="HK453"/>
      <c r="HL453"/>
      <c r="HM453"/>
      <c r="HN453"/>
      <c r="HO453"/>
      <c r="HP453"/>
      <c r="HQ453"/>
      <c r="HR453"/>
      <c r="HS453"/>
      <c r="HT453"/>
      <c r="HU453"/>
      <c r="HV453"/>
      <c r="HW453"/>
      <c r="HX453"/>
      <c r="HY453"/>
      <c r="HZ453"/>
      <c r="IA453"/>
      <c r="IB453"/>
      <c r="IC453"/>
      <c r="ID453"/>
      <c r="IE453"/>
      <c r="IF453"/>
      <c r="IG453"/>
      <c r="IH453"/>
      <c r="II453"/>
      <c r="IJ453"/>
      <c r="IK453"/>
      <c r="IL453"/>
      <c r="IM453"/>
      <c r="IN453"/>
      <c r="IO453"/>
      <c r="IP453"/>
      <c r="IQ453"/>
      <c r="IR453"/>
      <c r="IS453"/>
      <c r="IT453"/>
      <c r="IU453"/>
      <c r="IV453"/>
      <c r="IW453"/>
      <c r="IX453"/>
      <c r="IY453"/>
      <c r="IZ453"/>
      <c r="JA453"/>
      <c r="JB453"/>
      <c r="JC453"/>
      <c r="JD453"/>
      <c r="JE453"/>
      <c r="JF453"/>
      <c r="JG453"/>
      <c r="JH453"/>
      <c r="JI453"/>
      <c r="JJ453"/>
      <c r="JK453"/>
      <c r="JL453"/>
      <c r="JM453"/>
      <c r="JN453"/>
      <c r="JO453"/>
      <c r="JP453"/>
      <c r="JQ453"/>
      <c r="JR453"/>
      <c r="JS453"/>
      <c r="JT453"/>
      <c r="JU453"/>
      <c r="JV453"/>
      <c r="JW453"/>
      <c r="JX453"/>
      <c r="JY453"/>
      <c r="JZ453"/>
      <c r="KA453"/>
      <c r="KB453"/>
      <c r="KC453"/>
      <c r="KD453"/>
      <c r="KE453"/>
      <c r="KF453"/>
      <c r="KG453"/>
      <c r="KH453"/>
      <c r="KI453"/>
      <c r="KJ453"/>
      <c r="KK453"/>
      <c r="KL453"/>
      <c r="KM453"/>
      <c r="KN453"/>
      <c r="KO453"/>
      <c r="KP453"/>
      <c r="KQ453"/>
      <c r="KR453"/>
      <c r="KS453"/>
    </row>
    <row r="454" spans="2:305" hidden="1" x14ac:dyDescent="0.35">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c r="AR454"/>
      <c r="AS454"/>
      <c r="AT454"/>
      <c r="AU454"/>
      <c r="AV454"/>
      <c r="AW454"/>
      <c r="AX454"/>
      <c r="AY454"/>
      <c r="AZ454"/>
      <c r="BA454"/>
      <c r="BB454"/>
      <c r="BC454"/>
      <c r="BD454"/>
      <c r="BE454"/>
      <c r="BF454"/>
      <c r="BG454"/>
      <c r="BH454"/>
      <c r="BI454"/>
      <c r="BJ454"/>
      <c r="BK454"/>
      <c r="BL454"/>
      <c r="BM454"/>
      <c r="BN454"/>
      <c r="BO454"/>
      <c r="BP454"/>
      <c r="BQ454"/>
      <c r="BR454"/>
      <c r="BS454"/>
      <c r="BT454"/>
      <c r="BU454"/>
      <c r="BV454"/>
      <c r="BW454"/>
      <c r="BX454"/>
      <c r="BY454"/>
      <c r="BZ454"/>
      <c r="CA454"/>
      <c r="CB454"/>
      <c r="CC454"/>
      <c r="CD454"/>
      <c r="CE454"/>
      <c r="CF454"/>
      <c r="CG454"/>
      <c r="CH454"/>
      <c r="CI454"/>
      <c r="CJ454"/>
      <c r="CK454"/>
      <c r="CL454"/>
      <c r="CM454"/>
      <c r="CN454"/>
      <c r="CO454"/>
      <c r="CP454"/>
      <c r="CQ454"/>
      <c r="CR454"/>
      <c r="CS454"/>
      <c r="CT454"/>
      <c r="CU454"/>
      <c r="CV454"/>
      <c r="CW454"/>
      <c r="CX454"/>
      <c r="CY454"/>
      <c r="CZ454"/>
      <c r="DA454"/>
      <c r="DB454"/>
      <c r="DC454"/>
      <c r="DD454"/>
      <c r="DE454"/>
      <c r="DF454"/>
      <c r="DG454"/>
      <c r="DH454"/>
      <c r="DI454"/>
      <c r="DJ454"/>
      <c r="DK454"/>
      <c r="DL454"/>
      <c r="DM454"/>
      <c r="DN454"/>
      <c r="DO454"/>
      <c r="DP454"/>
      <c r="DQ454"/>
      <c r="DR454"/>
      <c r="DS454"/>
      <c r="DT454"/>
      <c r="DU454"/>
      <c r="DV454"/>
      <c r="DW454"/>
      <c r="DX454"/>
      <c r="DY454"/>
      <c r="DZ454"/>
      <c r="EA454"/>
      <c r="EB454"/>
      <c r="EC454"/>
      <c r="ED454"/>
      <c r="EE454"/>
      <c r="EF454"/>
      <c r="EG454"/>
      <c r="EH454"/>
      <c r="EI454"/>
      <c r="EJ454"/>
      <c r="EK454"/>
      <c r="EL454"/>
      <c r="EM454"/>
      <c r="EN454"/>
      <c r="EO454"/>
      <c r="EP454"/>
      <c r="EQ454"/>
      <c r="ER454"/>
      <c r="ES454"/>
      <c r="ET454"/>
      <c r="EU454"/>
      <c r="EV454"/>
      <c r="EW454"/>
      <c r="EX454"/>
      <c r="EY454"/>
      <c r="EZ454"/>
      <c r="FA454"/>
      <c r="FB454"/>
      <c r="FC454"/>
      <c r="FD454"/>
      <c r="FE454"/>
      <c r="FF454"/>
      <c r="FG454"/>
      <c r="FH454"/>
      <c r="FI454"/>
      <c r="FJ454"/>
      <c r="FK454"/>
      <c r="FL454"/>
      <c r="FM454"/>
      <c r="FN454"/>
      <c r="FO454"/>
      <c r="FP454"/>
      <c r="FQ454"/>
      <c r="FR454"/>
      <c r="FS454"/>
      <c r="FT454"/>
      <c r="FU454"/>
      <c r="FV454"/>
      <c r="FW454"/>
      <c r="FX454"/>
      <c r="FY454"/>
      <c r="FZ454"/>
      <c r="GA454"/>
      <c r="GB454"/>
      <c r="GC454"/>
      <c r="GD454"/>
      <c r="GE454"/>
      <c r="GF454"/>
      <c r="GG454"/>
      <c r="GH454"/>
      <c r="GI454"/>
      <c r="GJ454"/>
      <c r="GK454"/>
      <c r="GL454"/>
      <c r="GM454"/>
      <c r="GN454"/>
      <c r="GO454"/>
      <c r="GP454"/>
      <c r="GQ454"/>
      <c r="GR454"/>
      <c r="GS454"/>
      <c r="GT454"/>
      <c r="GU454"/>
      <c r="GV454"/>
      <c r="GW454"/>
      <c r="GX454"/>
      <c r="GY454"/>
      <c r="GZ454"/>
      <c r="HA454"/>
      <c r="HB454"/>
      <c r="HC454"/>
      <c r="HD454"/>
      <c r="HE454"/>
      <c r="HF454"/>
      <c r="HG454"/>
      <c r="HH454"/>
      <c r="HI454"/>
      <c r="HJ454"/>
      <c r="HK454"/>
      <c r="HL454"/>
      <c r="HM454"/>
      <c r="HN454"/>
      <c r="HO454"/>
      <c r="HP454"/>
      <c r="HQ454"/>
      <c r="HR454"/>
      <c r="HS454"/>
      <c r="HT454"/>
      <c r="HU454"/>
      <c r="HV454"/>
      <c r="HW454"/>
      <c r="HX454"/>
      <c r="HY454"/>
      <c r="HZ454"/>
      <c r="IA454"/>
      <c r="IB454"/>
      <c r="IC454"/>
      <c r="ID454"/>
      <c r="IE454"/>
      <c r="IF454"/>
      <c r="IG454"/>
      <c r="IH454"/>
      <c r="II454"/>
      <c r="IJ454"/>
      <c r="IK454"/>
      <c r="IL454"/>
      <c r="IM454"/>
      <c r="IN454"/>
      <c r="IO454"/>
      <c r="IP454"/>
      <c r="IQ454"/>
      <c r="IR454"/>
      <c r="IS454"/>
      <c r="IT454"/>
      <c r="IU454"/>
      <c r="IV454"/>
      <c r="IW454"/>
      <c r="IX454"/>
      <c r="IY454"/>
      <c r="IZ454"/>
      <c r="JA454"/>
      <c r="JB454"/>
      <c r="JC454"/>
      <c r="JD454"/>
      <c r="JE454"/>
      <c r="JF454"/>
      <c r="JG454"/>
      <c r="JH454"/>
      <c r="JI454"/>
      <c r="JJ454"/>
      <c r="JK454"/>
      <c r="JL454"/>
      <c r="JM454"/>
      <c r="JN454"/>
      <c r="JO454"/>
      <c r="JP454"/>
      <c r="JQ454"/>
      <c r="JR454"/>
      <c r="JS454"/>
      <c r="JT454"/>
      <c r="JU454"/>
      <c r="JV454"/>
      <c r="JW454"/>
      <c r="JX454"/>
      <c r="JY454"/>
      <c r="JZ454"/>
      <c r="KA454"/>
      <c r="KB454"/>
      <c r="KC454"/>
      <c r="KD454"/>
      <c r="KE454"/>
      <c r="KF454"/>
      <c r="KG454"/>
      <c r="KH454"/>
      <c r="KI454"/>
      <c r="KJ454"/>
      <c r="KK454"/>
      <c r="KL454"/>
      <c r="KM454"/>
      <c r="KN454"/>
      <c r="KO454"/>
      <c r="KP454"/>
      <c r="KQ454"/>
      <c r="KR454"/>
      <c r="KS454"/>
    </row>
    <row r="455" spans="2:305" hidden="1" x14ac:dyDescent="0.3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c r="AR455"/>
      <c r="AS455"/>
      <c r="AT455"/>
      <c r="AU455"/>
      <c r="AV455"/>
      <c r="AW455"/>
      <c r="AX455"/>
      <c r="AY455"/>
      <c r="AZ455"/>
      <c r="BA455"/>
      <c r="BB455"/>
      <c r="BC455"/>
      <c r="BD455"/>
      <c r="BE455"/>
      <c r="BF455"/>
      <c r="BG455"/>
      <c r="BH455"/>
      <c r="BI455"/>
      <c r="BJ455"/>
      <c r="BK455"/>
      <c r="BL455"/>
      <c r="BM455"/>
      <c r="BN455"/>
      <c r="BO455"/>
      <c r="BP455"/>
      <c r="BQ455"/>
      <c r="BR455"/>
      <c r="BS455"/>
      <c r="BT455"/>
      <c r="BU455"/>
      <c r="BV455"/>
      <c r="BW455"/>
      <c r="BX455"/>
      <c r="BY455"/>
      <c r="BZ455"/>
      <c r="CA455"/>
      <c r="CB455"/>
      <c r="CC455"/>
      <c r="CD455"/>
      <c r="CE455"/>
      <c r="CF455"/>
      <c r="CG455"/>
      <c r="CH455"/>
      <c r="CI455"/>
      <c r="CJ455"/>
      <c r="CK455"/>
      <c r="CL455"/>
      <c r="CM455"/>
      <c r="CN455"/>
      <c r="CO455"/>
      <c r="CP455"/>
      <c r="CQ455"/>
      <c r="CR455"/>
      <c r="CS455"/>
      <c r="CT455"/>
      <c r="CU455"/>
      <c r="CV455"/>
      <c r="CW455"/>
      <c r="CX455"/>
      <c r="CY455"/>
      <c r="CZ455"/>
      <c r="DA455"/>
      <c r="DB455"/>
      <c r="DC455"/>
      <c r="DD455"/>
      <c r="DE455"/>
      <c r="DF455"/>
      <c r="DG455"/>
      <c r="DH455"/>
      <c r="DI455"/>
      <c r="DJ455"/>
      <c r="DK455"/>
      <c r="DL455"/>
      <c r="DM455"/>
      <c r="DN455"/>
      <c r="DO455"/>
      <c r="DP455"/>
      <c r="DQ455"/>
      <c r="DR455"/>
      <c r="DS455"/>
      <c r="DT455"/>
      <c r="DU455"/>
      <c r="DV455"/>
      <c r="DW455"/>
      <c r="DX455"/>
      <c r="DY455"/>
      <c r="DZ455"/>
      <c r="EA455"/>
      <c r="EB455"/>
      <c r="EC455"/>
      <c r="ED455"/>
      <c r="EE455"/>
      <c r="EF455"/>
      <c r="EG455"/>
      <c r="EH455"/>
      <c r="EI455"/>
      <c r="EJ455"/>
      <c r="EK455"/>
      <c r="EL455"/>
      <c r="EM455"/>
      <c r="EN455"/>
      <c r="EO455"/>
      <c r="EP455"/>
      <c r="EQ455"/>
      <c r="ER455"/>
      <c r="ES455"/>
      <c r="ET455"/>
      <c r="EU455"/>
      <c r="EV455"/>
      <c r="EW455"/>
      <c r="EX455"/>
      <c r="EY455"/>
      <c r="EZ455"/>
      <c r="FA455"/>
      <c r="FB455"/>
      <c r="FC455"/>
      <c r="FD455"/>
      <c r="FE455"/>
      <c r="FF455"/>
      <c r="FG455"/>
      <c r="FH455"/>
      <c r="FI455"/>
      <c r="FJ455"/>
      <c r="FK455"/>
      <c r="FL455"/>
      <c r="FM455"/>
      <c r="FN455"/>
      <c r="FO455"/>
      <c r="FP455"/>
      <c r="FQ455"/>
      <c r="FR455"/>
      <c r="FS455"/>
      <c r="FT455"/>
      <c r="FU455"/>
      <c r="FV455"/>
      <c r="FW455"/>
      <c r="FX455"/>
      <c r="FY455"/>
      <c r="FZ455"/>
      <c r="GA455"/>
      <c r="GB455"/>
      <c r="GC455"/>
      <c r="GD455"/>
      <c r="GE455"/>
      <c r="GF455"/>
      <c r="GG455"/>
      <c r="GH455"/>
      <c r="GI455"/>
      <c r="GJ455"/>
      <c r="GK455"/>
      <c r="GL455"/>
      <c r="GM455"/>
      <c r="GN455"/>
      <c r="GO455"/>
      <c r="GP455"/>
      <c r="GQ455"/>
      <c r="GR455"/>
      <c r="GS455"/>
      <c r="GT455"/>
      <c r="GU455"/>
      <c r="GV455"/>
      <c r="GW455"/>
      <c r="GX455"/>
      <c r="GY455"/>
      <c r="GZ455"/>
      <c r="HA455"/>
      <c r="HB455"/>
      <c r="HC455"/>
      <c r="HD455"/>
      <c r="HE455"/>
      <c r="HF455"/>
      <c r="HG455"/>
      <c r="HH455"/>
      <c r="HI455"/>
      <c r="HJ455"/>
      <c r="HK455"/>
      <c r="HL455"/>
      <c r="HM455"/>
      <c r="HN455"/>
      <c r="HO455"/>
      <c r="HP455"/>
      <c r="HQ455"/>
      <c r="HR455"/>
      <c r="HS455"/>
      <c r="HT455"/>
      <c r="HU455"/>
      <c r="HV455"/>
      <c r="HW455"/>
      <c r="HX455"/>
      <c r="HY455"/>
      <c r="HZ455"/>
      <c r="IA455"/>
      <c r="IB455"/>
      <c r="IC455"/>
      <c r="ID455"/>
      <c r="IE455"/>
      <c r="IF455"/>
      <c r="IG455"/>
      <c r="IH455"/>
      <c r="II455"/>
      <c r="IJ455"/>
      <c r="IK455"/>
      <c r="IL455"/>
      <c r="IM455"/>
      <c r="IN455"/>
      <c r="IO455"/>
      <c r="IP455"/>
      <c r="IQ455"/>
      <c r="IR455"/>
      <c r="IS455"/>
      <c r="IT455"/>
      <c r="IU455"/>
      <c r="IV455"/>
      <c r="IW455"/>
      <c r="IX455"/>
      <c r="IY455"/>
      <c r="IZ455"/>
      <c r="JA455"/>
      <c r="JB455"/>
      <c r="JC455"/>
      <c r="JD455"/>
      <c r="JE455"/>
      <c r="JF455"/>
      <c r="JG455"/>
      <c r="JH455"/>
      <c r="JI455"/>
      <c r="JJ455"/>
      <c r="JK455"/>
      <c r="JL455"/>
      <c r="JM455"/>
      <c r="JN455"/>
      <c r="JO455"/>
      <c r="JP455"/>
      <c r="JQ455"/>
      <c r="JR455"/>
      <c r="JS455"/>
      <c r="JT455"/>
      <c r="JU455"/>
      <c r="JV455"/>
      <c r="JW455"/>
      <c r="JX455"/>
      <c r="JY455"/>
      <c r="JZ455"/>
      <c r="KA455"/>
      <c r="KB455"/>
      <c r="KC455"/>
      <c r="KD455"/>
      <c r="KE455"/>
      <c r="KF455"/>
      <c r="KG455"/>
      <c r="KH455"/>
      <c r="KI455"/>
      <c r="KJ455"/>
      <c r="KK455"/>
      <c r="KL455"/>
      <c r="KM455"/>
      <c r="KN455"/>
      <c r="KO455"/>
      <c r="KP455"/>
      <c r="KQ455"/>
      <c r="KR455"/>
      <c r="KS455"/>
    </row>
    <row r="456" spans="2:305" hidden="1" x14ac:dyDescent="0.35">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c r="AL456"/>
      <c r="AM456"/>
      <c r="AN456"/>
      <c r="AO456"/>
      <c r="AP456"/>
      <c r="AQ456"/>
      <c r="AR456"/>
      <c r="AS456"/>
      <c r="AT456"/>
      <c r="AU456"/>
      <c r="AV456"/>
      <c r="AW456"/>
      <c r="AX456"/>
      <c r="AY456"/>
      <c r="AZ456"/>
      <c r="BA456"/>
      <c r="BB456"/>
      <c r="BC456"/>
      <c r="BD456"/>
      <c r="BE456"/>
      <c r="BF456"/>
      <c r="BG456"/>
      <c r="BH456"/>
      <c r="BI456"/>
      <c r="BJ456"/>
      <c r="BK456"/>
      <c r="BL456"/>
      <c r="BM456"/>
      <c r="BN456"/>
      <c r="BO456"/>
      <c r="BP456"/>
      <c r="BQ456"/>
      <c r="BR456"/>
      <c r="BS456"/>
      <c r="BT456"/>
      <c r="BU456"/>
      <c r="BV456"/>
      <c r="BW456"/>
      <c r="BX456"/>
      <c r="BY456"/>
      <c r="BZ456"/>
      <c r="CA456"/>
      <c r="CB456"/>
      <c r="CC456"/>
      <c r="CD456"/>
      <c r="CE456"/>
      <c r="CF456"/>
      <c r="CG456"/>
      <c r="CH456"/>
      <c r="CI456"/>
      <c r="CJ456"/>
      <c r="CK456"/>
      <c r="CL456"/>
      <c r="CM456"/>
      <c r="CN456"/>
      <c r="CO456"/>
      <c r="CP456"/>
      <c r="CQ456"/>
      <c r="CR456"/>
      <c r="CS456"/>
      <c r="CT456"/>
      <c r="CU456"/>
      <c r="CV456"/>
      <c r="CW456"/>
      <c r="CX456"/>
      <c r="CY456"/>
      <c r="CZ456"/>
      <c r="DA456"/>
      <c r="DB456"/>
      <c r="DC456"/>
      <c r="DD456"/>
      <c r="DE456"/>
      <c r="DF456"/>
      <c r="DG456"/>
      <c r="DH456"/>
      <c r="DI456"/>
      <c r="DJ456"/>
      <c r="DK456"/>
      <c r="DL456"/>
      <c r="DM456"/>
      <c r="DN456"/>
      <c r="DO456"/>
      <c r="DP456"/>
      <c r="DQ456"/>
      <c r="DR456"/>
      <c r="DS456"/>
      <c r="DT456"/>
      <c r="DU456"/>
      <c r="DV456"/>
      <c r="DW456"/>
      <c r="DX456"/>
      <c r="DY456"/>
      <c r="DZ456"/>
      <c r="EA456"/>
      <c r="EB456"/>
      <c r="EC456"/>
      <c r="ED456"/>
      <c r="EE456"/>
      <c r="EF456"/>
      <c r="EG456"/>
      <c r="EH456"/>
      <c r="EI456"/>
      <c r="EJ456"/>
      <c r="EK456"/>
      <c r="EL456"/>
      <c r="EM456"/>
      <c r="EN456"/>
      <c r="EO456"/>
      <c r="EP456"/>
      <c r="EQ456"/>
      <c r="ER456"/>
      <c r="ES456"/>
      <c r="ET456"/>
      <c r="EU456"/>
      <c r="EV456"/>
      <c r="EW456"/>
      <c r="EX456"/>
      <c r="EY456"/>
      <c r="EZ456"/>
      <c r="FA456"/>
      <c r="FB456"/>
      <c r="FC456"/>
      <c r="FD456"/>
      <c r="FE456"/>
      <c r="FF456"/>
      <c r="FG456"/>
      <c r="FH456"/>
      <c r="FI456"/>
      <c r="FJ456"/>
      <c r="FK456"/>
      <c r="FL456"/>
      <c r="FM456"/>
      <c r="FN456"/>
      <c r="FO456"/>
      <c r="FP456"/>
      <c r="FQ456"/>
      <c r="FR456"/>
      <c r="FS456"/>
      <c r="FT456"/>
      <c r="FU456"/>
      <c r="FV456"/>
      <c r="FW456"/>
      <c r="FX456"/>
      <c r="FY456"/>
      <c r="FZ456"/>
      <c r="GA456"/>
      <c r="GB456"/>
      <c r="GC456"/>
      <c r="GD456"/>
      <c r="GE456"/>
      <c r="GF456"/>
      <c r="GG456"/>
      <c r="GH456"/>
      <c r="GI456"/>
      <c r="GJ456"/>
      <c r="GK456"/>
      <c r="GL456"/>
      <c r="GM456"/>
      <c r="GN456"/>
      <c r="GO456"/>
      <c r="GP456"/>
      <c r="GQ456"/>
      <c r="GR456"/>
      <c r="GS456"/>
      <c r="GT456"/>
      <c r="GU456"/>
      <c r="GV456"/>
      <c r="GW456"/>
      <c r="GX456"/>
      <c r="GY456"/>
      <c r="GZ456"/>
      <c r="HA456"/>
      <c r="HB456"/>
      <c r="HC456"/>
      <c r="HD456"/>
      <c r="HE456"/>
      <c r="HF456"/>
      <c r="HG456"/>
      <c r="HH456"/>
      <c r="HI456"/>
      <c r="HJ456"/>
      <c r="HK456"/>
      <c r="HL456"/>
      <c r="HM456"/>
      <c r="HN456"/>
      <c r="HO456"/>
      <c r="HP456"/>
      <c r="HQ456"/>
      <c r="HR456"/>
      <c r="HS456"/>
      <c r="HT456"/>
      <c r="HU456"/>
      <c r="HV456"/>
      <c r="HW456"/>
      <c r="HX456"/>
      <c r="HY456"/>
      <c r="HZ456"/>
      <c r="IA456"/>
      <c r="IB456"/>
      <c r="IC456"/>
      <c r="ID456"/>
      <c r="IE456"/>
      <c r="IF456"/>
      <c r="IG456"/>
      <c r="IH456"/>
      <c r="II456"/>
      <c r="IJ456"/>
      <c r="IK456"/>
      <c r="IL456"/>
      <c r="IM456"/>
      <c r="IN456"/>
      <c r="IO456"/>
      <c r="IP456"/>
      <c r="IQ456"/>
      <c r="IR456"/>
      <c r="IS456"/>
      <c r="IT456"/>
      <c r="IU456"/>
      <c r="IV456"/>
      <c r="IW456"/>
      <c r="IX456"/>
      <c r="IY456"/>
      <c r="IZ456"/>
      <c r="JA456"/>
      <c r="JB456"/>
      <c r="JC456"/>
      <c r="JD456"/>
      <c r="JE456"/>
      <c r="JF456"/>
      <c r="JG456"/>
      <c r="JH456"/>
      <c r="JI456"/>
      <c r="JJ456"/>
      <c r="JK456"/>
      <c r="JL456"/>
      <c r="JM456"/>
      <c r="JN456"/>
      <c r="JO456"/>
      <c r="JP456"/>
      <c r="JQ456"/>
      <c r="JR456"/>
      <c r="JS456"/>
      <c r="JT456"/>
      <c r="JU456"/>
      <c r="JV456"/>
      <c r="JW456"/>
      <c r="JX456"/>
      <c r="JY456"/>
      <c r="JZ456"/>
      <c r="KA456"/>
      <c r="KB456"/>
      <c r="KC456"/>
      <c r="KD456"/>
      <c r="KE456"/>
      <c r="KF456"/>
      <c r="KG456"/>
      <c r="KH456"/>
      <c r="KI456"/>
      <c r="KJ456"/>
      <c r="KK456"/>
      <c r="KL456"/>
      <c r="KM456"/>
      <c r="KN456"/>
      <c r="KO456"/>
      <c r="KP456"/>
      <c r="KQ456"/>
      <c r="KR456"/>
      <c r="KS456"/>
    </row>
    <row r="457" spans="2:305" hidden="1" x14ac:dyDescent="0.35">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c r="AL457"/>
      <c r="AM457"/>
      <c r="AN457"/>
      <c r="AO457"/>
      <c r="AP457"/>
      <c r="AQ457"/>
      <c r="AR457"/>
      <c r="AS457"/>
      <c r="AT457"/>
      <c r="AU457"/>
      <c r="AV457"/>
      <c r="AW457"/>
      <c r="AX457"/>
      <c r="AY457"/>
      <c r="AZ457"/>
      <c r="BA457"/>
      <c r="BB457"/>
      <c r="BC457"/>
      <c r="BD457"/>
      <c r="BE457"/>
      <c r="BF457"/>
      <c r="BG457"/>
      <c r="BH457"/>
      <c r="BI457"/>
      <c r="BJ457"/>
      <c r="BK457"/>
      <c r="BL457"/>
      <c r="BM457"/>
      <c r="BN457"/>
      <c r="BO457"/>
      <c r="BP457"/>
      <c r="BQ457"/>
      <c r="BR457"/>
      <c r="BS457"/>
      <c r="BT457"/>
      <c r="BU457"/>
      <c r="BV457"/>
      <c r="BW457"/>
      <c r="BX457"/>
      <c r="BY457"/>
      <c r="BZ457"/>
      <c r="CA457"/>
      <c r="CB457"/>
      <c r="CC457"/>
      <c r="CD457"/>
      <c r="CE457"/>
      <c r="CF457"/>
      <c r="CG457"/>
      <c r="CH457"/>
      <c r="CI457"/>
      <c r="CJ457"/>
      <c r="CK457"/>
      <c r="CL457"/>
      <c r="CM457"/>
      <c r="CN457"/>
      <c r="CO457"/>
      <c r="CP457"/>
      <c r="CQ457"/>
      <c r="CR457"/>
      <c r="CS457"/>
      <c r="CT457"/>
      <c r="CU457"/>
      <c r="CV457"/>
      <c r="CW457"/>
      <c r="CX457"/>
      <c r="CY457"/>
      <c r="CZ457"/>
      <c r="DA457"/>
      <c r="DB457"/>
      <c r="DC457"/>
      <c r="DD457"/>
      <c r="DE457"/>
      <c r="DF457"/>
      <c r="DG457"/>
      <c r="DH457"/>
      <c r="DI457"/>
      <c r="DJ457"/>
      <c r="DK457"/>
      <c r="DL457"/>
      <c r="DM457"/>
      <c r="DN457"/>
      <c r="DO457"/>
      <c r="DP457"/>
      <c r="DQ457"/>
      <c r="DR457"/>
      <c r="DS457"/>
      <c r="DT457"/>
      <c r="DU457"/>
      <c r="DV457"/>
      <c r="DW457"/>
      <c r="DX457"/>
      <c r="DY457"/>
      <c r="DZ457"/>
      <c r="EA457"/>
      <c r="EB457"/>
      <c r="EC457"/>
      <c r="ED457"/>
      <c r="EE457"/>
      <c r="EF457"/>
      <c r="EG457"/>
      <c r="EH457"/>
      <c r="EI457"/>
      <c r="EJ457"/>
      <c r="EK457"/>
      <c r="EL457"/>
      <c r="EM457"/>
      <c r="EN457"/>
      <c r="EO457"/>
      <c r="EP457"/>
      <c r="EQ457"/>
      <c r="ER457"/>
      <c r="ES457"/>
      <c r="ET457"/>
      <c r="EU457"/>
      <c r="EV457"/>
      <c r="EW457"/>
      <c r="EX457"/>
      <c r="EY457"/>
      <c r="EZ457"/>
      <c r="FA457"/>
      <c r="FB457"/>
      <c r="FC457"/>
      <c r="FD457"/>
      <c r="FE457"/>
      <c r="FF457"/>
      <c r="FG457"/>
      <c r="FH457"/>
      <c r="FI457"/>
      <c r="FJ457"/>
      <c r="FK457"/>
      <c r="FL457"/>
      <c r="FM457"/>
      <c r="FN457"/>
      <c r="FO457"/>
      <c r="FP457"/>
      <c r="FQ457"/>
      <c r="FR457"/>
      <c r="FS457"/>
      <c r="FT457"/>
      <c r="FU457"/>
      <c r="FV457"/>
      <c r="FW457"/>
      <c r="FX457"/>
      <c r="FY457"/>
      <c r="FZ457"/>
      <c r="GA457"/>
      <c r="GB457"/>
      <c r="GC457"/>
      <c r="GD457"/>
      <c r="GE457"/>
      <c r="GF457"/>
      <c r="GG457"/>
      <c r="GH457"/>
      <c r="GI457"/>
      <c r="GJ457"/>
      <c r="GK457"/>
      <c r="GL457"/>
      <c r="GM457"/>
      <c r="GN457"/>
      <c r="GO457"/>
      <c r="GP457"/>
      <c r="GQ457"/>
      <c r="GR457"/>
      <c r="GS457"/>
      <c r="GT457"/>
      <c r="GU457"/>
      <c r="GV457"/>
      <c r="GW457"/>
      <c r="GX457"/>
      <c r="GY457"/>
      <c r="GZ457"/>
      <c r="HA457"/>
      <c r="HB457"/>
      <c r="HC457"/>
      <c r="HD457"/>
      <c r="HE457"/>
      <c r="HF457"/>
      <c r="HG457"/>
      <c r="HH457"/>
      <c r="HI457"/>
      <c r="HJ457"/>
      <c r="HK457"/>
      <c r="HL457"/>
      <c r="HM457"/>
      <c r="HN457"/>
      <c r="HO457"/>
      <c r="HP457"/>
      <c r="HQ457"/>
      <c r="HR457"/>
      <c r="HS457"/>
      <c r="HT457"/>
      <c r="HU457"/>
      <c r="HV457"/>
      <c r="HW457"/>
      <c r="HX457"/>
      <c r="HY457"/>
      <c r="HZ457"/>
      <c r="IA457"/>
      <c r="IB457"/>
      <c r="IC457"/>
      <c r="ID457"/>
      <c r="IE457"/>
      <c r="IF457"/>
      <c r="IG457"/>
      <c r="IH457"/>
      <c r="II457"/>
      <c r="IJ457"/>
      <c r="IK457"/>
      <c r="IL457"/>
      <c r="IM457"/>
      <c r="IN457"/>
      <c r="IO457"/>
      <c r="IP457"/>
      <c r="IQ457"/>
      <c r="IR457"/>
      <c r="IS457"/>
      <c r="IT457"/>
      <c r="IU457"/>
      <c r="IV457"/>
      <c r="IW457"/>
      <c r="IX457"/>
      <c r="IY457"/>
      <c r="IZ457"/>
      <c r="JA457"/>
      <c r="JB457"/>
      <c r="JC457"/>
      <c r="JD457"/>
      <c r="JE457"/>
      <c r="JF457"/>
      <c r="JG457"/>
      <c r="JH457"/>
      <c r="JI457"/>
      <c r="JJ457"/>
      <c r="JK457"/>
      <c r="JL457"/>
      <c r="JM457"/>
      <c r="JN457"/>
      <c r="JO457"/>
      <c r="JP457"/>
      <c r="JQ457"/>
      <c r="JR457"/>
      <c r="JS457"/>
      <c r="JT457"/>
      <c r="JU457"/>
      <c r="JV457"/>
      <c r="JW457"/>
      <c r="JX457"/>
      <c r="JY457"/>
      <c r="JZ457"/>
      <c r="KA457"/>
      <c r="KB457"/>
      <c r="KC457"/>
      <c r="KD457"/>
      <c r="KE457"/>
      <c r="KF457"/>
      <c r="KG457"/>
      <c r="KH457"/>
      <c r="KI457"/>
      <c r="KJ457"/>
      <c r="KK457"/>
      <c r="KL457"/>
      <c r="KM457"/>
      <c r="KN457"/>
      <c r="KO457"/>
      <c r="KP457"/>
      <c r="KQ457"/>
      <c r="KR457"/>
      <c r="KS457"/>
    </row>
    <row r="458" spans="2:305" hidden="1" x14ac:dyDescent="0.35">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c r="AL458"/>
      <c r="AM458"/>
      <c r="AN458"/>
      <c r="AO458"/>
      <c r="AP458"/>
      <c r="AQ458"/>
      <c r="AR458"/>
      <c r="AS458"/>
      <c r="AT458"/>
      <c r="AU458"/>
      <c r="AV458"/>
      <c r="AW458"/>
      <c r="AX458"/>
      <c r="AY458"/>
      <c r="AZ458"/>
      <c r="BA458"/>
      <c r="BB458"/>
      <c r="BC458"/>
      <c r="BD458"/>
      <c r="BE458"/>
      <c r="BF458"/>
      <c r="BG458"/>
      <c r="BH458"/>
      <c r="BI458"/>
      <c r="BJ458"/>
      <c r="BK458"/>
      <c r="BL458"/>
      <c r="BM458"/>
      <c r="BN458"/>
      <c r="BO458"/>
      <c r="BP458"/>
      <c r="BQ458"/>
      <c r="BR458"/>
      <c r="BS458"/>
      <c r="BT458"/>
      <c r="BU458"/>
      <c r="BV458"/>
      <c r="BW458"/>
      <c r="BX458"/>
      <c r="BY458"/>
      <c r="BZ458"/>
      <c r="CA458"/>
      <c r="CB458"/>
      <c r="CC458"/>
      <c r="CD458"/>
      <c r="CE458"/>
      <c r="CF458"/>
      <c r="CG458"/>
      <c r="CH458"/>
      <c r="CI458"/>
      <c r="CJ458"/>
      <c r="CK458"/>
      <c r="CL458"/>
      <c r="CM458"/>
      <c r="CN458"/>
      <c r="CO458"/>
      <c r="CP458"/>
      <c r="CQ458"/>
      <c r="CR458"/>
      <c r="CS458"/>
      <c r="CT458"/>
      <c r="CU458"/>
      <c r="CV458"/>
      <c r="CW458"/>
      <c r="CX458"/>
      <c r="CY458"/>
      <c r="CZ458"/>
      <c r="DA458"/>
      <c r="DB458"/>
      <c r="DC458"/>
      <c r="DD458"/>
      <c r="DE458"/>
      <c r="DF458"/>
      <c r="DG458"/>
      <c r="DH458"/>
      <c r="DI458"/>
      <c r="DJ458"/>
      <c r="DK458"/>
      <c r="DL458"/>
      <c r="DM458"/>
      <c r="DN458"/>
      <c r="DO458"/>
      <c r="DP458"/>
      <c r="DQ458"/>
      <c r="DR458"/>
      <c r="DS458"/>
      <c r="DT458"/>
      <c r="DU458"/>
      <c r="DV458"/>
      <c r="DW458"/>
      <c r="DX458"/>
      <c r="DY458"/>
      <c r="DZ458"/>
      <c r="EA458"/>
      <c r="EB458"/>
      <c r="EC458"/>
      <c r="ED458"/>
      <c r="EE458"/>
      <c r="EF458"/>
      <c r="EG458"/>
      <c r="EH458"/>
      <c r="EI458"/>
      <c r="EJ458"/>
      <c r="EK458"/>
      <c r="EL458"/>
      <c r="EM458"/>
      <c r="EN458"/>
      <c r="EO458"/>
      <c r="EP458"/>
      <c r="EQ458"/>
      <c r="ER458"/>
      <c r="ES458"/>
      <c r="ET458"/>
      <c r="EU458"/>
      <c r="EV458"/>
      <c r="EW458"/>
      <c r="EX458"/>
      <c r="EY458"/>
      <c r="EZ458"/>
      <c r="FA458"/>
      <c r="FB458"/>
      <c r="FC458"/>
      <c r="FD458"/>
      <c r="FE458"/>
      <c r="FF458"/>
      <c r="FG458"/>
      <c r="FH458"/>
      <c r="FI458"/>
      <c r="FJ458"/>
      <c r="FK458"/>
      <c r="FL458"/>
      <c r="FM458"/>
      <c r="FN458"/>
      <c r="FO458"/>
      <c r="FP458"/>
      <c r="FQ458"/>
      <c r="FR458"/>
      <c r="FS458"/>
      <c r="FT458"/>
      <c r="FU458"/>
      <c r="FV458"/>
      <c r="FW458"/>
      <c r="FX458"/>
      <c r="FY458"/>
      <c r="FZ458"/>
      <c r="GA458"/>
      <c r="GB458"/>
      <c r="GC458"/>
      <c r="GD458"/>
      <c r="GE458"/>
      <c r="GF458"/>
      <c r="GG458"/>
      <c r="GH458"/>
      <c r="GI458"/>
      <c r="GJ458"/>
      <c r="GK458"/>
      <c r="GL458"/>
      <c r="GM458"/>
      <c r="GN458"/>
      <c r="GO458"/>
      <c r="GP458"/>
      <c r="GQ458"/>
      <c r="GR458"/>
      <c r="GS458"/>
      <c r="GT458"/>
      <c r="GU458"/>
      <c r="GV458"/>
      <c r="GW458"/>
      <c r="GX458"/>
      <c r="GY458"/>
      <c r="GZ458"/>
      <c r="HA458"/>
      <c r="HB458"/>
      <c r="HC458"/>
      <c r="HD458"/>
      <c r="HE458"/>
      <c r="HF458"/>
      <c r="HG458"/>
      <c r="HH458"/>
      <c r="HI458"/>
      <c r="HJ458"/>
      <c r="HK458"/>
      <c r="HL458"/>
      <c r="HM458"/>
      <c r="HN458"/>
      <c r="HO458"/>
      <c r="HP458"/>
      <c r="HQ458"/>
      <c r="HR458"/>
      <c r="HS458"/>
      <c r="HT458"/>
      <c r="HU458"/>
      <c r="HV458"/>
      <c r="HW458"/>
      <c r="HX458"/>
      <c r="HY458"/>
      <c r="HZ458"/>
      <c r="IA458"/>
      <c r="IB458"/>
      <c r="IC458"/>
      <c r="ID458"/>
      <c r="IE458"/>
      <c r="IF458"/>
      <c r="IG458"/>
      <c r="IH458"/>
      <c r="II458"/>
      <c r="IJ458"/>
      <c r="IK458"/>
      <c r="IL458"/>
      <c r="IM458"/>
      <c r="IN458"/>
      <c r="IO458"/>
      <c r="IP458"/>
      <c r="IQ458"/>
      <c r="IR458"/>
      <c r="IS458"/>
      <c r="IT458"/>
      <c r="IU458"/>
      <c r="IV458"/>
      <c r="IW458"/>
      <c r="IX458"/>
      <c r="IY458"/>
      <c r="IZ458"/>
      <c r="JA458"/>
      <c r="JB458"/>
      <c r="JC458"/>
      <c r="JD458"/>
      <c r="JE458"/>
      <c r="JF458"/>
      <c r="JG458"/>
      <c r="JH458"/>
      <c r="JI458"/>
      <c r="JJ458"/>
      <c r="JK458"/>
      <c r="JL458"/>
      <c r="JM458"/>
      <c r="JN458"/>
      <c r="JO458"/>
      <c r="JP458"/>
      <c r="JQ458"/>
      <c r="JR458"/>
      <c r="JS458"/>
      <c r="JT458"/>
      <c r="JU458"/>
      <c r="JV458"/>
      <c r="JW458"/>
      <c r="JX458"/>
      <c r="JY458"/>
      <c r="JZ458"/>
      <c r="KA458"/>
      <c r="KB458"/>
      <c r="KC458"/>
      <c r="KD458"/>
      <c r="KE458"/>
      <c r="KF458"/>
      <c r="KG458"/>
      <c r="KH458"/>
      <c r="KI458"/>
      <c r="KJ458"/>
      <c r="KK458"/>
      <c r="KL458"/>
      <c r="KM458"/>
      <c r="KN458"/>
      <c r="KO458"/>
      <c r="KP458"/>
      <c r="KQ458"/>
      <c r="KR458"/>
      <c r="KS458"/>
    </row>
    <row r="459" spans="2:305" hidden="1" x14ac:dyDescent="0.35">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c r="AL459"/>
      <c r="AM459"/>
      <c r="AN459"/>
      <c r="AO459"/>
      <c r="AP459"/>
      <c r="AQ459"/>
      <c r="AR459"/>
      <c r="AS459"/>
      <c r="AT459"/>
      <c r="AU459"/>
      <c r="AV459"/>
      <c r="AW459"/>
      <c r="AX459"/>
      <c r="AY459"/>
      <c r="AZ459"/>
      <c r="BA459"/>
      <c r="BB459"/>
      <c r="BC459"/>
      <c r="BD459"/>
      <c r="BE459"/>
      <c r="BF459"/>
      <c r="BG459"/>
      <c r="BH459"/>
      <c r="BI459"/>
      <c r="BJ459"/>
      <c r="BK459"/>
      <c r="BL459"/>
      <c r="BM459"/>
      <c r="BN459"/>
      <c r="BO459"/>
      <c r="BP459"/>
      <c r="BQ459"/>
      <c r="BR459"/>
      <c r="BS459"/>
      <c r="BT459"/>
      <c r="BU459"/>
      <c r="BV459"/>
      <c r="BW459"/>
      <c r="BX459"/>
      <c r="BY459"/>
      <c r="BZ459"/>
      <c r="CA459"/>
      <c r="CB459"/>
      <c r="CC459"/>
      <c r="CD459"/>
      <c r="CE459"/>
      <c r="CF459"/>
      <c r="CG459"/>
      <c r="CH459"/>
      <c r="CI459"/>
      <c r="CJ459"/>
      <c r="CK459"/>
      <c r="CL459"/>
      <c r="CM459"/>
      <c r="CN459"/>
      <c r="CO459"/>
      <c r="CP459"/>
      <c r="CQ459"/>
      <c r="CR459"/>
      <c r="CS459"/>
      <c r="CT459"/>
      <c r="CU459"/>
      <c r="CV459"/>
      <c r="CW459"/>
      <c r="CX459"/>
      <c r="CY459"/>
      <c r="CZ459"/>
      <c r="DA459"/>
      <c r="DB459"/>
      <c r="DC459"/>
      <c r="DD459"/>
      <c r="DE459"/>
      <c r="DF459"/>
      <c r="DG459"/>
      <c r="DH459"/>
      <c r="DI459"/>
      <c r="DJ459"/>
      <c r="DK459"/>
      <c r="DL459"/>
      <c r="DM459"/>
      <c r="DN459"/>
      <c r="DO459"/>
      <c r="DP459"/>
      <c r="DQ459"/>
      <c r="DR459"/>
      <c r="DS459"/>
      <c r="DT459"/>
      <c r="DU459"/>
      <c r="DV459"/>
      <c r="DW459"/>
      <c r="DX459"/>
      <c r="DY459"/>
      <c r="DZ459"/>
      <c r="EA459"/>
      <c r="EB459"/>
      <c r="EC459"/>
      <c r="ED459"/>
      <c r="EE459"/>
      <c r="EF459"/>
      <c r="EG459"/>
      <c r="EH459"/>
      <c r="EI459"/>
      <c r="EJ459"/>
      <c r="EK459"/>
      <c r="EL459"/>
      <c r="EM459"/>
      <c r="EN459"/>
      <c r="EO459"/>
      <c r="EP459"/>
      <c r="EQ459"/>
      <c r="ER459"/>
      <c r="ES459"/>
      <c r="ET459"/>
      <c r="EU459"/>
      <c r="EV459"/>
      <c r="EW459"/>
      <c r="EX459"/>
      <c r="EY459"/>
      <c r="EZ459"/>
      <c r="FA459"/>
      <c r="FB459"/>
      <c r="FC459"/>
      <c r="FD459"/>
      <c r="FE459"/>
      <c r="FF459"/>
      <c r="FG459"/>
      <c r="FH459"/>
      <c r="FI459"/>
      <c r="FJ459"/>
      <c r="FK459"/>
      <c r="FL459"/>
      <c r="FM459"/>
      <c r="FN459"/>
      <c r="FO459"/>
      <c r="FP459"/>
      <c r="FQ459"/>
      <c r="FR459"/>
      <c r="FS459"/>
      <c r="FT459"/>
      <c r="FU459"/>
      <c r="FV459"/>
      <c r="FW459"/>
      <c r="FX459"/>
      <c r="FY459"/>
      <c r="FZ459"/>
      <c r="GA459"/>
      <c r="GB459"/>
      <c r="GC459"/>
      <c r="GD459"/>
      <c r="GE459"/>
      <c r="GF459"/>
      <c r="GG459"/>
      <c r="GH459"/>
      <c r="GI459"/>
      <c r="GJ459"/>
      <c r="GK459"/>
      <c r="GL459"/>
      <c r="GM459"/>
      <c r="GN459"/>
      <c r="GO459"/>
      <c r="GP459"/>
      <c r="GQ459"/>
      <c r="GR459"/>
      <c r="GS459"/>
      <c r="GT459"/>
      <c r="GU459"/>
      <c r="GV459"/>
      <c r="GW459"/>
      <c r="GX459"/>
      <c r="GY459"/>
      <c r="GZ459"/>
      <c r="HA459"/>
      <c r="HB459"/>
      <c r="HC459"/>
      <c r="HD459"/>
      <c r="HE459"/>
      <c r="HF459"/>
      <c r="HG459"/>
      <c r="HH459"/>
      <c r="HI459"/>
      <c r="HJ459"/>
      <c r="HK459"/>
      <c r="HL459"/>
      <c r="HM459"/>
      <c r="HN459"/>
      <c r="HO459"/>
      <c r="HP459"/>
      <c r="HQ459"/>
      <c r="HR459"/>
      <c r="HS459"/>
      <c r="HT459"/>
      <c r="HU459"/>
      <c r="HV459"/>
      <c r="HW459"/>
      <c r="HX459"/>
      <c r="HY459"/>
      <c r="HZ459"/>
      <c r="IA459"/>
      <c r="IB459"/>
      <c r="IC459"/>
      <c r="ID459"/>
      <c r="IE459"/>
      <c r="IF459"/>
      <c r="IG459"/>
      <c r="IH459"/>
      <c r="II459"/>
      <c r="IJ459"/>
      <c r="IK459"/>
      <c r="IL459"/>
      <c r="IM459"/>
      <c r="IN459"/>
      <c r="IO459"/>
      <c r="IP459"/>
      <c r="IQ459"/>
      <c r="IR459"/>
      <c r="IS459"/>
      <c r="IT459"/>
      <c r="IU459"/>
      <c r="IV459"/>
      <c r="IW459"/>
      <c r="IX459"/>
      <c r="IY459"/>
      <c r="IZ459"/>
      <c r="JA459"/>
      <c r="JB459"/>
      <c r="JC459"/>
      <c r="JD459"/>
      <c r="JE459"/>
      <c r="JF459"/>
      <c r="JG459"/>
      <c r="JH459"/>
      <c r="JI459"/>
      <c r="JJ459"/>
      <c r="JK459"/>
      <c r="JL459"/>
      <c r="JM459"/>
      <c r="JN459"/>
      <c r="JO459"/>
      <c r="JP459"/>
      <c r="JQ459"/>
      <c r="JR459"/>
      <c r="JS459"/>
      <c r="JT459"/>
      <c r="JU459"/>
      <c r="JV459"/>
      <c r="JW459"/>
      <c r="JX459"/>
      <c r="JY459"/>
      <c r="JZ459"/>
      <c r="KA459"/>
      <c r="KB459"/>
      <c r="KC459"/>
      <c r="KD459"/>
      <c r="KE459"/>
      <c r="KF459"/>
      <c r="KG459"/>
      <c r="KH459"/>
      <c r="KI459"/>
      <c r="KJ459"/>
      <c r="KK459"/>
      <c r="KL459"/>
      <c r="KM459"/>
      <c r="KN459"/>
      <c r="KO459"/>
      <c r="KP459"/>
      <c r="KQ459"/>
      <c r="KR459"/>
      <c r="KS459"/>
    </row>
    <row r="460" spans="2:305" hidden="1" x14ac:dyDescent="0.35">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c r="AL460"/>
      <c r="AM460"/>
      <c r="AN460"/>
      <c r="AO460"/>
      <c r="AP460"/>
      <c r="AQ460"/>
      <c r="AR460"/>
      <c r="AS460"/>
      <c r="AT460"/>
      <c r="AU460"/>
      <c r="AV460"/>
      <c r="AW460"/>
      <c r="AX460"/>
      <c r="AY460"/>
      <c r="AZ460"/>
      <c r="BA460"/>
      <c r="BB460"/>
      <c r="BC460"/>
      <c r="BD460"/>
      <c r="BE460"/>
      <c r="BF460"/>
      <c r="BG460"/>
      <c r="BH460"/>
      <c r="BI460"/>
      <c r="BJ460"/>
      <c r="BK460"/>
      <c r="BL460"/>
      <c r="BM460"/>
      <c r="BN460"/>
      <c r="BO460"/>
      <c r="BP460"/>
      <c r="BQ460"/>
      <c r="BR460"/>
      <c r="BS460"/>
      <c r="BT460"/>
      <c r="BU460"/>
      <c r="BV460"/>
      <c r="BW460"/>
      <c r="BX460"/>
      <c r="BY460"/>
      <c r="BZ460"/>
      <c r="CA460"/>
      <c r="CB460"/>
      <c r="CC460"/>
      <c r="CD460"/>
      <c r="CE460"/>
      <c r="CF460"/>
      <c r="CG460"/>
      <c r="CH460"/>
      <c r="CI460"/>
      <c r="CJ460"/>
      <c r="CK460"/>
      <c r="CL460"/>
      <c r="CM460"/>
      <c r="CN460"/>
      <c r="CO460"/>
      <c r="CP460"/>
      <c r="CQ460"/>
      <c r="CR460"/>
      <c r="CS460"/>
      <c r="CT460"/>
      <c r="CU460"/>
      <c r="CV460"/>
      <c r="CW460"/>
      <c r="CX460"/>
      <c r="CY460"/>
      <c r="CZ460"/>
      <c r="DA460"/>
      <c r="DB460"/>
      <c r="DC460"/>
      <c r="DD460"/>
      <c r="DE460"/>
      <c r="DF460"/>
      <c r="DG460"/>
      <c r="DH460"/>
      <c r="DI460"/>
      <c r="DJ460"/>
      <c r="DK460"/>
      <c r="DL460"/>
      <c r="DM460"/>
      <c r="DN460"/>
      <c r="DO460"/>
      <c r="DP460"/>
      <c r="DQ460"/>
      <c r="DR460"/>
      <c r="DS460"/>
      <c r="DT460"/>
      <c r="DU460"/>
      <c r="DV460"/>
      <c r="DW460"/>
      <c r="DX460"/>
      <c r="DY460"/>
      <c r="DZ460"/>
      <c r="EA460"/>
      <c r="EB460"/>
      <c r="EC460"/>
      <c r="ED460"/>
      <c r="EE460"/>
      <c r="EF460"/>
      <c r="EG460"/>
      <c r="EH460"/>
      <c r="EI460"/>
      <c r="EJ460"/>
      <c r="EK460"/>
      <c r="EL460"/>
      <c r="EM460"/>
      <c r="EN460"/>
      <c r="EO460"/>
      <c r="EP460"/>
      <c r="EQ460"/>
      <c r="ER460"/>
      <c r="ES460"/>
      <c r="ET460"/>
      <c r="EU460"/>
      <c r="EV460"/>
      <c r="EW460"/>
      <c r="EX460"/>
      <c r="EY460"/>
      <c r="EZ460"/>
      <c r="FA460"/>
      <c r="FB460"/>
      <c r="FC460"/>
      <c r="FD460"/>
      <c r="FE460"/>
      <c r="FF460"/>
      <c r="FG460"/>
      <c r="FH460"/>
      <c r="FI460"/>
      <c r="FJ460"/>
      <c r="FK460"/>
      <c r="FL460"/>
      <c r="FM460"/>
      <c r="FN460"/>
      <c r="FO460"/>
      <c r="FP460"/>
      <c r="FQ460"/>
      <c r="FR460"/>
      <c r="FS460"/>
      <c r="FT460"/>
      <c r="FU460"/>
      <c r="FV460"/>
      <c r="FW460"/>
      <c r="FX460"/>
      <c r="FY460"/>
      <c r="FZ460"/>
      <c r="GA460"/>
      <c r="GB460"/>
      <c r="GC460"/>
      <c r="GD460"/>
      <c r="GE460"/>
      <c r="GF460"/>
      <c r="GG460"/>
      <c r="GH460"/>
      <c r="GI460"/>
      <c r="GJ460"/>
      <c r="GK460"/>
      <c r="GL460"/>
      <c r="GM460"/>
      <c r="GN460"/>
      <c r="GO460"/>
      <c r="GP460"/>
      <c r="GQ460"/>
      <c r="GR460"/>
      <c r="GS460"/>
      <c r="GT460"/>
      <c r="GU460"/>
      <c r="GV460"/>
      <c r="GW460"/>
      <c r="GX460"/>
      <c r="GY460"/>
      <c r="GZ460"/>
      <c r="HA460"/>
      <c r="HB460"/>
      <c r="HC460"/>
      <c r="HD460"/>
      <c r="HE460"/>
      <c r="HF460"/>
      <c r="HG460"/>
      <c r="HH460"/>
      <c r="HI460"/>
      <c r="HJ460"/>
      <c r="HK460"/>
      <c r="HL460"/>
      <c r="HM460"/>
      <c r="HN460"/>
      <c r="HO460"/>
      <c r="HP460"/>
      <c r="HQ460"/>
      <c r="HR460"/>
      <c r="HS460"/>
      <c r="HT460"/>
      <c r="HU460"/>
      <c r="HV460"/>
      <c r="HW460"/>
      <c r="HX460"/>
      <c r="HY460"/>
      <c r="HZ460"/>
      <c r="IA460"/>
      <c r="IB460"/>
      <c r="IC460"/>
      <c r="ID460"/>
      <c r="IE460"/>
      <c r="IF460"/>
      <c r="IG460"/>
      <c r="IH460"/>
      <c r="II460"/>
      <c r="IJ460"/>
      <c r="IK460"/>
      <c r="IL460"/>
      <c r="IM460"/>
      <c r="IN460"/>
      <c r="IO460"/>
      <c r="IP460"/>
      <c r="IQ460"/>
      <c r="IR460"/>
      <c r="IS460"/>
      <c r="IT460"/>
      <c r="IU460"/>
      <c r="IV460"/>
      <c r="IW460"/>
      <c r="IX460"/>
      <c r="IY460"/>
      <c r="IZ460"/>
      <c r="JA460"/>
      <c r="JB460"/>
      <c r="JC460"/>
      <c r="JD460"/>
      <c r="JE460"/>
      <c r="JF460"/>
      <c r="JG460"/>
      <c r="JH460"/>
      <c r="JI460"/>
      <c r="JJ460"/>
      <c r="JK460"/>
      <c r="JL460"/>
      <c r="JM460"/>
      <c r="JN460"/>
      <c r="JO460"/>
      <c r="JP460"/>
      <c r="JQ460"/>
      <c r="JR460"/>
      <c r="JS460"/>
      <c r="JT460"/>
      <c r="JU460"/>
      <c r="JV460"/>
      <c r="JW460"/>
      <c r="JX460"/>
      <c r="JY460"/>
      <c r="JZ460"/>
      <c r="KA460"/>
      <c r="KB460"/>
      <c r="KC460"/>
      <c r="KD460"/>
      <c r="KE460"/>
      <c r="KF460"/>
      <c r="KG460"/>
      <c r="KH460"/>
      <c r="KI460"/>
      <c r="KJ460"/>
      <c r="KK460"/>
      <c r="KL460"/>
      <c r="KM460"/>
      <c r="KN460"/>
      <c r="KO460"/>
      <c r="KP460"/>
      <c r="KQ460"/>
      <c r="KR460"/>
      <c r="KS460"/>
    </row>
    <row r="461" spans="2:305" hidden="1" x14ac:dyDescent="0.35">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c r="AL461"/>
      <c r="AM461"/>
      <c r="AN461"/>
      <c r="AO461"/>
      <c r="AP461"/>
      <c r="AQ461"/>
      <c r="AR461"/>
      <c r="AS461"/>
      <c r="AT461"/>
      <c r="AU461"/>
      <c r="AV461"/>
      <c r="AW461"/>
      <c r="AX461"/>
      <c r="AY461"/>
      <c r="AZ461"/>
      <c r="BA461"/>
      <c r="BB461"/>
      <c r="BC461"/>
      <c r="BD461"/>
      <c r="BE461"/>
      <c r="BF461"/>
      <c r="BG461"/>
      <c r="BH461"/>
      <c r="BI461"/>
      <c r="BJ461"/>
      <c r="BK461"/>
      <c r="BL461"/>
      <c r="BM461"/>
      <c r="BN461"/>
      <c r="BO461"/>
      <c r="BP461"/>
      <c r="BQ461"/>
      <c r="BR461"/>
      <c r="BS461"/>
      <c r="BT461"/>
      <c r="BU461"/>
      <c r="BV461"/>
      <c r="BW461"/>
      <c r="BX461"/>
      <c r="BY461"/>
      <c r="BZ461"/>
      <c r="CA461"/>
      <c r="CB461"/>
      <c r="CC461"/>
      <c r="CD461"/>
      <c r="CE461"/>
      <c r="CF461"/>
      <c r="CG461"/>
      <c r="CH461"/>
      <c r="CI461"/>
      <c r="CJ461"/>
      <c r="CK461"/>
      <c r="CL461"/>
      <c r="CM461"/>
      <c r="CN461"/>
      <c r="CO461"/>
      <c r="CP461"/>
      <c r="CQ461"/>
      <c r="CR461"/>
      <c r="CS461"/>
      <c r="CT461"/>
      <c r="CU461"/>
      <c r="CV461"/>
      <c r="CW461"/>
      <c r="CX461"/>
      <c r="CY461"/>
      <c r="CZ461"/>
      <c r="DA461"/>
      <c r="DB461"/>
      <c r="DC461"/>
      <c r="DD461"/>
      <c r="DE461"/>
      <c r="DF461"/>
      <c r="DG461"/>
      <c r="DH461"/>
      <c r="DI461"/>
      <c r="DJ461"/>
      <c r="DK461"/>
      <c r="DL461"/>
      <c r="DM461"/>
      <c r="DN461"/>
      <c r="DO461"/>
      <c r="DP461"/>
      <c r="DQ461"/>
      <c r="DR461"/>
      <c r="DS461"/>
      <c r="DT461"/>
      <c r="DU461"/>
      <c r="DV461"/>
      <c r="DW461"/>
      <c r="DX461"/>
      <c r="DY461"/>
      <c r="DZ461"/>
      <c r="EA461"/>
      <c r="EB461"/>
      <c r="EC461"/>
      <c r="ED461"/>
      <c r="EE461"/>
      <c r="EF461"/>
      <c r="EG461"/>
      <c r="EH461"/>
      <c r="EI461"/>
      <c r="EJ461"/>
      <c r="EK461"/>
      <c r="EL461"/>
      <c r="EM461"/>
      <c r="EN461"/>
      <c r="EO461"/>
      <c r="EP461"/>
      <c r="EQ461"/>
      <c r="ER461"/>
      <c r="ES461"/>
      <c r="ET461"/>
      <c r="EU461"/>
      <c r="EV461"/>
      <c r="EW461"/>
      <c r="EX461"/>
      <c r="EY461"/>
      <c r="EZ461"/>
      <c r="FA461"/>
      <c r="FB461"/>
      <c r="FC461"/>
      <c r="FD461"/>
      <c r="FE461"/>
      <c r="FF461"/>
      <c r="FG461"/>
      <c r="FH461"/>
      <c r="FI461"/>
      <c r="FJ461"/>
      <c r="FK461"/>
      <c r="FL461"/>
      <c r="FM461"/>
      <c r="FN461"/>
      <c r="FO461"/>
      <c r="FP461"/>
      <c r="FQ461"/>
      <c r="FR461"/>
      <c r="FS461"/>
      <c r="FT461"/>
      <c r="FU461"/>
      <c r="FV461"/>
      <c r="FW461"/>
      <c r="FX461"/>
      <c r="FY461"/>
      <c r="FZ461"/>
      <c r="GA461"/>
      <c r="GB461"/>
      <c r="GC461"/>
      <c r="GD461"/>
      <c r="GE461"/>
      <c r="GF461"/>
      <c r="GG461"/>
      <c r="GH461"/>
      <c r="GI461"/>
      <c r="GJ461"/>
      <c r="GK461"/>
      <c r="GL461"/>
      <c r="GM461"/>
      <c r="GN461"/>
      <c r="GO461"/>
      <c r="GP461"/>
      <c r="GQ461"/>
      <c r="GR461"/>
      <c r="GS461"/>
      <c r="GT461"/>
      <c r="GU461"/>
      <c r="GV461"/>
      <c r="GW461"/>
      <c r="GX461"/>
      <c r="GY461"/>
      <c r="GZ461"/>
      <c r="HA461"/>
      <c r="HB461"/>
      <c r="HC461"/>
      <c r="HD461"/>
      <c r="HE461"/>
      <c r="HF461"/>
      <c r="HG461"/>
      <c r="HH461"/>
      <c r="HI461"/>
      <c r="HJ461"/>
      <c r="HK461"/>
      <c r="HL461"/>
      <c r="HM461"/>
      <c r="HN461"/>
      <c r="HO461"/>
      <c r="HP461"/>
      <c r="HQ461"/>
      <c r="HR461"/>
      <c r="HS461"/>
      <c r="HT461"/>
      <c r="HU461"/>
      <c r="HV461"/>
      <c r="HW461"/>
      <c r="HX461"/>
      <c r="HY461"/>
      <c r="HZ461"/>
      <c r="IA461"/>
      <c r="IB461"/>
      <c r="IC461"/>
      <c r="ID461"/>
      <c r="IE461"/>
      <c r="IF461"/>
      <c r="IG461"/>
      <c r="IH461"/>
      <c r="II461"/>
      <c r="IJ461"/>
      <c r="IK461"/>
      <c r="IL461"/>
      <c r="IM461"/>
      <c r="IN461"/>
      <c r="IO461"/>
      <c r="IP461"/>
      <c r="IQ461"/>
      <c r="IR461"/>
      <c r="IS461"/>
      <c r="IT461"/>
      <c r="IU461"/>
      <c r="IV461"/>
      <c r="IW461"/>
      <c r="IX461"/>
      <c r="IY461"/>
      <c r="IZ461"/>
      <c r="JA461"/>
      <c r="JB461"/>
      <c r="JC461"/>
      <c r="JD461"/>
      <c r="JE461"/>
      <c r="JF461"/>
      <c r="JG461"/>
      <c r="JH461"/>
      <c r="JI461"/>
      <c r="JJ461"/>
      <c r="JK461"/>
      <c r="JL461"/>
      <c r="JM461"/>
      <c r="JN461"/>
      <c r="JO461"/>
      <c r="JP461"/>
      <c r="JQ461"/>
      <c r="JR461"/>
      <c r="JS461"/>
      <c r="JT461"/>
      <c r="JU461"/>
      <c r="JV461"/>
      <c r="JW461"/>
      <c r="JX461"/>
      <c r="JY461"/>
      <c r="JZ461"/>
      <c r="KA461"/>
      <c r="KB461"/>
      <c r="KC461"/>
      <c r="KD461"/>
      <c r="KE461"/>
      <c r="KF461"/>
      <c r="KG461"/>
      <c r="KH461"/>
      <c r="KI461"/>
      <c r="KJ461"/>
      <c r="KK461"/>
      <c r="KL461"/>
      <c r="KM461"/>
      <c r="KN461"/>
      <c r="KO461"/>
      <c r="KP461"/>
      <c r="KQ461"/>
      <c r="KR461"/>
      <c r="KS461"/>
    </row>
    <row r="462" spans="2:305" hidden="1" x14ac:dyDescent="0.35">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c r="AL462"/>
      <c r="AM462"/>
      <c r="AN462"/>
      <c r="AO462"/>
      <c r="AP462"/>
      <c r="AQ462"/>
      <c r="AR462"/>
      <c r="AS462"/>
      <c r="AT462"/>
      <c r="AU462"/>
      <c r="AV462"/>
      <c r="AW462"/>
      <c r="AX462"/>
      <c r="AY462"/>
      <c r="AZ462"/>
      <c r="BA462"/>
      <c r="BB462"/>
      <c r="BC462"/>
      <c r="BD462"/>
      <c r="BE462"/>
      <c r="BF462"/>
      <c r="BG462"/>
      <c r="BH462"/>
      <c r="BI462"/>
      <c r="BJ462"/>
      <c r="BK462"/>
      <c r="BL462"/>
      <c r="BM462"/>
      <c r="BN462"/>
      <c r="BO462"/>
      <c r="BP462"/>
      <c r="BQ462"/>
      <c r="BR462"/>
      <c r="BS462"/>
      <c r="BT462"/>
      <c r="BU462"/>
      <c r="BV462"/>
      <c r="BW462"/>
      <c r="BX462"/>
      <c r="BY462"/>
      <c r="BZ462"/>
      <c r="CA462"/>
      <c r="CB462"/>
      <c r="CC462"/>
      <c r="CD462"/>
      <c r="CE462"/>
      <c r="CF462"/>
      <c r="CG462"/>
      <c r="CH462"/>
      <c r="CI462"/>
      <c r="CJ462"/>
      <c r="CK462"/>
      <c r="CL462"/>
      <c r="CM462"/>
      <c r="CN462"/>
      <c r="CO462"/>
      <c r="CP462"/>
      <c r="CQ462"/>
      <c r="CR462"/>
      <c r="CS462"/>
      <c r="CT462"/>
      <c r="CU462"/>
      <c r="CV462"/>
      <c r="CW462"/>
      <c r="CX462"/>
      <c r="CY462"/>
      <c r="CZ462"/>
      <c r="DA462"/>
      <c r="DB462"/>
      <c r="DC462"/>
      <c r="DD462"/>
      <c r="DE462"/>
      <c r="DF462"/>
      <c r="DG462"/>
      <c r="DH462"/>
      <c r="DI462"/>
      <c r="DJ462"/>
      <c r="DK462"/>
      <c r="DL462"/>
      <c r="DM462"/>
      <c r="DN462"/>
      <c r="DO462"/>
      <c r="DP462"/>
      <c r="DQ462"/>
      <c r="DR462"/>
      <c r="DS462"/>
      <c r="DT462"/>
      <c r="DU462"/>
      <c r="DV462"/>
      <c r="DW462"/>
      <c r="DX462"/>
      <c r="DY462"/>
      <c r="DZ462"/>
      <c r="EA462"/>
      <c r="EB462"/>
      <c r="EC462"/>
      <c r="ED462"/>
      <c r="EE462"/>
      <c r="EF462"/>
      <c r="EG462"/>
      <c r="EH462"/>
      <c r="EI462"/>
      <c r="EJ462"/>
      <c r="EK462"/>
      <c r="EL462"/>
      <c r="EM462"/>
      <c r="EN462"/>
      <c r="EO462"/>
      <c r="EP462"/>
      <c r="EQ462"/>
      <c r="ER462"/>
      <c r="ES462"/>
      <c r="ET462"/>
      <c r="EU462"/>
      <c r="EV462"/>
      <c r="EW462"/>
      <c r="EX462"/>
      <c r="EY462"/>
      <c r="EZ462"/>
      <c r="FA462"/>
      <c r="FB462"/>
      <c r="FC462"/>
      <c r="FD462"/>
      <c r="FE462"/>
      <c r="FF462"/>
      <c r="FG462"/>
      <c r="FH462"/>
      <c r="FI462"/>
      <c r="FJ462"/>
      <c r="FK462"/>
      <c r="FL462"/>
      <c r="FM462"/>
      <c r="FN462"/>
      <c r="FO462"/>
      <c r="FP462"/>
      <c r="FQ462"/>
      <c r="FR462"/>
      <c r="FS462"/>
      <c r="FT462"/>
      <c r="FU462"/>
      <c r="FV462"/>
      <c r="FW462"/>
      <c r="FX462"/>
      <c r="FY462"/>
      <c r="FZ462"/>
      <c r="GA462"/>
      <c r="GB462"/>
      <c r="GC462"/>
      <c r="GD462"/>
      <c r="GE462"/>
      <c r="GF462"/>
      <c r="GG462"/>
      <c r="GH462"/>
      <c r="GI462"/>
      <c r="GJ462"/>
      <c r="GK462"/>
      <c r="GL462"/>
      <c r="GM462"/>
      <c r="GN462"/>
      <c r="GO462"/>
      <c r="GP462"/>
      <c r="GQ462"/>
      <c r="GR462"/>
      <c r="GS462"/>
      <c r="GT462"/>
      <c r="GU462"/>
      <c r="GV462"/>
      <c r="GW462"/>
      <c r="GX462"/>
      <c r="GY462"/>
      <c r="GZ462"/>
      <c r="HA462"/>
      <c r="HB462"/>
      <c r="HC462"/>
      <c r="HD462"/>
      <c r="HE462"/>
      <c r="HF462"/>
      <c r="HG462"/>
      <c r="HH462"/>
      <c r="HI462"/>
      <c r="HJ462"/>
      <c r="HK462"/>
      <c r="HL462"/>
      <c r="HM462"/>
      <c r="HN462"/>
      <c r="HO462"/>
      <c r="HP462"/>
      <c r="HQ462"/>
      <c r="HR462"/>
      <c r="HS462"/>
      <c r="HT462"/>
      <c r="HU462"/>
      <c r="HV462"/>
      <c r="HW462"/>
      <c r="HX462"/>
      <c r="HY462"/>
      <c r="HZ462"/>
      <c r="IA462"/>
      <c r="IB462"/>
      <c r="IC462"/>
      <c r="ID462"/>
      <c r="IE462"/>
      <c r="IF462"/>
      <c r="IG462"/>
      <c r="IH462"/>
      <c r="II462"/>
      <c r="IJ462"/>
      <c r="IK462"/>
      <c r="IL462"/>
      <c r="IM462"/>
      <c r="IN462"/>
      <c r="IO462"/>
      <c r="IP462"/>
      <c r="IQ462"/>
      <c r="IR462"/>
      <c r="IS462"/>
      <c r="IT462"/>
      <c r="IU462"/>
      <c r="IV462"/>
      <c r="IW462"/>
      <c r="IX462"/>
      <c r="IY462"/>
      <c r="IZ462"/>
      <c r="JA462"/>
      <c r="JB462"/>
      <c r="JC462"/>
      <c r="JD462"/>
      <c r="JE462"/>
      <c r="JF462"/>
      <c r="JG462"/>
      <c r="JH462"/>
      <c r="JI462"/>
      <c r="JJ462"/>
      <c r="JK462"/>
      <c r="JL462"/>
      <c r="JM462"/>
      <c r="JN462"/>
      <c r="JO462"/>
      <c r="JP462"/>
      <c r="JQ462"/>
      <c r="JR462"/>
      <c r="JS462"/>
      <c r="JT462"/>
      <c r="JU462"/>
      <c r="JV462"/>
      <c r="JW462"/>
      <c r="JX462"/>
      <c r="JY462"/>
      <c r="JZ462"/>
      <c r="KA462"/>
      <c r="KB462"/>
      <c r="KC462"/>
      <c r="KD462"/>
      <c r="KE462"/>
      <c r="KF462"/>
      <c r="KG462"/>
      <c r="KH462"/>
      <c r="KI462"/>
      <c r="KJ462"/>
      <c r="KK462"/>
      <c r="KL462"/>
      <c r="KM462"/>
      <c r="KN462"/>
      <c r="KO462"/>
      <c r="KP462"/>
      <c r="KQ462"/>
      <c r="KR462"/>
      <c r="KS462"/>
    </row>
    <row r="463" spans="2:305" hidden="1" x14ac:dyDescent="0.35">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c r="AN463"/>
      <c r="AO463"/>
      <c r="AP463"/>
      <c r="AQ463"/>
      <c r="AR463"/>
      <c r="AS463"/>
      <c r="AT463"/>
      <c r="AU463"/>
      <c r="AV463"/>
      <c r="AW463"/>
      <c r="AX463"/>
      <c r="AY463"/>
      <c r="AZ463"/>
      <c r="BA463"/>
      <c r="BB463"/>
      <c r="BC463"/>
      <c r="BD463"/>
      <c r="BE463"/>
      <c r="BF463"/>
      <c r="BG463"/>
      <c r="BH463"/>
      <c r="BI463"/>
      <c r="BJ463"/>
      <c r="BK463"/>
      <c r="BL463"/>
      <c r="BM463"/>
      <c r="BN463"/>
      <c r="BO463"/>
      <c r="BP463"/>
      <c r="BQ463"/>
      <c r="BR463"/>
      <c r="BS463"/>
      <c r="BT463"/>
      <c r="BU463"/>
      <c r="BV463"/>
      <c r="BW463"/>
      <c r="BX463"/>
      <c r="BY463"/>
      <c r="BZ463"/>
      <c r="CA463"/>
      <c r="CB463"/>
      <c r="CC463"/>
      <c r="CD463"/>
      <c r="CE463"/>
      <c r="CF463"/>
      <c r="CG463"/>
      <c r="CH463"/>
      <c r="CI463"/>
      <c r="CJ463"/>
      <c r="CK463"/>
      <c r="CL463"/>
      <c r="CM463"/>
      <c r="CN463"/>
      <c r="CO463"/>
      <c r="CP463"/>
      <c r="CQ463"/>
      <c r="CR463"/>
      <c r="CS463"/>
      <c r="CT463"/>
      <c r="CU463"/>
      <c r="CV463"/>
      <c r="CW463"/>
      <c r="CX463"/>
      <c r="CY463"/>
      <c r="CZ463"/>
      <c r="DA463"/>
      <c r="DB463"/>
      <c r="DC463"/>
      <c r="DD463"/>
      <c r="DE463"/>
      <c r="DF463"/>
      <c r="DG463"/>
      <c r="DH463"/>
      <c r="DI463"/>
      <c r="DJ463"/>
      <c r="DK463"/>
      <c r="DL463"/>
      <c r="DM463"/>
      <c r="DN463"/>
      <c r="DO463"/>
      <c r="DP463"/>
      <c r="DQ463"/>
      <c r="DR463"/>
      <c r="DS463"/>
      <c r="DT463"/>
      <c r="DU463"/>
      <c r="DV463"/>
      <c r="DW463"/>
      <c r="DX463"/>
      <c r="DY463"/>
      <c r="DZ463"/>
      <c r="EA463"/>
      <c r="EB463"/>
      <c r="EC463"/>
      <c r="ED463"/>
      <c r="EE463"/>
      <c r="EF463"/>
      <c r="EG463"/>
      <c r="EH463"/>
      <c r="EI463"/>
      <c r="EJ463"/>
      <c r="EK463"/>
      <c r="EL463"/>
      <c r="EM463"/>
      <c r="EN463"/>
      <c r="EO463"/>
      <c r="EP463"/>
      <c r="EQ463"/>
      <c r="ER463"/>
      <c r="ES463"/>
      <c r="ET463"/>
      <c r="EU463"/>
      <c r="EV463"/>
      <c r="EW463"/>
      <c r="EX463"/>
      <c r="EY463"/>
      <c r="EZ463"/>
      <c r="FA463"/>
      <c r="FB463"/>
      <c r="FC463"/>
      <c r="FD463"/>
      <c r="FE463"/>
      <c r="FF463"/>
      <c r="FG463"/>
      <c r="FH463"/>
      <c r="FI463"/>
      <c r="FJ463"/>
      <c r="FK463"/>
      <c r="FL463"/>
      <c r="FM463"/>
      <c r="FN463"/>
      <c r="FO463"/>
      <c r="FP463"/>
      <c r="FQ463"/>
      <c r="FR463"/>
      <c r="FS463"/>
      <c r="FT463"/>
      <c r="FU463"/>
      <c r="FV463"/>
      <c r="FW463"/>
      <c r="FX463"/>
      <c r="FY463"/>
      <c r="FZ463"/>
      <c r="GA463"/>
      <c r="GB463"/>
      <c r="GC463"/>
      <c r="GD463"/>
      <c r="GE463"/>
      <c r="GF463"/>
      <c r="GG463"/>
      <c r="GH463"/>
      <c r="GI463"/>
      <c r="GJ463"/>
      <c r="GK463"/>
      <c r="GL463"/>
      <c r="GM463"/>
      <c r="GN463"/>
      <c r="GO463"/>
      <c r="GP463"/>
      <c r="GQ463"/>
      <c r="GR463"/>
      <c r="GS463"/>
      <c r="GT463"/>
      <c r="GU463"/>
      <c r="GV463"/>
      <c r="GW463"/>
      <c r="GX463"/>
      <c r="GY463"/>
      <c r="GZ463"/>
      <c r="HA463"/>
      <c r="HB463"/>
      <c r="HC463"/>
      <c r="HD463"/>
      <c r="HE463"/>
      <c r="HF463"/>
      <c r="HG463"/>
      <c r="HH463"/>
      <c r="HI463"/>
      <c r="HJ463"/>
      <c r="HK463"/>
      <c r="HL463"/>
      <c r="HM463"/>
      <c r="HN463"/>
      <c r="HO463"/>
      <c r="HP463"/>
      <c r="HQ463"/>
      <c r="HR463"/>
      <c r="HS463"/>
      <c r="HT463"/>
      <c r="HU463"/>
      <c r="HV463"/>
      <c r="HW463"/>
      <c r="HX463"/>
      <c r="HY463"/>
      <c r="HZ463"/>
      <c r="IA463"/>
      <c r="IB463"/>
      <c r="IC463"/>
      <c r="ID463"/>
      <c r="IE463"/>
      <c r="IF463"/>
      <c r="IG463"/>
      <c r="IH463"/>
      <c r="II463"/>
      <c r="IJ463"/>
      <c r="IK463"/>
      <c r="IL463"/>
      <c r="IM463"/>
      <c r="IN463"/>
      <c r="IO463"/>
      <c r="IP463"/>
      <c r="IQ463"/>
      <c r="IR463"/>
      <c r="IS463"/>
      <c r="IT463"/>
      <c r="IU463"/>
      <c r="IV463"/>
      <c r="IW463"/>
      <c r="IX463"/>
      <c r="IY463"/>
      <c r="IZ463"/>
      <c r="JA463"/>
      <c r="JB463"/>
      <c r="JC463"/>
      <c r="JD463"/>
      <c r="JE463"/>
      <c r="JF463"/>
      <c r="JG463"/>
      <c r="JH463"/>
      <c r="JI463"/>
      <c r="JJ463"/>
      <c r="JK463"/>
      <c r="JL463"/>
      <c r="JM463"/>
      <c r="JN463"/>
      <c r="JO463"/>
      <c r="JP463"/>
      <c r="JQ463"/>
      <c r="JR463"/>
      <c r="JS463"/>
      <c r="JT463"/>
      <c r="JU463"/>
      <c r="JV463"/>
      <c r="JW463"/>
      <c r="JX463"/>
      <c r="JY463"/>
      <c r="JZ463"/>
      <c r="KA463"/>
      <c r="KB463"/>
      <c r="KC463"/>
      <c r="KD463"/>
      <c r="KE463"/>
      <c r="KF463"/>
      <c r="KG463"/>
      <c r="KH463"/>
      <c r="KI463"/>
      <c r="KJ463"/>
      <c r="KK463"/>
      <c r="KL463"/>
      <c r="KM463"/>
      <c r="KN463"/>
      <c r="KO463"/>
      <c r="KP463"/>
      <c r="KQ463"/>
      <c r="KR463"/>
      <c r="KS463"/>
    </row>
    <row r="464" spans="2:305" hidden="1" x14ac:dyDescent="0.35">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c r="AL464"/>
      <c r="AM464"/>
      <c r="AN464"/>
      <c r="AO464"/>
      <c r="AP464"/>
      <c r="AQ464"/>
      <c r="AR464"/>
      <c r="AS464"/>
      <c r="AT464"/>
      <c r="AU464"/>
      <c r="AV464"/>
      <c r="AW464"/>
      <c r="AX464"/>
      <c r="AY464"/>
      <c r="AZ464"/>
      <c r="BA464"/>
      <c r="BB464"/>
      <c r="BC464"/>
      <c r="BD464"/>
      <c r="BE464"/>
      <c r="BF464"/>
      <c r="BG464"/>
      <c r="BH464"/>
      <c r="BI464"/>
      <c r="BJ464"/>
      <c r="BK464"/>
      <c r="BL464"/>
      <c r="BM464"/>
      <c r="BN464"/>
      <c r="BO464"/>
      <c r="BP464"/>
      <c r="BQ464"/>
      <c r="BR464"/>
      <c r="BS464"/>
      <c r="BT464"/>
      <c r="BU464"/>
      <c r="BV464"/>
      <c r="BW464"/>
      <c r="BX464"/>
      <c r="BY464"/>
      <c r="BZ464"/>
      <c r="CA464"/>
      <c r="CB464"/>
      <c r="CC464"/>
      <c r="CD464"/>
      <c r="CE464"/>
      <c r="CF464"/>
      <c r="CG464"/>
      <c r="CH464"/>
      <c r="CI464"/>
      <c r="CJ464"/>
      <c r="CK464"/>
      <c r="CL464"/>
      <c r="CM464"/>
      <c r="CN464"/>
      <c r="CO464"/>
      <c r="CP464"/>
      <c r="CQ464"/>
      <c r="CR464"/>
      <c r="CS464"/>
      <c r="CT464"/>
      <c r="CU464"/>
      <c r="CV464"/>
      <c r="CW464"/>
      <c r="CX464"/>
      <c r="CY464"/>
      <c r="CZ464"/>
      <c r="DA464"/>
      <c r="DB464"/>
      <c r="DC464"/>
      <c r="DD464"/>
      <c r="DE464"/>
      <c r="DF464"/>
      <c r="DG464"/>
      <c r="DH464"/>
      <c r="DI464"/>
      <c r="DJ464"/>
      <c r="DK464"/>
      <c r="DL464"/>
      <c r="DM464"/>
      <c r="DN464"/>
      <c r="DO464"/>
      <c r="DP464"/>
      <c r="DQ464"/>
      <c r="DR464"/>
      <c r="DS464"/>
      <c r="DT464"/>
      <c r="DU464"/>
      <c r="DV464"/>
      <c r="DW464"/>
      <c r="DX464"/>
      <c r="DY464"/>
      <c r="DZ464"/>
      <c r="EA464"/>
      <c r="EB464"/>
      <c r="EC464"/>
      <c r="ED464"/>
      <c r="EE464"/>
      <c r="EF464"/>
      <c r="EG464"/>
      <c r="EH464"/>
      <c r="EI464"/>
      <c r="EJ464"/>
      <c r="EK464"/>
      <c r="EL464"/>
      <c r="EM464"/>
      <c r="EN464"/>
      <c r="EO464"/>
      <c r="EP464"/>
      <c r="EQ464"/>
      <c r="ER464"/>
      <c r="ES464"/>
      <c r="ET464"/>
      <c r="EU464"/>
      <c r="EV464"/>
      <c r="EW464"/>
      <c r="EX464"/>
      <c r="EY464"/>
      <c r="EZ464"/>
      <c r="FA464"/>
      <c r="FB464"/>
      <c r="FC464"/>
      <c r="FD464"/>
      <c r="FE464"/>
      <c r="FF464"/>
      <c r="FG464"/>
      <c r="FH464"/>
      <c r="FI464"/>
      <c r="FJ464"/>
      <c r="FK464"/>
      <c r="FL464"/>
      <c r="FM464"/>
      <c r="FN464"/>
      <c r="FO464"/>
      <c r="FP464"/>
      <c r="FQ464"/>
      <c r="FR464"/>
      <c r="FS464"/>
      <c r="FT464"/>
      <c r="FU464"/>
      <c r="FV464"/>
      <c r="FW464"/>
      <c r="FX464"/>
      <c r="FY464"/>
      <c r="FZ464"/>
      <c r="GA464"/>
      <c r="GB464"/>
      <c r="GC464"/>
      <c r="GD464"/>
      <c r="GE464"/>
      <c r="GF464"/>
      <c r="GG464"/>
      <c r="GH464"/>
      <c r="GI464"/>
      <c r="GJ464"/>
      <c r="GK464"/>
      <c r="GL464"/>
      <c r="GM464"/>
      <c r="GN464"/>
      <c r="GO464"/>
      <c r="GP464"/>
      <c r="GQ464"/>
      <c r="GR464"/>
      <c r="GS464"/>
      <c r="GT464"/>
      <c r="GU464"/>
      <c r="GV464"/>
      <c r="GW464"/>
      <c r="GX464"/>
      <c r="GY464"/>
      <c r="GZ464"/>
      <c r="HA464"/>
      <c r="HB464"/>
      <c r="HC464"/>
      <c r="HD464"/>
      <c r="HE464"/>
      <c r="HF464"/>
      <c r="HG464"/>
      <c r="HH464"/>
      <c r="HI464"/>
      <c r="HJ464"/>
      <c r="HK464"/>
      <c r="HL464"/>
      <c r="HM464"/>
      <c r="HN464"/>
      <c r="HO464"/>
      <c r="HP464"/>
      <c r="HQ464"/>
      <c r="HR464"/>
      <c r="HS464"/>
      <c r="HT464"/>
      <c r="HU464"/>
      <c r="HV464"/>
      <c r="HW464"/>
      <c r="HX464"/>
      <c r="HY464"/>
      <c r="HZ464"/>
      <c r="IA464"/>
      <c r="IB464"/>
      <c r="IC464"/>
      <c r="ID464"/>
      <c r="IE464"/>
      <c r="IF464"/>
      <c r="IG464"/>
      <c r="IH464"/>
      <c r="II464"/>
      <c r="IJ464"/>
      <c r="IK464"/>
      <c r="IL464"/>
      <c r="IM464"/>
      <c r="IN464"/>
      <c r="IO464"/>
      <c r="IP464"/>
      <c r="IQ464"/>
      <c r="IR464"/>
      <c r="IS464"/>
      <c r="IT464"/>
      <c r="IU464"/>
      <c r="IV464"/>
      <c r="IW464"/>
      <c r="IX464"/>
      <c r="IY464"/>
      <c r="IZ464"/>
      <c r="JA464"/>
      <c r="JB464"/>
      <c r="JC464"/>
      <c r="JD464"/>
      <c r="JE464"/>
      <c r="JF464"/>
      <c r="JG464"/>
      <c r="JH464"/>
      <c r="JI464"/>
      <c r="JJ464"/>
      <c r="JK464"/>
      <c r="JL464"/>
      <c r="JM464"/>
      <c r="JN464"/>
      <c r="JO464"/>
      <c r="JP464"/>
      <c r="JQ464"/>
      <c r="JR464"/>
      <c r="JS464"/>
      <c r="JT464"/>
      <c r="JU464"/>
      <c r="JV464"/>
      <c r="JW464"/>
      <c r="JX464"/>
      <c r="JY464"/>
      <c r="JZ464"/>
      <c r="KA464"/>
      <c r="KB464"/>
      <c r="KC464"/>
      <c r="KD464"/>
      <c r="KE464"/>
      <c r="KF464"/>
      <c r="KG464"/>
      <c r="KH464"/>
      <c r="KI464"/>
      <c r="KJ464"/>
      <c r="KK464"/>
      <c r="KL464"/>
      <c r="KM464"/>
      <c r="KN464"/>
      <c r="KO464"/>
      <c r="KP464"/>
      <c r="KQ464"/>
      <c r="KR464"/>
      <c r="KS464"/>
    </row>
    <row r="465" spans="2:305" hidden="1" x14ac:dyDescent="0.3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c r="AL465"/>
      <c r="AM465"/>
      <c r="AN465"/>
      <c r="AO465"/>
      <c r="AP465"/>
      <c r="AQ465"/>
      <c r="AR465"/>
      <c r="AS465"/>
      <c r="AT465"/>
      <c r="AU465"/>
      <c r="AV465"/>
      <c r="AW465"/>
      <c r="AX465"/>
      <c r="AY465"/>
      <c r="AZ465"/>
      <c r="BA465"/>
      <c r="BB465"/>
      <c r="BC465"/>
      <c r="BD465"/>
      <c r="BE465"/>
      <c r="BF465"/>
      <c r="BG465"/>
      <c r="BH465"/>
      <c r="BI465"/>
      <c r="BJ465"/>
      <c r="BK465"/>
      <c r="BL465"/>
      <c r="BM465"/>
      <c r="BN465"/>
      <c r="BO465"/>
      <c r="BP465"/>
      <c r="BQ465"/>
      <c r="BR465"/>
      <c r="BS465"/>
      <c r="BT465"/>
      <c r="BU465"/>
      <c r="BV465"/>
      <c r="BW465"/>
      <c r="BX465"/>
      <c r="BY465"/>
      <c r="BZ465"/>
      <c r="CA465"/>
      <c r="CB465"/>
      <c r="CC465"/>
      <c r="CD465"/>
      <c r="CE465"/>
      <c r="CF465"/>
      <c r="CG465"/>
      <c r="CH465"/>
      <c r="CI465"/>
      <c r="CJ465"/>
      <c r="CK465"/>
      <c r="CL465"/>
      <c r="CM465"/>
      <c r="CN465"/>
      <c r="CO465"/>
      <c r="CP465"/>
      <c r="CQ465"/>
      <c r="CR465"/>
      <c r="CS465"/>
      <c r="CT465"/>
      <c r="CU465"/>
      <c r="CV465"/>
      <c r="CW465"/>
      <c r="CX465"/>
      <c r="CY465"/>
      <c r="CZ465"/>
      <c r="DA465"/>
      <c r="DB465"/>
      <c r="DC465"/>
      <c r="DD465"/>
      <c r="DE465"/>
      <c r="DF465"/>
      <c r="DG465"/>
      <c r="DH465"/>
      <c r="DI465"/>
      <c r="DJ465"/>
      <c r="DK465"/>
      <c r="DL465"/>
      <c r="DM465"/>
      <c r="DN465"/>
      <c r="DO465"/>
      <c r="DP465"/>
      <c r="DQ465"/>
      <c r="DR465"/>
      <c r="DS465"/>
      <c r="DT465"/>
      <c r="DU465"/>
      <c r="DV465"/>
      <c r="DW465"/>
      <c r="DX465"/>
      <c r="DY465"/>
      <c r="DZ465"/>
      <c r="EA465"/>
      <c r="EB465"/>
      <c r="EC465"/>
      <c r="ED465"/>
      <c r="EE465"/>
      <c r="EF465"/>
      <c r="EG465"/>
      <c r="EH465"/>
      <c r="EI465"/>
      <c r="EJ465"/>
      <c r="EK465"/>
      <c r="EL465"/>
      <c r="EM465"/>
      <c r="EN465"/>
      <c r="EO465"/>
      <c r="EP465"/>
      <c r="EQ465"/>
      <c r="ER465"/>
      <c r="ES465"/>
      <c r="ET465"/>
      <c r="EU465"/>
      <c r="EV465"/>
      <c r="EW465"/>
      <c r="EX465"/>
      <c r="EY465"/>
      <c r="EZ465"/>
      <c r="FA465"/>
      <c r="FB465"/>
      <c r="FC465"/>
      <c r="FD465"/>
      <c r="FE465"/>
      <c r="FF465"/>
      <c r="FG465"/>
      <c r="FH465"/>
      <c r="FI465"/>
      <c r="FJ465"/>
      <c r="FK465"/>
      <c r="FL465"/>
      <c r="FM465"/>
      <c r="FN465"/>
      <c r="FO465"/>
      <c r="FP465"/>
      <c r="FQ465"/>
      <c r="FR465"/>
      <c r="FS465"/>
      <c r="FT465"/>
      <c r="FU465"/>
      <c r="FV465"/>
      <c r="FW465"/>
      <c r="FX465"/>
      <c r="FY465"/>
      <c r="FZ465"/>
      <c r="GA465"/>
      <c r="GB465"/>
      <c r="GC465"/>
      <c r="GD465"/>
      <c r="GE465"/>
      <c r="GF465"/>
      <c r="GG465"/>
      <c r="GH465"/>
      <c r="GI465"/>
      <c r="GJ465"/>
      <c r="GK465"/>
      <c r="GL465"/>
      <c r="GM465"/>
      <c r="GN465"/>
      <c r="GO465"/>
      <c r="GP465"/>
      <c r="GQ465"/>
      <c r="GR465"/>
      <c r="GS465"/>
      <c r="GT465"/>
      <c r="GU465"/>
      <c r="GV465"/>
      <c r="GW465"/>
      <c r="GX465"/>
      <c r="GY465"/>
      <c r="GZ465"/>
      <c r="HA465"/>
      <c r="HB465"/>
      <c r="HC465"/>
      <c r="HD465"/>
      <c r="HE465"/>
      <c r="HF465"/>
      <c r="HG465"/>
      <c r="HH465"/>
      <c r="HI465"/>
      <c r="HJ465"/>
      <c r="HK465"/>
      <c r="HL465"/>
      <c r="HM465"/>
      <c r="HN465"/>
      <c r="HO465"/>
      <c r="HP465"/>
      <c r="HQ465"/>
      <c r="HR465"/>
      <c r="HS465"/>
      <c r="HT465"/>
      <c r="HU465"/>
      <c r="HV465"/>
      <c r="HW465"/>
      <c r="HX465"/>
      <c r="HY465"/>
      <c r="HZ465"/>
      <c r="IA465"/>
      <c r="IB465"/>
      <c r="IC465"/>
      <c r="ID465"/>
      <c r="IE465"/>
      <c r="IF465"/>
      <c r="IG465"/>
      <c r="IH465"/>
      <c r="II465"/>
      <c r="IJ465"/>
      <c r="IK465"/>
      <c r="IL465"/>
      <c r="IM465"/>
      <c r="IN465"/>
      <c r="IO465"/>
      <c r="IP465"/>
      <c r="IQ465"/>
      <c r="IR465"/>
      <c r="IS465"/>
      <c r="IT465"/>
      <c r="IU465"/>
      <c r="IV465"/>
      <c r="IW465"/>
      <c r="IX465"/>
      <c r="IY465"/>
      <c r="IZ465"/>
      <c r="JA465"/>
      <c r="JB465"/>
      <c r="JC465"/>
      <c r="JD465"/>
      <c r="JE465"/>
      <c r="JF465"/>
      <c r="JG465"/>
      <c r="JH465"/>
      <c r="JI465"/>
      <c r="JJ465"/>
      <c r="JK465"/>
      <c r="JL465"/>
      <c r="JM465"/>
      <c r="JN465"/>
      <c r="JO465"/>
      <c r="JP465"/>
      <c r="JQ465"/>
      <c r="JR465"/>
      <c r="JS465"/>
      <c r="JT465"/>
      <c r="JU465"/>
      <c r="JV465"/>
      <c r="JW465"/>
      <c r="JX465"/>
      <c r="JY465"/>
      <c r="JZ465"/>
      <c r="KA465"/>
      <c r="KB465"/>
      <c r="KC465"/>
      <c r="KD465"/>
      <c r="KE465"/>
      <c r="KF465"/>
      <c r="KG465"/>
      <c r="KH465"/>
      <c r="KI465"/>
      <c r="KJ465"/>
      <c r="KK465"/>
      <c r="KL465"/>
      <c r="KM465"/>
      <c r="KN465"/>
      <c r="KO465"/>
      <c r="KP465"/>
      <c r="KQ465"/>
      <c r="KR465"/>
      <c r="KS465"/>
    </row>
    <row r="466" spans="2:305" hidden="1" x14ac:dyDescent="0.35">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c r="AL466"/>
      <c r="AM466"/>
      <c r="AN466"/>
      <c r="AO466"/>
      <c r="AP466"/>
      <c r="AQ466"/>
      <c r="AR466"/>
      <c r="AS466"/>
      <c r="AT466"/>
      <c r="AU466"/>
      <c r="AV466"/>
      <c r="AW466"/>
      <c r="AX466"/>
      <c r="AY466"/>
      <c r="AZ466"/>
      <c r="BA466"/>
      <c r="BB466"/>
      <c r="BC466"/>
      <c r="BD466"/>
      <c r="BE466"/>
      <c r="BF466"/>
      <c r="BG466"/>
      <c r="BH466"/>
      <c r="BI466"/>
      <c r="BJ466"/>
      <c r="BK466"/>
      <c r="BL466"/>
      <c r="BM466"/>
      <c r="BN466"/>
      <c r="BO466"/>
      <c r="BP466"/>
      <c r="BQ466"/>
      <c r="BR466"/>
      <c r="BS466"/>
      <c r="BT466"/>
      <c r="BU466"/>
      <c r="BV466"/>
      <c r="BW466"/>
      <c r="BX466"/>
      <c r="BY466"/>
      <c r="BZ466"/>
      <c r="CA466"/>
      <c r="CB466"/>
      <c r="CC466"/>
      <c r="CD466"/>
      <c r="CE466"/>
      <c r="CF466"/>
      <c r="CG466"/>
      <c r="CH466"/>
      <c r="CI466"/>
      <c r="CJ466"/>
      <c r="CK466"/>
      <c r="CL466"/>
      <c r="CM466"/>
      <c r="CN466"/>
      <c r="CO466"/>
      <c r="CP466"/>
      <c r="CQ466"/>
      <c r="CR466"/>
      <c r="CS466"/>
      <c r="CT466"/>
      <c r="CU466"/>
      <c r="CV466"/>
      <c r="CW466"/>
      <c r="CX466"/>
      <c r="CY466"/>
      <c r="CZ466"/>
      <c r="DA466"/>
      <c r="DB466"/>
      <c r="DC466"/>
      <c r="DD466"/>
      <c r="DE466"/>
      <c r="DF466"/>
      <c r="DG466"/>
      <c r="DH466"/>
      <c r="DI466"/>
      <c r="DJ466"/>
      <c r="DK466"/>
      <c r="DL466"/>
      <c r="DM466"/>
      <c r="DN466"/>
      <c r="DO466"/>
      <c r="DP466"/>
      <c r="DQ466"/>
      <c r="DR466"/>
      <c r="DS466"/>
      <c r="DT466"/>
      <c r="DU466"/>
      <c r="DV466"/>
      <c r="DW466"/>
      <c r="DX466"/>
      <c r="DY466"/>
      <c r="DZ466"/>
      <c r="EA466"/>
      <c r="EB466"/>
      <c r="EC466"/>
      <c r="ED466"/>
      <c r="EE466"/>
      <c r="EF466"/>
      <c r="EG466"/>
      <c r="EH466"/>
      <c r="EI466"/>
      <c r="EJ466"/>
      <c r="EK466"/>
      <c r="EL466"/>
      <c r="EM466"/>
      <c r="EN466"/>
      <c r="EO466"/>
      <c r="EP466"/>
      <c r="EQ466"/>
      <c r="ER466"/>
      <c r="ES466"/>
      <c r="ET466"/>
      <c r="EU466"/>
      <c r="EV466"/>
      <c r="EW466"/>
      <c r="EX466"/>
      <c r="EY466"/>
      <c r="EZ466"/>
      <c r="FA466"/>
      <c r="FB466"/>
      <c r="FC466"/>
      <c r="FD466"/>
      <c r="FE466"/>
      <c r="FF466"/>
      <c r="FG466"/>
      <c r="FH466"/>
      <c r="FI466"/>
      <c r="FJ466"/>
      <c r="FK466"/>
      <c r="FL466"/>
      <c r="FM466"/>
      <c r="FN466"/>
      <c r="FO466"/>
      <c r="FP466"/>
      <c r="FQ466"/>
      <c r="FR466"/>
      <c r="FS466"/>
      <c r="FT466"/>
      <c r="FU466"/>
      <c r="FV466"/>
      <c r="FW466"/>
      <c r="FX466"/>
      <c r="FY466"/>
      <c r="FZ466"/>
      <c r="GA466"/>
      <c r="GB466"/>
      <c r="GC466"/>
      <c r="GD466"/>
      <c r="GE466"/>
      <c r="GF466"/>
      <c r="GG466"/>
      <c r="GH466"/>
      <c r="GI466"/>
      <c r="GJ466"/>
      <c r="GK466"/>
      <c r="GL466"/>
      <c r="GM466"/>
      <c r="GN466"/>
      <c r="GO466"/>
      <c r="GP466"/>
      <c r="GQ466"/>
      <c r="GR466"/>
      <c r="GS466"/>
      <c r="GT466"/>
      <c r="GU466"/>
      <c r="GV466"/>
      <c r="GW466"/>
      <c r="GX466"/>
      <c r="GY466"/>
      <c r="GZ466"/>
      <c r="HA466"/>
      <c r="HB466"/>
      <c r="HC466"/>
      <c r="HD466"/>
      <c r="HE466"/>
      <c r="HF466"/>
      <c r="HG466"/>
      <c r="HH466"/>
      <c r="HI466"/>
      <c r="HJ466"/>
      <c r="HK466"/>
      <c r="HL466"/>
      <c r="HM466"/>
      <c r="HN466"/>
      <c r="HO466"/>
      <c r="HP466"/>
      <c r="HQ466"/>
      <c r="HR466"/>
      <c r="HS466"/>
      <c r="HT466"/>
      <c r="HU466"/>
      <c r="HV466"/>
      <c r="HW466"/>
      <c r="HX466"/>
      <c r="HY466"/>
      <c r="HZ466"/>
      <c r="IA466"/>
      <c r="IB466"/>
      <c r="IC466"/>
      <c r="ID466"/>
      <c r="IE466"/>
      <c r="IF466"/>
      <c r="IG466"/>
      <c r="IH466"/>
      <c r="II466"/>
      <c r="IJ466"/>
      <c r="IK466"/>
      <c r="IL466"/>
      <c r="IM466"/>
      <c r="IN466"/>
      <c r="IO466"/>
      <c r="IP466"/>
      <c r="IQ466"/>
      <c r="IR466"/>
      <c r="IS466"/>
      <c r="IT466"/>
      <c r="IU466"/>
      <c r="IV466"/>
      <c r="IW466"/>
      <c r="IX466"/>
      <c r="IY466"/>
      <c r="IZ466"/>
      <c r="JA466"/>
      <c r="JB466"/>
      <c r="JC466"/>
      <c r="JD466"/>
      <c r="JE466"/>
      <c r="JF466"/>
      <c r="JG466"/>
      <c r="JH466"/>
      <c r="JI466"/>
      <c r="JJ466"/>
      <c r="JK466"/>
      <c r="JL466"/>
      <c r="JM466"/>
      <c r="JN466"/>
      <c r="JO466"/>
      <c r="JP466"/>
      <c r="JQ466"/>
      <c r="JR466"/>
      <c r="JS466"/>
      <c r="JT466"/>
      <c r="JU466"/>
      <c r="JV466"/>
      <c r="JW466"/>
      <c r="JX466"/>
      <c r="JY466"/>
      <c r="JZ466"/>
      <c r="KA466"/>
      <c r="KB466"/>
      <c r="KC466"/>
      <c r="KD466"/>
      <c r="KE466"/>
      <c r="KF466"/>
      <c r="KG466"/>
      <c r="KH466"/>
      <c r="KI466"/>
      <c r="KJ466"/>
      <c r="KK466"/>
      <c r="KL466"/>
      <c r="KM466"/>
      <c r="KN466"/>
      <c r="KO466"/>
      <c r="KP466"/>
      <c r="KQ466"/>
      <c r="KR466"/>
      <c r="KS466"/>
    </row>
    <row r="467" spans="2:305" hidden="1" x14ac:dyDescent="0.35">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c r="AL467"/>
      <c r="AM467"/>
      <c r="AN467"/>
      <c r="AO467"/>
      <c r="AP467"/>
      <c r="AQ467"/>
      <c r="AR467"/>
      <c r="AS467"/>
      <c r="AT467"/>
      <c r="AU467"/>
      <c r="AV467"/>
      <c r="AW467"/>
      <c r="AX467"/>
      <c r="AY467"/>
      <c r="AZ467"/>
      <c r="BA467"/>
      <c r="BB467"/>
      <c r="BC467"/>
      <c r="BD467"/>
      <c r="BE467"/>
      <c r="BF467"/>
      <c r="BG467"/>
      <c r="BH467"/>
      <c r="BI467"/>
      <c r="BJ467"/>
      <c r="BK467"/>
      <c r="BL467"/>
      <c r="BM467"/>
      <c r="BN467"/>
      <c r="BO467"/>
      <c r="BP467"/>
      <c r="BQ467"/>
      <c r="BR467"/>
      <c r="BS467"/>
      <c r="BT467"/>
      <c r="BU467"/>
      <c r="BV467"/>
      <c r="BW467"/>
      <c r="BX467"/>
      <c r="BY467"/>
      <c r="BZ467"/>
      <c r="CA467"/>
      <c r="CB467"/>
      <c r="CC467"/>
      <c r="CD467"/>
      <c r="CE467"/>
      <c r="CF467"/>
      <c r="CG467"/>
      <c r="CH467"/>
      <c r="CI467"/>
      <c r="CJ467"/>
      <c r="CK467"/>
      <c r="CL467"/>
      <c r="CM467"/>
      <c r="CN467"/>
      <c r="CO467"/>
      <c r="CP467"/>
      <c r="CQ467"/>
      <c r="CR467"/>
      <c r="CS467"/>
      <c r="CT467"/>
      <c r="CU467"/>
      <c r="CV467"/>
      <c r="CW467"/>
      <c r="CX467"/>
      <c r="CY467"/>
      <c r="CZ467"/>
      <c r="DA467"/>
      <c r="DB467"/>
      <c r="DC467"/>
      <c r="DD467"/>
      <c r="DE467"/>
      <c r="DF467"/>
      <c r="DG467"/>
      <c r="DH467"/>
      <c r="DI467"/>
      <c r="DJ467"/>
      <c r="DK467"/>
      <c r="DL467"/>
      <c r="DM467"/>
      <c r="DN467"/>
      <c r="DO467"/>
      <c r="DP467"/>
      <c r="DQ467"/>
      <c r="DR467"/>
      <c r="DS467"/>
      <c r="DT467"/>
      <c r="DU467"/>
      <c r="DV467"/>
      <c r="DW467"/>
      <c r="DX467"/>
      <c r="DY467"/>
      <c r="DZ467"/>
      <c r="EA467"/>
      <c r="EB467"/>
      <c r="EC467"/>
      <c r="ED467"/>
      <c r="EE467"/>
      <c r="EF467"/>
      <c r="EG467"/>
      <c r="EH467"/>
      <c r="EI467"/>
      <c r="EJ467"/>
      <c r="EK467"/>
      <c r="EL467"/>
      <c r="EM467"/>
      <c r="EN467"/>
      <c r="EO467"/>
      <c r="EP467"/>
      <c r="EQ467"/>
      <c r="ER467"/>
      <c r="ES467"/>
      <c r="ET467"/>
      <c r="EU467"/>
      <c r="EV467"/>
      <c r="EW467"/>
      <c r="EX467"/>
      <c r="EY467"/>
      <c r="EZ467"/>
      <c r="FA467"/>
      <c r="FB467"/>
      <c r="FC467"/>
      <c r="FD467"/>
      <c r="FE467"/>
      <c r="FF467"/>
      <c r="FG467"/>
      <c r="FH467"/>
      <c r="FI467"/>
      <c r="FJ467"/>
      <c r="FK467"/>
      <c r="FL467"/>
      <c r="FM467"/>
      <c r="FN467"/>
      <c r="FO467"/>
      <c r="FP467"/>
      <c r="FQ467"/>
      <c r="FR467"/>
      <c r="FS467"/>
      <c r="FT467"/>
      <c r="FU467"/>
      <c r="FV467"/>
      <c r="FW467"/>
      <c r="FX467"/>
      <c r="FY467"/>
      <c r="FZ467"/>
      <c r="GA467"/>
      <c r="GB467"/>
      <c r="GC467"/>
      <c r="GD467"/>
      <c r="GE467"/>
      <c r="GF467"/>
      <c r="GG467"/>
      <c r="GH467"/>
      <c r="GI467"/>
      <c r="GJ467"/>
      <c r="GK467"/>
      <c r="GL467"/>
      <c r="GM467"/>
      <c r="GN467"/>
      <c r="GO467"/>
      <c r="GP467"/>
      <c r="GQ467"/>
      <c r="GR467"/>
      <c r="GS467"/>
      <c r="GT467"/>
      <c r="GU467"/>
      <c r="GV467"/>
      <c r="GW467"/>
      <c r="GX467"/>
      <c r="GY467"/>
      <c r="GZ467"/>
      <c r="HA467"/>
      <c r="HB467"/>
      <c r="HC467"/>
      <c r="HD467"/>
      <c r="HE467"/>
      <c r="HF467"/>
      <c r="HG467"/>
      <c r="HH467"/>
      <c r="HI467"/>
      <c r="HJ467"/>
      <c r="HK467"/>
      <c r="HL467"/>
      <c r="HM467"/>
      <c r="HN467"/>
      <c r="HO467"/>
      <c r="HP467"/>
      <c r="HQ467"/>
      <c r="HR467"/>
      <c r="HS467"/>
      <c r="HT467"/>
      <c r="HU467"/>
      <c r="HV467"/>
      <c r="HW467"/>
      <c r="HX467"/>
      <c r="HY467"/>
      <c r="HZ467"/>
      <c r="IA467"/>
      <c r="IB467"/>
      <c r="IC467"/>
      <c r="ID467"/>
      <c r="IE467"/>
      <c r="IF467"/>
      <c r="IG467"/>
      <c r="IH467"/>
      <c r="II467"/>
      <c r="IJ467"/>
      <c r="IK467"/>
      <c r="IL467"/>
      <c r="IM467"/>
      <c r="IN467"/>
      <c r="IO467"/>
      <c r="IP467"/>
      <c r="IQ467"/>
      <c r="IR467"/>
      <c r="IS467"/>
      <c r="IT467"/>
      <c r="IU467"/>
      <c r="IV467"/>
      <c r="IW467"/>
      <c r="IX467"/>
      <c r="IY467"/>
      <c r="IZ467"/>
      <c r="JA467"/>
      <c r="JB467"/>
      <c r="JC467"/>
      <c r="JD467"/>
      <c r="JE467"/>
      <c r="JF467"/>
      <c r="JG467"/>
      <c r="JH467"/>
      <c r="JI467"/>
      <c r="JJ467"/>
      <c r="JK467"/>
      <c r="JL467"/>
      <c r="JM467"/>
      <c r="JN467"/>
      <c r="JO467"/>
      <c r="JP467"/>
      <c r="JQ467"/>
      <c r="JR467"/>
      <c r="JS467"/>
      <c r="JT467"/>
      <c r="JU467"/>
      <c r="JV467"/>
      <c r="JW467"/>
      <c r="JX467"/>
      <c r="JY467"/>
      <c r="JZ467"/>
      <c r="KA467"/>
      <c r="KB467"/>
      <c r="KC467"/>
      <c r="KD467"/>
      <c r="KE467"/>
      <c r="KF467"/>
      <c r="KG467"/>
      <c r="KH467"/>
      <c r="KI467"/>
      <c r="KJ467"/>
      <c r="KK467"/>
      <c r="KL467"/>
      <c r="KM467"/>
      <c r="KN467"/>
      <c r="KO467"/>
      <c r="KP467"/>
      <c r="KQ467"/>
      <c r="KR467"/>
      <c r="KS467"/>
    </row>
    <row r="468" spans="2:305" hidden="1" x14ac:dyDescent="0.35">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c r="AL468"/>
      <c r="AM468"/>
      <c r="AN468"/>
      <c r="AO468"/>
      <c r="AP468"/>
      <c r="AQ468"/>
      <c r="AR468"/>
      <c r="AS468"/>
      <c r="AT468"/>
      <c r="AU468"/>
      <c r="AV468"/>
      <c r="AW468"/>
      <c r="AX468"/>
      <c r="AY468"/>
      <c r="AZ468"/>
      <c r="BA468"/>
      <c r="BB468"/>
      <c r="BC468"/>
      <c r="BD468"/>
      <c r="BE468"/>
      <c r="BF468"/>
      <c r="BG468"/>
      <c r="BH468"/>
      <c r="BI468"/>
      <c r="BJ468"/>
      <c r="BK468"/>
      <c r="BL468"/>
      <c r="BM468"/>
      <c r="BN468"/>
      <c r="BO468"/>
      <c r="BP468"/>
      <c r="BQ468"/>
      <c r="BR468"/>
      <c r="BS468"/>
      <c r="BT468"/>
      <c r="BU468"/>
      <c r="BV468"/>
      <c r="BW468"/>
      <c r="BX468"/>
      <c r="BY468"/>
      <c r="BZ468"/>
      <c r="CA468"/>
      <c r="CB468"/>
      <c r="CC468"/>
      <c r="CD468"/>
      <c r="CE468"/>
      <c r="CF468"/>
      <c r="CG468"/>
      <c r="CH468"/>
      <c r="CI468"/>
      <c r="CJ468"/>
      <c r="CK468"/>
      <c r="CL468"/>
      <c r="CM468"/>
      <c r="CN468"/>
      <c r="CO468"/>
      <c r="CP468"/>
      <c r="CQ468"/>
      <c r="CR468"/>
      <c r="CS468"/>
      <c r="CT468"/>
      <c r="CU468"/>
      <c r="CV468"/>
      <c r="CW468"/>
      <c r="CX468"/>
      <c r="CY468"/>
      <c r="CZ468"/>
      <c r="DA468"/>
      <c r="DB468"/>
      <c r="DC468"/>
      <c r="DD468"/>
      <c r="DE468"/>
      <c r="DF468"/>
      <c r="DG468"/>
      <c r="DH468"/>
      <c r="DI468"/>
      <c r="DJ468"/>
      <c r="DK468"/>
      <c r="DL468"/>
      <c r="DM468"/>
      <c r="DN468"/>
      <c r="DO468"/>
      <c r="DP468"/>
      <c r="DQ468"/>
      <c r="DR468"/>
      <c r="DS468"/>
      <c r="DT468"/>
      <c r="DU468"/>
      <c r="DV468"/>
      <c r="DW468"/>
      <c r="DX468"/>
      <c r="DY468"/>
      <c r="DZ468"/>
      <c r="EA468"/>
      <c r="EB468"/>
      <c r="EC468"/>
      <c r="ED468"/>
      <c r="EE468"/>
      <c r="EF468"/>
      <c r="EG468"/>
      <c r="EH468"/>
      <c r="EI468"/>
      <c r="EJ468"/>
      <c r="EK468"/>
      <c r="EL468"/>
      <c r="EM468"/>
      <c r="EN468"/>
      <c r="EO468"/>
      <c r="EP468"/>
      <c r="EQ468"/>
      <c r="ER468"/>
      <c r="ES468"/>
      <c r="ET468"/>
      <c r="EU468"/>
      <c r="EV468"/>
      <c r="EW468"/>
      <c r="EX468"/>
      <c r="EY468"/>
      <c r="EZ468"/>
      <c r="FA468"/>
      <c r="FB468"/>
      <c r="FC468"/>
      <c r="FD468"/>
      <c r="FE468"/>
      <c r="FF468"/>
      <c r="FG468"/>
      <c r="FH468"/>
      <c r="FI468"/>
      <c r="FJ468"/>
      <c r="FK468"/>
      <c r="FL468"/>
      <c r="FM468"/>
      <c r="FN468"/>
      <c r="FO468"/>
      <c r="FP468"/>
      <c r="FQ468"/>
      <c r="FR468"/>
      <c r="FS468"/>
      <c r="FT468"/>
      <c r="FU468"/>
      <c r="FV468"/>
      <c r="FW468"/>
      <c r="FX468"/>
      <c r="FY468"/>
      <c r="FZ468"/>
      <c r="GA468"/>
      <c r="GB468"/>
      <c r="GC468"/>
      <c r="GD468"/>
      <c r="GE468"/>
      <c r="GF468"/>
      <c r="GG468"/>
      <c r="GH468"/>
      <c r="GI468"/>
      <c r="GJ468"/>
      <c r="GK468"/>
      <c r="GL468"/>
      <c r="GM468"/>
      <c r="GN468"/>
      <c r="GO468"/>
      <c r="GP468"/>
      <c r="GQ468"/>
      <c r="GR468"/>
      <c r="GS468"/>
      <c r="GT468"/>
      <c r="GU468"/>
      <c r="GV468"/>
      <c r="GW468"/>
      <c r="GX468"/>
      <c r="GY468"/>
      <c r="GZ468"/>
      <c r="HA468"/>
      <c r="HB468"/>
      <c r="HC468"/>
      <c r="HD468"/>
      <c r="HE468"/>
      <c r="HF468"/>
      <c r="HG468"/>
      <c r="HH468"/>
      <c r="HI468"/>
      <c r="HJ468"/>
      <c r="HK468"/>
      <c r="HL468"/>
      <c r="HM468"/>
      <c r="HN468"/>
      <c r="HO468"/>
      <c r="HP468"/>
      <c r="HQ468"/>
      <c r="HR468"/>
      <c r="HS468"/>
      <c r="HT468"/>
      <c r="HU468"/>
      <c r="HV468"/>
      <c r="HW468"/>
      <c r="HX468"/>
      <c r="HY468"/>
      <c r="HZ468"/>
      <c r="IA468"/>
      <c r="IB468"/>
      <c r="IC468"/>
      <c r="ID468"/>
      <c r="IE468"/>
      <c r="IF468"/>
      <c r="IG468"/>
      <c r="IH468"/>
      <c r="II468"/>
      <c r="IJ468"/>
      <c r="IK468"/>
      <c r="IL468"/>
      <c r="IM468"/>
      <c r="IN468"/>
      <c r="IO468"/>
      <c r="IP468"/>
      <c r="IQ468"/>
      <c r="IR468"/>
      <c r="IS468"/>
      <c r="IT468"/>
      <c r="IU468"/>
      <c r="IV468"/>
      <c r="IW468"/>
      <c r="IX468"/>
      <c r="IY468"/>
      <c r="IZ468"/>
      <c r="JA468"/>
      <c r="JB468"/>
      <c r="JC468"/>
      <c r="JD468"/>
      <c r="JE468"/>
      <c r="JF468"/>
      <c r="JG468"/>
      <c r="JH468"/>
      <c r="JI468"/>
      <c r="JJ468"/>
      <c r="JK468"/>
      <c r="JL468"/>
      <c r="JM468"/>
      <c r="JN468"/>
      <c r="JO468"/>
      <c r="JP468"/>
      <c r="JQ468"/>
      <c r="JR468"/>
      <c r="JS468"/>
      <c r="JT468"/>
      <c r="JU468"/>
      <c r="JV468"/>
      <c r="JW468"/>
      <c r="JX468"/>
      <c r="JY468"/>
      <c r="JZ468"/>
      <c r="KA468"/>
      <c r="KB468"/>
      <c r="KC468"/>
      <c r="KD468"/>
      <c r="KE468"/>
      <c r="KF468"/>
      <c r="KG468"/>
      <c r="KH468"/>
      <c r="KI468"/>
      <c r="KJ468"/>
      <c r="KK468"/>
      <c r="KL468"/>
      <c r="KM468"/>
      <c r="KN468"/>
      <c r="KO468"/>
      <c r="KP468"/>
      <c r="KQ468"/>
      <c r="KR468"/>
      <c r="KS468"/>
    </row>
    <row r="469" spans="2:305" hidden="1" x14ac:dyDescent="0.35">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c r="AL469"/>
      <c r="AM469"/>
      <c r="AN469"/>
      <c r="AO469"/>
      <c r="AP469"/>
      <c r="AQ469"/>
      <c r="AR469"/>
      <c r="AS469"/>
      <c r="AT469"/>
      <c r="AU469"/>
      <c r="AV469"/>
      <c r="AW469"/>
      <c r="AX469"/>
      <c r="AY469"/>
      <c r="AZ469"/>
      <c r="BA469"/>
      <c r="BB469"/>
      <c r="BC469"/>
      <c r="BD469"/>
      <c r="BE469"/>
      <c r="BF469"/>
      <c r="BG469"/>
      <c r="BH469"/>
      <c r="BI469"/>
      <c r="BJ469"/>
      <c r="BK469"/>
      <c r="BL469"/>
      <c r="BM469"/>
      <c r="BN469"/>
      <c r="BO469"/>
      <c r="BP469"/>
      <c r="BQ469"/>
      <c r="BR469"/>
      <c r="BS469"/>
      <c r="BT469"/>
      <c r="BU469"/>
      <c r="BV469"/>
      <c r="BW469"/>
      <c r="BX469"/>
      <c r="BY469"/>
      <c r="BZ469"/>
      <c r="CA469"/>
      <c r="CB469"/>
      <c r="CC469"/>
      <c r="CD469"/>
      <c r="CE469"/>
      <c r="CF469"/>
      <c r="CG469"/>
      <c r="CH469"/>
      <c r="CI469"/>
      <c r="CJ469"/>
      <c r="CK469"/>
      <c r="CL469"/>
      <c r="CM469"/>
      <c r="CN469"/>
      <c r="CO469"/>
      <c r="CP469"/>
      <c r="CQ469"/>
      <c r="CR469"/>
      <c r="CS469"/>
      <c r="CT469"/>
      <c r="CU469"/>
      <c r="CV469"/>
      <c r="CW469"/>
      <c r="CX469"/>
      <c r="CY469"/>
      <c r="CZ469"/>
      <c r="DA469"/>
      <c r="DB469"/>
      <c r="DC469"/>
      <c r="DD469"/>
      <c r="DE469"/>
      <c r="DF469"/>
      <c r="DG469"/>
      <c r="DH469"/>
      <c r="DI469"/>
      <c r="DJ469"/>
      <c r="DK469"/>
      <c r="DL469"/>
      <c r="DM469"/>
      <c r="DN469"/>
      <c r="DO469"/>
      <c r="DP469"/>
      <c r="DQ469"/>
      <c r="DR469"/>
      <c r="DS469"/>
      <c r="DT469"/>
      <c r="DU469"/>
      <c r="DV469"/>
      <c r="DW469"/>
      <c r="DX469"/>
      <c r="DY469"/>
      <c r="DZ469"/>
      <c r="EA469"/>
      <c r="EB469"/>
      <c r="EC469"/>
      <c r="ED469"/>
      <c r="EE469"/>
      <c r="EF469"/>
      <c r="EG469"/>
      <c r="EH469"/>
      <c r="EI469"/>
      <c r="EJ469"/>
      <c r="EK469"/>
      <c r="EL469"/>
      <c r="EM469"/>
      <c r="EN469"/>
      <c r="EO469"/>
      <c r="EP469"/>
      <c r="EQ469"/>
      <c r="ER469"/>
      <c r="ES469"/>
      <c r="ET469"/>
      <c r="EU469"/>
      <c r="EV469"/>
      <c r="EW469"/>
      <c r="EX469"/>
      <c r="EY469"/>
      <c r="EZ469"/>
      <c r="FA469"/>
      <c r="FB469"/>
      <c r="FC469"/>
      <c r="FD469"/>
      <c r="FE469"/>
      <c r="FF469"/>
      <c r="FG469"/>
      <c r="FH469"/>
      <c r="FI469"/>
      <c r="FJ469"/>
      <c r="FK469"/>
      <c r="FL469"/>
      <c r="FM469"/>
      <c r="FN469"/>
      <c r="FO469"/>
      <c r="FP469"/>
      <c r="FQ469"/>
      <c r="FR469"/>
      <c r="FS469"/>
      <c r="FT469"/>
      <c r="FU469"/>
      <c r="FV469"/>
      <c r="FW469"/>
      <c r="FX469"/>
      <c r="FY469"/>
      <c r="FZ469"/>
      <c r="GA469"/>
      <c r="GB469"/>
      <c r="GC469"/>
      <c r="GD469"/>
      <c r="GE469"/>
      <c r="GF469"/>
      <c r="GG469"/>
      <c r="GH469"/>
      <c r="GI469"/>
      <c r="GJ469"/>
      <c r="GK469"/>
      <c r="GL469"/>
      <c r="GM469"/>
      <c r="GN469"/>
      <c r="GO469"/>
      <c r="GP469"/>
      <c r="GQ469"/>
      <c r="GR469"/>
      <c r="GS469"/>
      <c r="GT469"/>
      <c r="GU469"/>
      <c r="GV469"/>
      <c r="GW469"/>
      <c r="GX469"/>
      <c r="GY469"/>
      <c r="GZ469"/>
      <c r="HA469"/>
      <c r="HB469"/>
      <c r="HC469"/>
      <c r="HD469"/>
      <c r="HE469"/>
      <c r="HF469"/>
      <c r="HG469"/>
      <c r="HH469"/>
      <c r="HI469"/>
      <c r="HJ469"/>
      <c r="HK469"/>
      <c r="HL469"/>
      <c r="HM469"/>
      <c r="HN469"/>
      <c r="HO469"/>
      <c r="HP469"/>
      <c r="HQ469"/>
      <c r="HR469"/>
      <c r="HS469"/>
      <c r="HT469"/>
      <c r="HU469"/>
      <c r="HV469"/>
      <c r="HW469"/>
      <c r="HX469"/>
      <c r="HY469"/>
      <c r="HZ469"/>
      <c r="IA469"/>
      <c r="IB469"/>
      <c r="IC469"/>
      <c r="ID469"/>
      <c r="IE469"/>
      <c r="IF469"/>
      <c r="IG469"/>
      <c r="IH469"/>
      <c r="II469"/>
      <c r="IJ469"/>
      <c r="IK469"/>
      <c r="IL469"/>
      <c r="IM469"/>
      <c r="IN469"/>
      <c r="IO469"/>
      <c r="IP469"/>
      <c r="IQ469"/>
      <c r="IR469"/>
      <c r="IS469"/>
      <c r="IT469"/>
      <c r="IU469"/>
      <c r="IV469"/>
      <c r="IW469"/>
      <c r="IX469"/>
      <c r="IY469"/>
      <c r="IZ469"/>
      <c r="JA469"/>
      <c r="JB469"/>
      <c r="JC469"/>
      <c r="JD469"/>
      <c r="JE469"/>
      <c r="JF469"/>
      <c r="JG469"/>
      <c r="JH469"/>
      <c r="JI469"/>
      <c r="JJ469"/>
      <c r="JK469"/>
      <c r="JL469"/>
      <c r="JM469"/>
      <c r="JN469"/>
      <c r="JO469"/>
      <c r="JP469"/>
      <c r="JQ469"/>
      <c r="JR469"/>
      <c r="JS469"/>
      <c r="JT469"/>
      <c r="JU469"/>
      <c r="JV469"/>
      <c r="JW469"/>
      <c r="JX469"/>
      <c r="JY469"/>
      <c r="JZ469"/>
      <c r="KA469"/>
      <c r="KB469"/>
      <c r="KC469"/>
      <c r="KD469"/>
      <c r="KE469"/>
      <c r="KF469"/>
      <c r="KG469"/>
      <c r="KH469"/>
      <c r="KI469"/>
      <c r="KJ469"/>
      <c r="KK469"/>
      <c r="KL469"/>
      <c r="KM469"/>
      <c r="KN469"/>
      <c r="KO469"/>
      <c r="KP469"/>
      <c r="KQ469"/>
      <c r="KR469"/>
      <c r="KS469"/>
    </row>
    <row r="470" spans="2:305" hidden="1" x14ac:dyDescent="0.35">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c r="AL470"/>
      <c r="AM470"/>
      <c r="AN470"/>
      <c r="AO470"/>
      <c r="AP470"/>
      <c r="AQ470"/>
      <c r="AR470"/>
      <c r="AS470"/>
      <c r="AT470"/>
      <c r="AU470"/>
      <c r="AV470"/>
      <c r="AW470"/>
      <c r="AX470"/>
      <c r="AY470"/>
      <c r="AZ470"/>
      <c r="BA470"/>
      <c r="BB470"/>
      <c r="BC470"/>
      <c r="BD470"/>
      <c r="BE470"/>
      <c r="BF470"/>
      <c r="BG470"/>
      <c r="BH470"/>
      <c r="BI470"/>
      <c r="BJ470"/>
      <c r="BK470"/>
      <c r="BL470"/>
      <c r="BM470"/>
      <c r="BN470"/>
      <c r="BO470"/>
      <c r="BP470"/>
      <c r="BQ470"/>
      <c r="BR470"/>
      <c r="BS470"/>
      <c r="BT470"/>
      <c r="BU470"/>
      <c r="BV470"/>
      <c r="BW470"/>
      <c r="BX470"/>
      <c r="BY470"/>
      <c r="BZ470"/>
      <c r="CA470"/>
      <c r="CB470"/>
      <c r="CC470"/>
      <c r="CD470"/>
      <c r="CE470"/>
      <c r="CF470"/>
      <c r="CG470"/>
      <c r="CH470"/>
      <c r="CI470"/>
      <c r="CJ470"/>
      <c r="CK470"/>
      <c r="CL470"/>
      <c r="CM470"/>
      <c r="CN470"/>
      <c r="CO470"/>
      <c r="CP470"/>
      <c r="CQ470"/>
      <c r="CR470"/>
      <c r="CS470"/>
      <c r="CT470"/>
      <c r="CU470"/>
      <c r="CV470"/>
      <c r="CW470"/>
      <c r="CX470"/>
      <c r="CY470"/>
      <c r="CZ470"/>
      <c r="DA470"/>
      <c r="DB470"/>
      <c r="DC470"/>
      <c r="DD470"/>
      <c r="DE470"/>
      <c r="DF470"/>
      <c r="DG470"/>
      <c r="DH470"/>
      <c r="DI470"/>
      <c r="DJ470"/>
      <c r="DK470"/>
      <c r="DL470"/>
      <c r="DM470"/>
      <c r="DN470"/>
      <c r="DO470"/>
      <c r="DP470"/>
      <c r="DQ470"/>
      <c r="DR470"/>
      <c r="DS470"/>
      <c r="DT470"/>
      <c r="DU470"/>
      <c r="DV470"/>
      <c r="DW470"/>
      <c r="DX470"/>
      <c r="DY470"/>
      <c r="DZ470"/>
      <c r="EA470"/>
      <c r="EB470"/>
      <c r="EC470"/>
      <c r="ED470"/>
      <c r="EE470"/>
      <c r="EF470"/>
      <c r="EG470"/>
      <c r="EH470"/>
      <c r="EI470"/>
      <c r="EJ470"/>
      <c r="EK470"/>
      <c r="EL470"/>
      <c r="EM470"/>
      <c r="EN470"/>
      <c r="EO470"/>
      <c r="EP470"/>
      <c r="EQ470"/>
      <c r="ER470"/>
      <c r="ES470"/>
      <c r="ET470"/>
      <c r="EU470"/>
      <c r="EV470"/>
      <c r="EW470"/>
      <c r="EX470"/>
      <c r="EY470"/>
      <c r="EZ470"/>
      <c r="FA470"/>
      <c r="FB470"/>
      <c r="FC470"/>
      <c r="FD470"/>
      <c r="FE470"/>
      <c r="FF470"/>
      <c r="FG470"/>
      <c r="FH470"/>
      <c r="FI470"/>
      <c r="FJ470"/>
      <c r="FK470"/>
      <c r="FL470"/>
      <c r="FM470"/>
      <c r="FN470"/>
      <c r="FO470"/>
      <c r="FP470"/>
      <c r="FQ470"/>
      <c r="FR470"/>
      <c r="FS470"/>
      <c r="FT470"/>
      <c r="FU470"/>
      <c r="FV470"/>
      <c r="FW470"/>
      <c r="FX470"/>
      <c r="FY470"/>
      <c r="FZ470"/>
      <c r="GA470"/>
      <c r="GB470"/>
      <c r="GC470"/>
      <c r="GD470"/>
      <c r="GE470"/>
      <c r="GF470"/>
      <c r="GG470"/>
      <c r="GH470"/>
      <c r="GI470"/>
      <c r="GJ470"/>
      <c r="GK470"/>
      <c r="GL470"/>
      <c r="GM470"/>
      <c r="GN470"/>
      <c r="GO470"/>
      <c r="GP470"/>
      <c r="GQ470"/>
      <c r="GR470"/>
      <c r="GS470"/>
      <c r="GT470"/>
      <c r="GU470"/>
      <c r="GV470"/>
      <c r="GW470"/>
      <c r="GX470"/>
      <c r="GY470"/>
      <c r="GZ470"/>
      <c r="HA470"/>
      <c r="HB470"/>
      <c r="HC470"/>
      <c r="HD470"/>
      <c r="HE470"/>
      <c r="HF470"/>
      <c r="HG470"/>
      <c r="HH470"/>
      <c r="HI470"/>
      <c r="HJ470"/>
      <c r="HK470"/>
      <c r="HL470"/>
      <c r="HM470"/>
      <c r="HN470"/>
      <c r="HO470"/>
      <c r="HP470"/>
      <c r="HQ470"/>
      <c r="HR470"/>
      <c r="HS470"/>
      <c r="HT470"/>
      <c r="HU470"/>
      <c r="HV470"/>
      <c r="HW470"/>
      <c r="HX470"/>
      <c r="HY470"/>
      <c r="HZ470"/>
      <c r="IA470"/>
      <c r="IB470"/>
      <c r="IC470"/>
      <c r="ID470"/>
      <c r="IE470"/>
      <c r="IF470"/>
      <c r="IG470"/>
      <c r="IH470"/>
      <c r="II470"/>
      <c r="IJ470"/>
      <c r="IK470"/>
      <c r="IL470"/>
      <c r="IM470"/>
      <c r="IN470"/>
      <c r="IO470"/>
      <c r="IP470"/>
      <c r="IQ470"/>
      <c r="IR470"/>
      <c r="IS470"/>
      <c r="IT470"/>
      <c r="IU470"/>
      <c r="IV470"/>
      <c r="IW470"/>
      <c r="IX470"/>
      <c r="IY470"/>
      <c r="IZ470"/>
      <c r="JA470"/>
      <c r="JB470"/>
      <c r="JC470"/>
      <c r="JD470"/>
      <c r="JE470"/>
      <c r="JF470"/>
      <c r="JG470"/>
      <c r="JH470"/>
      <c r="JI470"/>
      <c r="JJ470"/>
      <c r="JK470"/>
      <c r="JL470"/>
      <c r="JM470"/>
      <c r="JN470"/>
      <c r="JO470"/>
      <c r="JP470"/>
      <c r="JQ470"/>
      <c r="JR470"/>
      <c r="JS470"/>
      <c r="JT470"/>
      <c r="JU470"/>
      <c r="JV470"/>
      <c r="JW470"/>
      <c r="JX470"/>
      <c r="JY470"/>
      <c r="JZ470"/>
      <c r="KA470"/>
      <c r="KB470"/>
      <c r="KC470"/>
      <c r="KD470"/>
      <c r="KE470"/>
      <c r="KF470"/>
      <c r="KG470"/>
      <c r="KH470"/>
      <c r="KI470"/>
      <c r="KJ470"/>
      <c r="KK470"/>
      <c r="KL470"/>
      <c r="KM470"/>
      <c r="KN470"/>
      <c r="KO470"/>
      <c r="KP470"/>
      <c r="KQ470"/>
      <c r="KR470"/>
      <c r="KS470"/>
    </row>
    <row r="471" spans="2:305" hidden="1" x14ac:dyDescent="0.35">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c r="AL471"/>
      <c r="AM471"/>
      <c r="AN471"/>
      <c r="AO471"/>
      <c r="AP471"/>
      <c r="AQ471"/>
      <c r="AR471"/>
      <c r="AS471"/>
      <c r="AT471"/>
      <c r="AU471"/>
      <c r="AV471"/>
      <c r="AW471"/>
      <c r="AX471"/>
      <c r="AY471"/>
      <c r="AZ471"/>
      <c r="BA471"/>
      <c r="BB471"/>
      <c r="BC471"/>
      <c r="BD471"/>
      <c r="BE471"/>
      <c r="BF471"/>
      <c r="BG471"/>
      <c r="BH471"/>
      <c r="BI471"/>
      <c r="BJ471"/>
      <c r="BK471"/>
      <c r="BL471"/>
      <c r="BM471"/>
      <c r="BN471"/>
      <c r="BO471"/>
      <c r="BP471"/>
      <c r="BQ471"/>
      <c r="BR471"/>
      <c r="BS471"/>
      <c r="BT471"/>
      <c r="BU471"/>
      <c r="BV471"/>
      <c r="BW471"/>
      <c r="BX471"/>
      <c r="BY471"/>
      <c r="BZ471"/>
      <c r="CA471"/>
      <c r="CB471"/>
      <c r="CC471"/>
      <c r="CD471"/>
      <c r="CE471"/>
      <c r="CF471"/>
      <c r="CG471"/>
      <c r="CH471"/>
      <c r="CI471"/>
      <c r="CJ471"/>
      <c r="CK471"/>
      <c r="CL471"/>
      <c r="CM471"/>
      <c r="CN471"/>
      <c r="CO471"/>
      <c r="CP471"/>
      <c r="CQ471"/>
      <c r="CR471"/>
      <c r="CS471"/>
      <c r="CT471"/>
      <c r="CU471"/>
      <c r="CV471"/>
      <c r="CW471"/>
      <c r="CX471"/>
      <c r="CY471"/>
      <c r="CZ471"/>
      <c r="DA471"/>
      <c r="DB471"/>
      <c r="DC471"/>
      <c r="DD471"/>
      <c r="DE471"/>
      <c r="DF471"/>
      <c r="DG471"/>
      <c r="DH471"/>
      <c r="DI471"/>
      <c r="DJ471"/>
      <c r="DK471"/>
      <c r="DL471"/>
      <c r="DM471"/>
      <c r="DN471"/>
      <c r="DO471"/>
      <c r="DP471"/>
      <c r="DQ471"/>
      <c r="DR471"/>
      <c r="DS471"/>
      <c r="DT471"/>
      <c r="DU471"/>
      <c r="DV471"/>
      <c r="DW471"/>
      <c r="DX471"/>
      <c r="DY471"/>
      <c r="DZ471"/>
      <c r="EA471"/>
      <c r="EB471"/>
      <c r="EC471"/>
      <c r="ED471"/>
      <c r="EE471"/>
      <c r="EF471"/>
      <c r="EG471"/>
      <c r="EH471"/>
      <c r="EI471"/>
      <c r="EJ471"/>
      <c r="EK471"/>
      <c r="EL471"/>
      <c r="EM471"/>
      <c r="EN471"/>
      <c r="EO471"/>
      <c r="EP471"/>
      <c r="EQ471"/>
      <c r="ER471"/>
      <c r="ES471"/>
      <c r="ET471"/>
      <c r="EU471"/>
      <c r="EV471"/>
      <c r="EW471"/>
      <c r="EX471"/>
      <c r="EY471"/>
      <c r="EZ471"/>
      <c r="FA471"/>
      <c r="FB471"/>
      <c r="FC471"/>
      <c r="FD471"/>
      <c r="FE471"/>
      <c r="FF471"/>
      <c r="FG471"/>
      <c r="FH471"/>
      <c r="FI471"/>
      <c r="FJ471"/>
      <c r="FK471"/>
      <c r="FL471"/>
      <c r="FM471"/>
      <c r="FN471"/>
      <c r="FO471"/>
      <c r="FP471"/>
      <c r="FQ471"/>
      <c r="FR471"/>
      <c r="FS471"/>
      <c r="FT471"/>
      <c r="FU471"/>
      <c r="FV471"/>
      <c r="FW471"/>
      <c r="FX471"/>
      <c r="FY471"/>
      <c r="FZ471"/>
      <c r="GA471"/>
      <c r="GB471"/>
      <c r="GC471"/>
      <c r="GD471"/>
      <c r="GE471"/>
      <c r="GF471"/>
      <c r="GG471"/>
      <c r="GH471"/>
      <c r="GI471"/>
      <c r="GJ471"/>
      <c r="GK471"/>
      <c r="GL471"/>
      <c r="GM471"/>
      <c r="GN471"/>
      <c r="GO471"/>
      <c r="GP471"/>
      <c r="GQ471"/>
      <c r="GR471"/>
      <c r="GS471"/>
      <c r="GT471"/>
      <c r="GU471"/>
      <c r="GV471"/>
      <c r="GW471"/>
      <c r="GX471"/>
      <c r="GY471"/>
      <c r="GZ471"/>
      <c r="HA471"/>
      <c r="HB471"/>
      <c r="HC471"/>
      <c r="HD471"/>
      <c r="HE471"/>
      <c r="HF471"/>
      <c r="HG471"/>
      <c r="HH471"/>
      <c r="HI471"/>
      <c r="HJ471"/>
      <c r="HK471"/>
      <c r="HL471"/>
      <c r="HM471"/>
      <c r="HN471"/>
      <c r="HO471"/>
      <c r="HP471"/>
      <c r="HQ471"/>
      <c r="HR471"/>
      <c r="HS471"/>
      <c r="HT471"/>
      <c r="HU471"/>
      <c r="HV471"/>
      <c r="HW471"/>
      <c r="HX471"/>
      <c r="HY471"/>
      <c r="HZ471"/>
      <c r="IA471"/>
      <c r="IB471"/>
      <c r="IC471"/>
      <c r="ID471"/>
      <c r="IE471"/>
      <c r="IF471"/>
      <c r="IG471"/>
      <c r="IH471"/>
      <c r="II471"/>
      <c r="IJ471"/>
      <c r="IK471"/>
      <c r="IL471"/>
      <c r="IM471"/>
      <c r="IN471"/>
      <c r="IO471"/>
      <c r="IP471"/>
      <c r="IQ471"/>
      <c r="IR471"/>
      <c r="IS471"/>
      <c r="IT471"/>
      <c r="IU471"/>
      <c r="IV471"/>
      <c r="IW471"/>
      <c r="IX471"/>
      <c r="IY471"/>
      <c r="IZ471"/>
      <c r="JA471"/>
      <c r="JB471"/>
      <c r="JC471"/>
      <c r="JD471"/>
      <c r="JE471"/>
      <c r="JF471"/>
      <c r="JG471"/>
      <c r="JH471"/>
      <c r="JI471"/>
      <c r="JJ471"/>
      <c r="JK471"/>
      <c r="JL471"/>
      <c r="JM471"/>
      <c r="JN471"/>
      <c r="JO471"/>
      <c r="JP471"/>
      <c r="JQ471"/>
      <c r="JR471"/>
      <c r="JS471"/>
      <c r="JT471"/>
      <c r="JU471"/>
      <c r="JV471"/>
      <c r="JW471"/>
      <c r="JX471"/>
      <c r="JY471"/>
      <c r="JZ471"/>
      <c r="KA471"/>
      <c r="KB471"/>
      <c r="KC471"/>
      <c r="KD471"/>
      <c r="KE471"/>
      <c r="KF471"/>
      <c r="KG471"/>
      <c r="KH471"/>
      <c r="KI471"/>
      <c r="KJ471"/>
      <c r="KK471"/>
      <c r="KL471"/>
      <c r="KM471"/>
      <c r="KN471"/>
      <c r="KO471"/>
      <c r="KP471"/>
      <c r="KQ471"/>
      <c r="KR471"/>
      <c r="KS471"/>
    </row>
    <row r="472" spans="2:305" hidden="1" x14ac:dyDescent="0.35">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c r="AL472"/>
      <c r="AM472"/>
      <c r="AN472"/>
      <c r="AO472"/>
      <c r="AP472"/>
      <c r="AQ472"/>
      <c r="AR472"/>
      <c r="AS472"/>
      <c r="AT472"/>
      <c r="AU472"/>
      <c r="AV472"/>
      <c r="AW472"/>
      <c r="AX472"/>
      <c r="AY472"/>
      <c r="AZ472"/>
      <c r="BA472"/>
      <c r="BB472"/>
      <c r="BC472"/>
      <c r="BD472"/>
      <c r="BE472"/>
      <c r="BF472"/>
      <c r="BG472"/>
      <c r="BH472"/>
      <c r="BI472"/>
      <c r="BJ472"/>
      <c r="BK472"/>
      <c r="BL472"/>
      <c r="BM472"/>
      <c r="BN472"/>
      <c r="BO472"/>
      <c r="BP472"/>
      <c r="BQ472"/>
      <c r="BR472"/>
      <c r="BS472"/>
      <c r="BT472"/>
      <c r="BU472"/>
      <c r="BV472"/>
      <c r="BW472"/>
      <c r="BX472"/>
      <c r="BY472"/>
      <c r="BZ472"/>
      <c r="CA472"/>
      <c r="CB472"/>
      <c r="CC472"/>
      <c r="CD472"/>
      <c r="CE472"/>
      <c r="CF472"/>
      <c r="CG472"/>
      <c r="CH472"/>
      <c r="CI472"/>
      <c r="CJ472"/>
      <c r="CK472"/>
      <c r="CL472"/>
      <c r="CM472"/>
      <c r="CN472"/>
      <c r="CO472"/>
      <c r="CP472"/>
      <c r="CQ472"/>
      <c r="CR472"/>
      <c r="CS472"/>
      <c r="CT472"/>
      <c r="CU472"/>
      <c r="CV472"/>
      <c r="CW472"/>
      <c r="CX472"/>
      <c r="CY472"/>
      <c r="CZ472"/>
      <c r="DA472"/>
      <c r="DB472"/>
      <c r="DC472"/>
      <c r="DD472"/>
      <c r="DE472"/>
      <c r="DF472"/>
      <c r="DG472"/>
      <c r="DH472"/>
      <c r="DI472"/>
      <c r="DJ472"/>
      <c r="DK472"/>
      <c r="DL472"/>
      <c r="DM472"/>
      <c r="DN472"/>
      <c r="DO472"/>
      <c r="DP472"/>
      <c r="DQ472"/>
      <c r="DR472"/>
      <c r="DS472"/>
      <c r="DT472"/>
      <c r="DU472"/>
      <c r="DV472"/>
      <c r="DW472"/>
      <c r="DX472"/>
      <c r="DY472"/>
      <c r="DZ472"/>
      <c r="EA472"/>
      <c r="EB472"/>
      <c r="EC472"/>
      <c r="ED472"/>
      <c r="EE472"/>
      <c r="EF472"/>
      <c r="EG472"/>
      <c r="EH472"/>
      <c r="EI472"/>
      <c r="EJ472"/>
      <c r="EK472"/>
      <c r="EL472"/>
      <c r="EM472"/>
      <c r="EN472"/>
      <c r="EO472"/>
      <c r="EP472"/>
      <c r="EQ472"/>
      <c r="ER472"/>
      <c r="ES472"/>
      <c r="ET472"/>
      <c r="EU472"/>
      <c r="EV472"/>
      <c r="EW472"/>
      <c r="EX472"/>
      <c r="EY472"/>
      <c r="EZ472"/>
      <c r="FA472"/>
      <c r="FB472"/>
      <c r="FC472"/>
      <c r="FD472"/>
      <c r="FE472"/>
      <c r="FF472"/>
      <c r="FG472"/>
      <c r="FH472"/>
      <c r="FI472"/>
      <c r="FJ472"/>
      <c r="FK472"/>
      <c r="FL472"/>
      <c r="FM472"/>
      <c r="FN472"/>
      <c r="FO472"/>
      <c r="FP472"/>
      <c r="FQ472"/>
      <c r="FR472"/>
      <c r="FS472"/>
      <c r="FT472"/>
      <c r="FU472"/>
      <c r="FV472"/>
      <c r="FW472"/>
      <c r="FX472"/>
      <c r="FY472"/>
      <c r="FZ472"/>
      <c r="GA472"/>
      <c r="GB472"/>
      <c r="GC472"/>
      <c r="GD472"/>
      <c r="GE472"/>
      <c r="GF472"/>
      <c r="GG472"/>
      <c r="GH472"/>
      <c r="GI472"/>
      <c r="GJ472"/>
      <c r="GK472"/>
      <c r="GL472"/>
      <c r="GM472"/>
      <c r="GN472"/>
      <c r="GO472"/>
      <c r="GP472"/>
      <c r="GQ472"/>
      <c r="GR472"/>
      <c r="GS472"/>
      <c r="GT472"/>
      <c r="GU472"/>
      <c r="GV472"/>
      <c r="GW472"/>
      <c r="GX472"/>
      <c r="GY472"/>
      <c r="GZ472"/>
      <c r="HA472"/>
      <c r="HB472"/>
      <c r="HC472"/>
      <c r="HD472"/>
      <c r="HE472"/>
      <c r="HF472"/>
      <c r="HG472"/>
      <c r="HH472"/>
      <c r="HI472"/>
      <c r="HJ472"/>
      <c r="HK472"/>
      <c r="HL472"/>
      <c r="HM472"/>
      <c r="HN472"/>
      <c r="HO472"/>
      <c r="HP472"/>
      <c r="HQ472"/>
      <c r="HR472"/>
      <c r="HS472"/>
      <c r="HT472"/>
      <c r="HU472"/>
      <c r="HV472"/>
      <c r="HW472"/>
      <c r="HX472"/>
      <c r="HY472"/>
      <c r="HZ472"/>
      <c r="IA472"/>
      <c r="IB472"/>
      <c r="IC472"/>
      <c r="ID472"/>
      <c r="IE472"/>
      <c r="IF472"/>
      <c r="IG472"/>
      <c r="IH472"/>
      <c r="II472"/>
      <c r="IJ472"/>
      <c r="IK472"/>
      <c r="IL472"/>
      <c r="IM472"/>
      <c r="IN472"/>
      <c r="IO472"/>
      <c r="IP472"/>
      <c r="IQ472"/>
      <c r="IR472"/>
      <c r="IS472"/>
      <c r="IT472"/>
      <c r="IU472"/>
      <c r="IV472"/>
      <c r="IW472"/>
      <c r="IX472"/>
      <c r="IY472"/>
      <c r="IZ472"/>
      <c r="JA472"/>
      <c r="JB472"/>
      <c r="JC472"/>
      <c r="JD472"/>
      <c r="JE472"/>
      <c r="JF472"/>
      <c r="JG472"/>
      <c r="JH472"/>
      <c r="JI472"/>
      <c r="JJ472"/>
      <c r="JK472"/>
      <c r="JL472"/>
      <c r="JM472"/>
      <c r="JN472"/>
      <c r="JO472"/>
      <c r="JP472"/>
      <c r="JQ472"/>
      <c r="JR472"/>
      <c r="JS472"/>
      <c r="JT472"/>
      <c r="JU472"/>
      <c r="JV472"/>
      <c r="JW472"/>
      <c r="JX472"/>
      <c r="JY472"/>
      <c r="JZ472"/>
      <c r="KA472"/>
      <c r="KB472"/>
      <c r="KC472"/>
      <c r="KD472"/>
      <c r="KE472"/>
      <c r="KF472"/>
      <c r="KG472"/>
      <c r="KH472"/>
      <c r="KI472"/>
      <c r="KJ472"/>
      <c r="KK472"/>
      <c r="KL472"/>
      <c r="KM472"/>
      <c r="KN472"/>
      <c r="KO472"/>
      <c r="KP472"/>
      <c r="KQ472"/>
      <c r="KR472"/>
      <c r="KS472"/>
    </row>
    <row r="473" spans="2:305" hidden="1" x14ac:dyDescent="0.35">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c r="AL473"/>
      <c r="AM473"/>
      <c r="AN473"/>
      <c r="AO473"/>
      <c r="AP473"/>
      <c r="AQ473"/>
      <c r="AR473"/>
      <c r="AS473"/>
      <c r="AT473"/>
      <c r="AU473"/>
      <c r="AV473"/>
      <c r="AW473"/>
      <c r="AX473"/>
      <c r="AY473"/>
      <c r="AZ473"/>
      <c r="BA473"/>
      <c r="BB473"/>
      <c r="BC473"/>
      <c r="BD473"/>
      <c r="BE473"/>
      <c r="BF473"/>
      <c r="BG473"/>
      <c r="BH473"/>
      <c r="BI473"/>
      <c r="BJ473"/>
      <c r="BK473"/>
      <c r="BL473"/>
      <c r="BM473"/>
      <c r="BN473"/>
      <c r="BO473"/>
      <c r="BP473"/>
      <c r="BQ473"/>
      <c r="BR473"/>
      <c r="BS473"/>
      <c r="BT473"/>
      <c r="BU473"/>
      <c r="BV473"/>
      <c r="BW473"/>
      <c r="BX473"/>
      <c r="BY473"/>
      <c r="BZ473"/>
      <c r="CA473"/>
      <c r="CB473"/>
      <c r="CC473"/>
      <c r="CD473"/>
      <c r="CE473"/>
      <c r="CF473"/>
      <c r="CG473"/>
      <c r="CH473"/>
      <c r="CI473"/>
      <c r="CJ473"/>
      <c r="CK473"/>
      <c r="CL473"/>
      <c r="CM473"/>
      <c r="CN473"/>
      <c r="CO473"/>
      <c r="CP473"/>
      <c r="CQ473"/>
      <c r="CR473"/>
      <c r="CS473"/>
      <c r="CT473"/>
      <c r="CU473"/>
      <c r="CV473"/>
      <c r="CW473"/>
      <c r="CX473"/>
      <c r="CY473"/>
      <c r="CZ473"/>
      <c r="DA473"/>
      <c r="DB473"/>
      <c r="DC473"/>
      <c r="DD473"/>
      <c r="DE473"/>
      <c r="DF473"/>
      <c r="DG473"/>
      <c r="DH473"/>
      <c r="DI473"/>
      <c r="DJ473"/>
      <c r="DK473"/>
      <c r="DL473"/>
      <c r="DM473"/>
      <c r="DN473"/>
      <c r="DO473"/>
      <c r="DP473"/>
      <c r="DQ473"/>
      <c r="DR473"/>
      <c r="DS473"/>
      <c r="DT473"/>
      <c r="DU473"/>
      <c r="DV473"/>
      <c r="DW473"/>
      <c r="DX473"/>
      <c r="DY473"/>
      <c r="DZ473"/>
      <c r="EA473"/>
      <c r="EB473"/>
      <c r="EC473"/>
      <c r="ED473"/>
      <c r="EE473"/>
      <c r="EF473"/>
      <c r="EG473"/>
      <c r="EH473"/>
      <c r="EI473"/>
      <c r="EJ473"/>
      <c r="EK473"/>
      <c r="EL473"/>
      <c r="EM473"/>
      <c r="EN473"/>
      <c r="EO473"/>
      <c r="EP473"/>
      <c r="EQ473"/>
      <c r="ER473"/>
      <c r="ES473"/>
      <c r="ET473"/>
      <c r="EU473"/>
      <c r="EV473"/>
      <c r="EW473"/>
      <c r="EX473"/>
      <c r="EY473"/>
      <c r="EZ473"/>
      <c r="FA473"/>
      <c r="FB473"/>
      <c r="FC473"/>
      <c r="FD473"/>
      <c r="FE473"/>
      <c r="FF473"/>
      <c r="FG473"/>
      <c r="FH473"/>
      <c r="FI473"/>
      <c r="FJ473"/>
      <c r="FK473"/>
      <c r="FL473"/>
      <c r="FM473"/>
      <c r="FN473"/>
      <c r="FO473"/>
      <c r="FP473"/>
      <c r="FQ473"/>
      <c r="FR473"/>
      <c r="FS473"/>
      <c r="FT473"/>
      <c r="FU473"/>
      <c r="FV473"/>
      <c r="FW473"/>
      <c r="FX473"/>
      <c r="FY473"/>
      <c r="FZ473"/>
      <c r="GA473"/>
      <c r="GB473"/>
      <c r="GC473"/>
      <c r="GD473"/>
      <c r="GE473"/>
      <c r="GF473"/>
      <c r="GG473"/>
      <c r="GH473"/>
      <c r="GI473"/>
      <c r="GJ473"/>
      <c r="GK473"/>
      <c r="GL473"/>
      <c r="GM473"/>
      <c r="GN473"/>
      <c r="GO473"/>
      <c r="GP473"/>
      <c r="GQ473"/>
      <c r="GR473"/>
      <c r="GS473"/>
      <c r="GT473"/>
      <c r="GU473"/>
      <c r="GV473"/>
      <c r="GW473"/>
      <c r="GX473"/>
      <c r="GY473"/>
      <c r="GZ473"/>
      <c r="HA473"/>
      <c r="HB473"/>
      <c r="HC473"/>
      <c r="HD473"/>
      <c r="HE473"/>
      <c r="HF473"/>
      <c r="HG473"/>
      <c r="HH473"/>
      <c r="HI473"/>
      <c r="HJ473"/>
      <c r="HK473"/>
      <c r="HL473"/>
      <c r="HM473"/>
      <c r="HN473"/>
      <c r="HO473"/>
      <c r="HP473"/>
      <c r="HQ473"/>
      <c r="HR473"/>
      <c r="HS473"/>
      <c r="HT473"/>
      <c r="HU473"/>
      <c r="HV473"/>
      <c r="HW473"/>
      <c r="HX473"/>
      <c r="HY473"/>
      <c r="HZ473"/>
      <c r="IA473"/>
      <c r="IB473"/>
      <c r="IC473"/>
      <c r="ID473"/>
      <c r="IE473"/>
      <c r="IF473"/>
      <c r="IG473"/>
      <c r="IH473"/>
      <c r="II473"/>
      <c r="IJ473"/>
      <c r="IK473"/>
      <c r="IL473"/>
      <c r="IM473"/>
      <c r="IN473"/>
      <c r="IO473"/>
      <c r="IP473"/>
      <c r="IQ473"/>
      <c r="IR473"/>
      <c r="IS473"/>
      <c r="IT473"/>
      <c r="IU473"/>
      <c r="IV473"/>
      <c r="IW473"/>
      <c r="IX473"/>
      <c r="IY473"/>
      <c r="IZ473"/>
      <c r="JA473"/>
      <c r="JB473"/>
      <c r="JC473"/>
      <c r="JD473"/>
      <c r="JE473"/>
      <c r="JF473"/>
      <c r="JG473"/>
      <c r="JH473"/>
      <c r="JI473"/>
      <c r="JJ473"/>
      <c r="JK473"/>
      <c r="JL473"/>
      <c r="JM473"/>
      <c r="JN473"/>
      <c r="JO473"/>
      <c r="JP473"/>
      <c r="JQ473"/>
      <c r="JR473"/>
      <c r="JS473"/>
      <c r="JT473"/>
      <c r="JU473"/>
      <c r="JV473"/>
      <c r="JW473"/>
      <c r="JX473"/>
      <c r="JY473"/>
      <c r="JZ473"/>
      <c r="KA473"/>
      <c r="KB473"/>
      <c r="KC473"/>
      <c r="KD473"/>
      <c r="KE473"/>
      <c r="KF473"/>
      <c r="KG473"/>
      <c r="KH473"/>
      <c r="KI473"/>
      <c r="KJ473"/>
      <c r="KK473"/>
      <c r="KL473"/>
      <c r="KM473"/>
      <c r="KN473"/>
      <c r="KO473"/>
      <c r="KP473"/>
      <c r="KQ473"/>
      <c r="KR473"/>
      <c r="KS473"/>
    </row>
    <row r="474" spans="2:305" hidden="1" x14ac:dyDescent="0.35">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c r="AL474"/>
      <c r="AM474"/>
      <c r="AN474"/>
      <c r="AO474"/>
      <c r="AP474"/>
      <c r="AQ474"/>
      <c r="AR474"/>
      <c r="AS474"/>
      <c r="AT474"/>
      <c r="AU474"/>
      <c r="AV474"/>
      <c r="AW474"/>
      <c r="AX474"/>
      <c r="AY474"/>
      <c r="AZ474"/>
      <c r="BA474"/>
      <c r="BB474"/>
      <c r="BC474"/>
      <c r="BD474"/>
      <c r="BE474"/>
      <c r="BF474"/>
      <c r="BG474"/>
      <c r="BH474"/>
      <c r="BI474"/>
      <c r="BJ474"/>
      <c r="BK474"/>
      <c r="BL474"/>
      <c r="BM474"/>
      <c r="BN474"/>
      <c r="BO474"/>
      <c r="BP474"/>
      <c r="BQ474"/>
      <c r="BR474"/>
      <c r="BS474"/>
      <c r="BT474"/>
      <c r="BU474"/>
      <c r="BV474"/>
      <c r="BW474"/>
      <c r="BX474"/>
      <c r="BY474"/>
      <c r="BZ474"/>
      <c r="CA474"/>
      <c r="CB474"/>
      <c r="CC474"/>
      <c r="CD474"/>
      <c r="CE474"/>
      <c r="CF474"/>
      <c r="CG474"/>
      <c r="CH474"/>
      <c r="CI474"/>
      <c r="CJ474"/>
      <c r="CK474"/>
      <c r="CL474"/>
      <c r="CM474"/>
      <c r="CN474"/>
      <c r="CO474"/>
      <c r="CP474"/>
      <c r="CQ474"/>
      <c r="CR474"/>
      <c r="CS474"/>
      <c r="CT474"/>
      <c r="CU474"/>
      <c r="CV474"/>
      <c r="CW474"/>
      <c r="CX474"/>
      <c r="CY474"/>
      <c r="CZ474"/>
      <c r="DA474"/>
      <c r="DB474"/>
      <c r="DC474"/>
      <c r="DD474"/>
      <c r="DE474"/>
      <c r="DF474"/>
      <c r="DG474"/>
      <c r="DH474"/>
      <c r="DI474"/>
      <c r="DJ474"/>
      <c r="DK474"/>
      <c r="DL474"/>
      <c r="DM474"/>
      <c r="DN474"/>
      <c r="DO474"/>
      <c r="DP474"/>
      <c r="DQ474"/>
      <c r="DR474"/>
      <c r="DS474"/>
      <c r="DT474"/>
      <c r="DU474"/>
      <c r="DV474"/>
      <c r="DW474"/>
      <c r="DX474"/>
      <c r="DY474"/>
      <c r="DZ474"/>
      <c r="EA474"/>
      <c r="EB474"/>
      <c r="EC474"/>
      <c r="ED474"/>
      <c r="EE474"/>
      <c r="EF474"/>
      <c r="EG474"/>
      <c r="EH474"/>
      <c r="EI474"/>
      <c r="EJ474"/>
      <c r="EK474"/>
      <c r="EL474"/>
      <c r="EM474"/>
      <c r="EN474"/>
      <c r="EO474"/>
      <c r="EP474"/>
      <c r="EQ474"/>
      <c r="ER474"/>
      <c r="ES474"/>
      <c r="ET474"/>
      <c r="EU474"/>
      <c r="EV474"/>
      <c r="EW474"/>
      <c r="EX474"/>
      <c r="EY474"/>
      <c r="EZ474"/>
      <c r="FA474"/>
      <c r="FB474"/>
      <c r="FC474"/>
      <c r="FD474"/>
      <c r="FE474"/>
      <c r="FF474"/>
      <c r="FG474"/>
      <c r="FH474"/>
      <c r="FI474"/>
      <c r="FJ474"/>
      <c r="FK474"/>
      <c r="FL474"/>
      <c r="FM474"/>
      <c r="FN474"/>
      <c r="FO474"/>
      <c r="FP474"/>
      <c r="FQ474"/>
      <c r="FR474"/>
      <c r="FS474"/>
      <c r="FT474"/>
      <c r="FU474"/>
      <c r="FV474"/>
      <c r="FW474"/>
      <c r="FX474"/>
      <c r="FY474"/>
      <c r="FZ474"/>
      <c r="GA474"/>
      <c r="GB474"/>
      <c r="GC474"/>
      <c r="GD474"/>
      <c r="GE474"/>
      <c r="GF474"/>
      <c r="GG474"/>
      <c r="GH474"/>
      <c r="GI474"/>
      <c r="GJ474"/>
      <c r="GK474"/>
      <c r="GL474"/>
      <c r="GM474"/>
      <c r="GN474"/>
      <c r="GO474"/>
      <c r="GP474"/>
      <c r="GQ474"/>
      <c r="GR474"/>
      <c r="GS474"/>
      <c r="GT474"/>
      <c r="GU474"/>
      <c r="GV474"/>
      <c r="GW474"/>
      <c r="GX474"/>
      <c r="GY474"/>
      <c r="GZ474"/>
      <c r="HA474"/>
      <c r="HB474"/>
      <c r="HC474"/>
      <c r="HD474"/>
      <c r="HE474"/>
      <c r="HF474"/>
      <c r="HG474"/>
      <c r="HH474"/>
      <c r="HI474"/>
      <c r="HJ474"/>
      <c r="HK474"/>
      <c r="HL474"/>
      <c r="HM474"/>
      <c r="HN474"/>
      <c r="HO474"/>
      <c r="HP474"/>
      <c r="HQ474"/>
      <c r="HR474"/>
      <c r="HS474"/>
      <c r="HT474"/>
      <c r="HU474"/>
      <c r="HV474"/>
      <c r="HW474"/>
      <c r="HX474"/>
      <c r="HY474"/>
      <c r="HZ474"/>
      <c r="IA474"/>
      <c r="IB474"/>
      <c r="IC474"/>
      <c r="ID474"/>
      <c r="IE474"/>
      <c r="IF474"/>
      <c r="IG474"/>
      <c r="IH474"/>
      <c r="II474"/>
      <c r="IJ474"/>
      <c r="IK474"/>
      <c r="IL474"/>
      <c r="IM474"/>
      <c r="IN474"/>
      <c r="IO474"/>
      <c r="IP474"/>
      <c r="IQ474"/>
      <c r="IR474"/>
      <c r="IS474"/>
      <c r="IT474"/>
      <c r="IU474"/>
      <c r="IV474"/>
      <c r="IW474"/>
      <c r="IX474"/>
      <c r="IY474"/>
      <c r="IZ474"/>
      <c r="JA474"/>
      <c r="JB474"/>
      <c r="JC474"/>
      <c r="JD474"/>
      <c r="JE474"/>
      <c r="JF474"/>
      <c r="JG474"/>
      <c r="JH474"/>
      <c r="JI474"/>
      <c r="JJ474"/>
      <c r="JK474"/>
      <c r="JL474"/>
      <c r="JM474"/>
      <c r="JN474"/>
      <c r="JO474"/>
      <c r="JP474"/>
      <c r="JQ474"/>
      <c r="JR474"/>
      <c r="JS474"/>
      <c r="JT474"/>
      <c r="JU474"/>
      <c r="JV474"/>
      <c r="JW474"/>
      <c r="JX474"/>
      <c r="JY474"/>
      <c r="JZ474"/>
      <c r="KA474"/>
      <c r="KB474"/>
      <c r="KC474"/>
      <c r="KD474"/>
      <c r="KE474"/>
      <c r="KF474"/>
      <c r="KG474"/>
      <c r="KH474"/>
      <c r="KI474"/>
      <c r="KJ474"/>
      <c r="KK474"/>
      <c r="KL474"/>
      <c r="KM474"/>
      <c r="KN474"/>
      <c r="KO474"/>
      <c r="KP474"/>
      <c r="KQ474"/>
      <c r="KR474"/>
      <c r="KS474"/>
    </row>
    <row r="475" spans="2:305" hidden="1" x14ac:dyDescent="0.3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c r="AL475"/>
      <c r="AM475"/>
      <c r="AN475"/>
      <c r="AO475"/>
      <c r="AP475"/>
      <c r="AQ475"/>
      <c r="AR475"/>
      <c r="AS475"/>
      <c r="AT475"/>
      <c r="AU475"/>
      <c r="AV475"/>
      <c r="AW475"/>
      <c r="AX475"/>
      <c r="AY475"/>
      <c r="AZ475"/>
      <c r="BA475"/>
      <c r="BB475"/>
      <c r="BC475"/>
      <c r="BD475"/>
      <c r="BE475"/>
      <c r="BF475"/>
      <c r="BG475"/>
      <c r="BH475"/>
      <c r="BI475"/>
      <c r="BJ475"/>
      <c r="BK475"/>
      <c r="BL475"/>
      <c r="BM475"/>
      <c r="BN475"/>
      <c r="BO475"/>
      <c r="BP475"/>
      <c r="BQ475"/>
      <c r="BR475"/>
      <c r="BS475"/>
      <c r="BT475"/>
      <c r="BU475"/>
      <c r="BV475"/>
      <c r="BW475"/>
      <c r="BX475"/>
      <c r="BY475"/>
      <c r="BZ475"/>
      <c r="CA475"/>
      <c r="CB475"/>
      <c r="CC475"/>
      <c r="CD475"/>
      <c r="CE475"/>
      <c r="CF475"/>
      <c r="CG475"/>
      <c r="CH475"/>
      <c r="CI475"/>
      <c r="CJ475"/>
      <c r="CK475"/>
      <c r="CL475"/>
      <c r="CM475"/>
      <c r="CN475"/>
      <c r="CO475"/>
      <c r="CP475"/>
      <c r="CQ475"/>
      <c r="CR475"/>
      <c r="CS475"/>
      <c r="CT475"/>
      <c r="CU475"/>
      <c r="CV475"/>
      <c r="CW475"/>
      <c r="CX475"/>
      <c r="CY475"/>
      <c r="CZ475"/>
      <c r="DA475"/>
      <c r="DB475"/>
      <c r="DC475"/>
      <c r="DD475"/>
      <c r="DE475"/>
      <c r="DF475"/>
      <c r="DG475"/>
      <c r="DH475"/>
      <c r="DI475"/>
      <c r="DJ475"/>
      <c r="DK475"/>
      <c r="DL475"/>
      <c r="DM475"/>
      <c r="DN475"/>
      <c r="DO475"/>
      <c r="DP475"/>
      <c r="DQ475"/>
      <c r="DR475"/>
      <c r="DS475"/>
      <c r="DT475"/>
      <c r="DU475"/>
      <c r="DV475"/>
      <c r="DW475"/>
      <c r="DX475"/>
      <c r="DY475"/>
      <c r="DZ475"/>
      <c r="EA475"/>
      <c r="EB475"/>
      <c r="EC475"/>
      <c r="ED475"/>
      <c r="EE475"/>
      <c r="EF475"/>
      <c r="EG475"/>
      <c r="EH475"/>
      <c r="EI475"/>
      <c r="EJ475"/>
      <c r="EK475"/>
      <c r="EL475"/>
      <c r="EM475"/>
      <c r="EN475"/>
      <c r="EO475"/>
      <c r="EP475"/>
      <c r="EQ475"/>
      <c r="ER475"/>
      <c r="ES475"/>
      <c r="ET475"/>
      <c r="EU475"/>
      <c r="EV475"/>
      <c r="EW475"/>
      <c r="EX475"/>
      <c r="EY475"/>
      <c r="EZ475"/>
      <c r="FA475"/>
      <c r="FB475"/>
      <c r="FC475"/>
      <c r="FD475"/>
      <c r="FE475"/>
      <c r="FF475"/>
      <c r="FG475"/>
      <c r="FH475"/>
      <c r="FI475"/>
      <c r="FJ475"/>
      <c r="FK475"/>
      <c r="FL475"/>
      <c r="FM475"/>
      <c r="FN475"/>
      <c r="FO475"/>
      <c r="FP475"/>
      <c r="FQ475"/>
      <c r="FR475"/>
      <c r="FS475"/>
      <c r="FT475"/>
      <c r="FU475"/>
      <c r="FV475"/>
      <c r="FW475"/>
      <c r="FX475"/>
      <c r="FY475"/>
      <c r="FZ475"/>
      <c r="GA475"/>
      <c r="GB475"/>
      <c r="GC475"/>
      <c r="GD475"/>
      <c r="GE475"/>
      <c r="GF475"/>
      <c r="GG475"/>
      <c r="GH475"/>
      <c r="GI475"/>
      <c r="GJ475"/>
      <c r="GK475"/>
      <c r="GL475"/>
      <c r="GM475"/>
      <c r="GN475"/>
      <c r="GO475"/>
      <c r="GP475"/>
      <c r="GQ475"/>
      <c r="GR475"/>
      <c r="GS475"/>
      <c r="GT475"/>
      <c r="GU475"/>
      <c r="GV475"/>
      <c r="GW475"/>
      <c r="GX475"/>
      <c r="GY475"/>
      <c r="GZ475"/>
      <c r="HA475"/>
      <c r="HB475"/>
      <c r="HC475"/>
      <c r="HD475"/>
      <c r="HE475"/>
      <c r="HF475"/>
      <c r="HG475"/>
      <c r="HH475"/>
      <c r="HI475"/>
      <c r="HJ475"/>
      <c r="HK475"/>
      <c r="HL475"/>
      <c r="HM475"/>
      <c r="HN475"/>
      <c r="HO475"/>
      <c r="HP475"/>
      <c r="HQ475"/>
      <c r="HR475"/>
      <c r="HS475"/>
      <c r="HT475"/>
      <c r="HU475"/>
      <c r="HV475"/>
      <c r="HW475"/>
      <c r="HX475"/>
      <c r="HY475"/>
      <c r="HZ475"/>
      <c r="IA475"/>
      <c r="IB475"/>
      <c r="IC475"/>
      <c r="ID475"/>
      <c r="IE475"/>
      <c r="IF475"/>
      <c r="IG475"/>
      <c r="IH475"/>
      <c r="II475"/>
      <c r="IJ475"/>
      <c r="IK475"/>
      <c r="IL475"/>
      <c r="IM475"/>
      <c r="IN475"/>
      <c r="IO475"/>
      <c r="IP475"/>
      <c r="IQ475"/>
      <c r="IR475"/>
      <c r="IS475"/>
      <c r="IT475"/>
      <c r="IU475"/>
      <c r="IV475"/>
      <c r="IW475"/>
      <c r="IX475"/>
      <c r="IY475"/>
      <c r="IZ475"/>
      <c r="JA475"/>
      <c r="JB475"/>
      <c r="JC475"/>
      <c r="JD475"/>
      <c r="JE475"/>
      <c r="JF475"/>
      <c r="JG475"/>
      <c r="JH475"/>
      <c r="JI475"/>
      <c r="JJ475"/>
      <c r="JK475"/>
      <c r="JL475"/>
      <c r="JM475"/>
      <c r="JN475"/>
      <c r="JO475"/>
      <c r="JP475"/>
      <c r="JQ475"/>
      <c r="JR475"/>
      <c r="JS475"/>
      <c r="JT475"/>
      <c r="JU475"/>
      <c r="JV475"/>
      <c r="JW475"/>
      <c r="JX475"/>
      <c r="JY475"/>
      <c r="JZ475"/>
      <c r="KA475"/>
      <c r="KB475"/>
      <c r="KC475"/>
      <c r="KD475"/>
      <c r="KE475"/>
      <c r="KF475"/>
      <c r="KG475"/>
      <c r="KH475"/>
      <c r="KI475"/>
      <c r="KJ475"/>
      <c r="KK475"/>
      <c r="KL475"/>
      <c r="KM475"/>
      <c r="KN475"/>
      <c r="KO475"/>
      <c r="KP475"/>
      <c r="KQ475"/>
      <c r="KR475"/>
      <c r="KS475"/>
    </row>
    <row r="476" spans="2:305" hidden="1" x14ac:dyDescent="0.35">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c r="AO476"/>
      <c r="AP476"/>
      <c r="AQ476"/>
      <c r="AR476"/>
      <c r="AS476"/>
      <c r="AT476"/>
      <c r="AU476"/>
      <c r="AV476"/>
      <c r="AW476"/>
      <c r="AX476"/>
      <c r="AY476"/>
      <c r="AZ476"/>
      <c r="BA476"/>
      <c r="BB476"/>
      <c r="BC476"/>
      <c r="BD476"/>
      <c r="BE476"/>
      <c r="BF476"/>
      <c r="BG476"/>
      <c r="BH476"/>
      <c r="BI476"/>
      <c r="BJ476"/>
      <c r="BK476"/>
      <c r="BL476"/>
      <c r="BM476"/>
      <c r="BN476"/>
      <c r="BO476"/>
      <c r="BP476"/>
      <c r="BQ476"/>
      <c r="BR476"/>
      <c r="BS476"/>
      <c r="BT476"/>
      <c r="BU476"/>
      <c r="BV476"/>
      <c r="BW476"/>
      <c r="BX476"/>
      <c r="BY476"/>
      <c r="BZ476"/>
      <c r="CA476"/>
      <c r="CB476"/>
      <c r="CC476"/>
      <c r="CD476"/>
      <c r="CE476"/>
      <c r="CF476"/>
      <c r="CG476"/>
      <c r="CH476"/>
      <c r="CI476"/>
      <c r="CJ476"/>
      <c r="CK476"/>
      <c r="CL476"/>
      <c r="CM476"/>
      <c r="CN476"/>
      <c r="CO476"/>
      <c r="CP476"/>
      <c r="CQ476"/>
      <c r="CR476"/>
      <c r="CS476"/>
      <c r="CT476"/>
      <c r="CU476"/>
      <c r="CV476"/>
      <c r="CW476"/>
      <c r="CX476"/>
      <c r="CY476"/>
      <c r="CZ476"/>
      <c r="DA476"/>
      <c r="DB476"/>
      <c r="DC476"/>
      <c r="DD476"/>
      <c r="DE476"/>
      <c r="DF476"/>
      <c r="DG476"/>
      <c r="DH476"/>
      <c r="DI476"/>
      <c r="DJ476"/>
      <c r="DK476"/>
      <c r="DL476"/>
      <c r="DM476"/>
      <c r="DN476"/>
      <c r="DO476"/>
      <c r="DP476"/>
      <c r="DQ476"/>
      <c r="DR476"/>
      <c r="DS476"/>
      <c r="DT476"/>
      <c r="DU476"/>
      <c r="DV476"/>
      <c r="DW476"/>
      <c r="DX476"/>
      <c r="DY476"/>
      <c r="DZ476"/>
      <c r="EA476"/>
      <c r="EB476"/>
      <c r="EC476"/>
      <c r="ED476"/>
      <c r="EE476"/>
      <c r="EF476"/>
      <c r="EG476"/>
      <c r="EH476"/>
      <c r="EI476"/>
      <c r="EJ476"/>
      <c r="EK476"/>
      <c r="EL476"/>
      <c r="EM476"/>
      <c r="EN476"/>
      <c r="EO476"/>
      <c r="EP476"/>
      <c r="EQ476"/>
      <c r="ER476"/>
      <c r="ES476"/>
      <c r="ET476"/>
      <c r="EU476"/>
      <c r="EV476"/>
      <c r="EW476"/>
      <c r="EX476"/>
      <c r="EY476"/>
      <c r="EZ476"/>
      <c r="FA476"/>
      <c r="FB476"/>
      <c r="FC476"/>
      <c r="FD476"/>
      <c r="FE476"/>
      <c r="FF476"/>
      <c r="FG476"/>
      <c r="FH476"/>
      <c r="FI476"/>
      <c r="FJ476"/>
      <c r="FK476"/>
      <c r="FL476"/>
      <c r="FM476"/>
      <c r="FN476"/>
      <c r="FO476"/>
      <c r="FP476"/>
      <c r="FQ476"/>
      <c r="FR476"/>
      <c r="FS476"/>
      <c r="FT476"/>
      <c r="FU476"/>
      <c r="FV476"/>
      <c r="FW476"/>
      <c r="FX476"/>
      <c r="FY476"/>
      <c r="FZ476"/>
      <c r="GA476"/>
      <c r="GB476"/>
      <c r="GC476"/>
      <c r="GD476"/>
      <c r="GE476"/>
      <c r="GF476"/>
      <c r="GG476"/>
      <c r="GH476"/>
      <c r="GI476"/>
      <c r="GJ476"/>
      <c r="GK476"/>
      <c r="GL476"/>
      <c r="GM476"/>
      <c r="GN476"/>
      <c r="GO476"/>
      <c r="GP476"/>
      <c r="GQ476"/>
      <c r="GR476"/>
      <c r="GS476"/>
      <c r="GT476"/>
      <c r="GU476"/>
      <c r="GV476"/>
      <c r="GW476"/>
      <c r="GX476"/>
      <c r="GY476"/>
      <c r="GZ476"/>
      <c r="HA476"/>
      <c r="HB476"/>
      <c r="HC476"/>
      <c r="HD476"/>
      <c r="HE476"/>
      <c r="HF476"/>
      <c r="HG476"/>
      <c r="HH476"/>
      <c r="HI476"/>
      <c r="HJ476"/>
      <c r="HK476"/>
      <c r="HL476"/>
      <c r="HM476"/>
      <c r="HN476"/>
      <c r="HO476"/>
      <c r="HP476"/>
      <c r="HQ476"/>
      <c r="HR476"/>
      <c r="HS476"/>
      <c r="HT476"/>
      <c r="HU476"/>
      <c r="HV476"/>
      <c r="HW476"/>
      <c r="HX476"/>
      <c r="HY476"/>
      <c r="HZ476"/>
      <c r="IA476"/>
      <c r="IB476"/>
      <c r="IC476"/>
      <c r="ID476"/>
      <c r="IE476"/>
      <c r="IF476"/>
      <c r="IG476"/>
      <c r="IH476"/>
      <c r="II476"/>
      <c r="IJ476"/>
      <c r="IK476"/>
      <c r="IL476"/>
      <c r="IM476"/>
      <c r="IN476"/>
      <c r="IO476"/>
      <c r="IP476"/>
      <c r="IQ476"/>
      <c r="IR476"/>
      <c r="IS476"/>
      <c r="IT476"/>
      <c r="IU476"/>
      <c r="IV476"/>
      <c r="IW476"/>
      <c r="IX476"/>
      <c r="IY476"/>
      <c r="IZ476"/>
      <c r="JA476"/>
      <c r="JB476"/>
      <c r="JC476"/>
      <c r="JD476"/>
      <c r="JE476"/>
      <c r="JF476"/>
      <c r="JG476"/>
      <c r="JH476"/>
      <c r="JI476"/>
      <c r="JJ476"/>
      <c r="JK476"/>
      <c r="JL476"/>
      <c r="JM476"/>
      <c r="JN476"/>
      <c r="JO476"/>
      <c r="JP476"/>
      <c r="JQ476"/>
      <c r="JR476"/>
      <c r="JS476"/>
      <c r="JT476"/>
      <c r="JU476"/>
      <c r="JV476"/>
      <c r="JW476"/>
      <c r="JX476"/>
      <c r="JY476"/>
      <c r="JZ476"/>
      <c r="KA476"/>
      <c r="KB476"/>
      <c r="KC476"/>
      <c r="KD476"/>
      <c r="KE476"/>
      <c r="KF476"/>
      <c r="KG476"/>
      <c r="KH476"/>
      <c r="KI476"/>
      <c r="KJ476"/>
      <c r="KK476"/>
      <c r="KL476"/>
      <c r="KM476"/>
      <c r="KN476"/>
      <c r="KO476"/>
      <c r="KP476"/>
      <c r="KQ476"/>
      <c r="KR476"/>
      <c r="KS476"/>
    </row>
    <row r="477" spans="2:305" hidden="1" x14ac:dyDescent="0.35">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c r="AN477"/>
      <c r="AO477"/>
      <c r="AP477"/>
      <c r="AQ477"/>
      <c r="AR477"/>
      <c r="AS477"/>
      <c r="AT477"/>
      <c r="AU477"/>
      <c r="AV477"/>
      <c r="AW477"/>
      <c r="AX477"/>
      <c r="AY477"/>
      <c r="AZ477"/>
      <c r="BA477"/>
      <c r="BB477"/>
      <c r="BC477"/>
      <c r="BD477"/>
      <c r="BE477"/>
      <c r="BF477"/>
      <c r="BG477"/>
      <c r="BH477"/>
      <c r="BI477"/>
      <c r="BJ477"/>
      <c r="BK477"/>
      <c r="BL477"/>
      <c r="BM477"/>
      <c r="BN477"/>
      <c r="BO477"/>
      <c r="BP477"/>
      <c r="BQ477"/>
      <c r="BR477"/>
      <c r="BS477"/>
      <c r="BT477"/>
      <c r="BU477"/>
      <c r="BV477"/>
      <c r="BW477"/>
      <c r="BX477"/>
      <c r="BY477"/>
      <c r="BZ477"/>
      <c r="CA477"/>
      <c r="CB477"/>
      <c r="CC477"/>
      <c r="CD477"/>
      <c r="CE477"/>
      <c r="CF477"/>
      <c r="CG477"/>
      <c r="CH477"/>
      <c r="CI477"/>
      <c r="CJ477"/>
      <c r="CK477"/>
      <c r="CL477"/>
      <c r="CM477"/>
      <c r="CN477"/>
      <c r="CO477"/>
      <c r="CP477"/>
      <c r="CQ477"/>
      <c r="CR477"/>
      <c r="CS477"/>
      <c r="CT477"/>
      <c r="CU477"/>
      <c r="CV477"/>
      <c r="CW477"/>
      <c r="CX477"/>
      <c r="CY477"/>
      <c r="CZ477"/>
      <c r="DA477"/>
      <c r="DB477"/>
      <c r="DC477"/>
      <c r="DD477"/>
      <c r="DE477"/>
      <c r="DF477"/>
      <c r="DG477"/>
      <c r="DH477"/>
      <c r="DI477"/>
      <c r="DJ477"/>
      <c r="DK477"/>
      <c r="DL477"/>
      <c r="DM477"/>
      <c r="DN477"/>
      <c r="DO477"/>
      <c r="DP477"/>
      <c r="DQ477"/>
      <c r="DR477"/>
      <c r="DS477"/>
      <c r="DT477"/>
      <c r="DU477"/>
      <c r="DV477"/>
      <c r="DW477"/>
      <c r="DX477"/>
      <c r="DY477"/>
      <c r="DZ477"/>
      <c r="EA477"/>
      <c r="EB477"/>
      <c r="EC477"/>
      <c r="ED477"/>
      <c r="EE477"/>
      <c r="EF477"/>
      <c r="EG477"/>
      <c r="EH477"/>
      <c r="EI477"/>
      <c r="EJ477"/>
      <c r="EK477"/>
      <c r="EL477"/>
      <c r="EM477"/>
      <c r="EN477"/>
      <c r="EO477"/>
      <c r="EP477"/>
      <c r="EQ477"/>
      <c r="ER477"/>
      <c r="ES477"/>
      <c r="ET477"/>
      <c r="EU477"/>
      <c r="EV477"/>
      <c r="EW477"/>
      <c r="EX477"/>
      <c r="EY477"/>
      <c r="EZ477"/>
      <c r="FA477"/>
      <c r="FB477"/>
      <c r="FC477"/>
      <c r="FD477"/>
      <c r="FE477"/>
      <c r="FF477"/>
      <c r="FG477"/>
      <c r="FH477"/>
      <c r="FI477"/>
      <c r="FJ477"/>
      <c r="FK477"/>
      <c r="FL477"/>
      <c r="FM477"/>
      <c r="FN477"/>
      <c r="FO477"/>
      <c r="FP477"/>
      <c r="FQ477"/>
      <c r="FR477"/>
      <c r="FS477"/>
      <c r="FT477"/>
      <c r="FU477"/>
      <c r="FV477"/>
      <c r="FW477"/>
      <c r="FX477"/>
      <c r="FY477"/>
      <c r="FZ477"/>
      <c r="GA477"/>
      <c r="GB477"/>
      <c r="GC477"/>
      <c r="GD477"/>
      <c r="GE477"/>
      <c r="GF477"/>
      <c r="GG477"/>
      <c r="GH477"/>
      <c r="GI477"/>
      <c r="GJ477"/>
      <c r="GK477"/>
      <c r="GL477"/>
      <c r="GM477"/>
      <c r="GN477"/>
      <c r="GO477"/>
      <c r="GP477"/>
      <c r="GQ477"/>
      <c r="GR477"/>
      <c r="GS477"/>
      <c r="GT477"/>
      <c r="GU477"/>
      <c r="GV477"/>
      <c r="GW477"/>
      <c r="GX477"/>
      <c r="GY477"/>
      <c r="GZ477"/>
      <c r="HA477"/>
      <c r="HB477"/>
      <c r="HC477"/>
      <c r="HD477"/>
      <c r="HE477"/>
      <c r="HF477"/>
      <c r="HG477"/>
      <c r="HH477"/>
      <c r="HI477"/>
      <c r="HJ477"/>
      <c r="HK477"/>
      <c r="HL477"/>
      <c r="HM477"/>
      <c r="HN477"/>
      <c r="HO477"/>
      <c r="HP477"/>
      <c r="HQ477"/>
      <c r="HR477"/>
      <c r="HS477"/>
      <c r="HT477"/>
      <c r="HU477"/>
      <c r="HV477"/>
      <c r="HW477"/>
      <c r="HX477"/>
      <c r="HY477"/>
      <c r="HZ477"/>
      <c r="IA477"/>
      <c r="IB477"/>
      <c r="IC477"/>
      <c r="ID477"/>
      <c r="IE477"/>
      <c r="IF477"/>
      <c r="IG477"/>
      <c r="IH477"/>
      <c r="II477"/>
      <c r="IJ477"/>
      <c r="IK477"/>
      <c r="IL477"/>
      <c r="IM477"/>
      <c r="IN477"/>
      <c r="IO477"/>
      <c r="IP477"/>
      <c r="IQ477"/>
      <c r="IR477"/>
      <c r="IS477"/>
      <c r="IT477"/>
      <c r="IU477"/>
      <c r="IV477"/>
      <c r="IW477"/>
      <c r="IX477"/>
      <c r="IY477"/>
      <c r="IZ477"/>
      <c r="JA477"/>
      <c r="JB477"/>
      <c r="JC477"/>
      <c r="JD477"/>
      <c r="JE477"/>
      <c r="JF477"/>
      <c r="JG477"/>
      <c r="JH477"/>
      <c r="JI477"/>
      <c r="JJ477"/>
      <c r="JK477"/>
      <c r="JL477"/>
      <c r="JM477"/>
      <c r="JN477"/>
      <c r="JO477"/>
      <c r="JP477"/>
      <c r="JQ477"/>
      <c r="JR477"/>
      <c r="JS477"/>
      <c r="JT477"/>
      <c r="JU477"/>
      <c r="JV477"/>
      <c r="JW477"/>
      <c r="JX477"/>
      <c r="JY477"/>
      <c r="JZ477"/>
      <c r="KA477"/>
      <c r="KB477"/>
      <c r="KC477"/>
      <c r="KD477"/>
      <c r="KE477"/>
      <c r="KF477"/>
      <c r="KG477"/>
      <c r="KH477"/>
      <c r="KI477"/>
      <c r="KJ477"/>
      <c r="KK477"/>
      <c r="KL477"/>
      <c r="KM477"/>
      <c r="KN477"/>
      <c r="KO477"/>
      <c r="KP477"/>
      <c r="KQ477"/>
      <c r="KR477"/>
      <c r="KS477"/>
    </row>
    <row r="478" spans="2:305" hidden="1" x14ac:dyDescent="0.35">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c r="AO478"/>
      <c r="AP478"/>
      <c r="AQ478"/>
      <c r="AR478"/>
      <c r="AS478"/>
      <c r="AT478"/>
      <c r="AU478"/>
      <c r="AV478"/>
      <c r="AW478"/>
      <c r="AX478"/>
      <c r="AY478"/>
      <c r="AZ478"/>
      <c r="BA478"/>
      <c r="BB478"/>
      <c r="BC478"/>
      <c r="BD478"/>
      <c r="BE478"/>
      <c r="BF478"/>
      <c r="BG478"/>
      <c r="BH478"/>
      <c r="BI478"/>
      <c r="BJ478"/>
      <c r="BK478"/>
      <c r="BL478"/>
      <c r="BM478"/>
      <c r="BN478"/>
      <c r="BO478"/>
      <c r="BP478"/>
      <c r="BQ478"/>
      <c r="BR478"/>
      <c r="BS478"/>
      <c r="BT478"/>
      <c r="BU478"/>
      <c r="BV478"/>
      <c r="BW478"/>
      <c r="BX478"/>
      <c r="BY478"/>
      <c r="BZ478"/>
      <c r="CA478"/>
      <c r="CB478"/>
      <c r="CC478"/>
      <c r="CD478"/>
      <c r="CE478"/>
      <c r="CF478"/>
      <c r="CG478"/>
      <c r="CH478"/>
      <c r="CI478"/>
      <c r="CJ478"/>
      <c r="CK478"/>
      <c r="CL478"/>
      <c r="CM478"/>
      <c r="CN478"/>
      <c r="CO478"/>
      <c r="CP478"/>
      <c r="CQ478"/>
      <c r="CR478"/>
      <c r="CS478"/>
      <c r="CT478"/>
      <c r="CU478"/>
      <c r="CV478"/>
      <c r="CW478"/>
      <c r="CX478"/>
      <c r="CY478"/>
      <c r="CZ478"/>
      <c r="DA478"/>
      <c r="DB478"/>
      <c r="DC478"/>
      <c r="DD478"/>
      <c r="DE478"/>
      <c r="DF478"/>
      <c r="DG478"/>
      <c r="DH478"/>
      <c r="DI478"/>
      <c r="DJ478"/>
      <c r="DK478"/>
      <c r="DL478"/>
      <c r="DM478"/>
      <c r="DN478"/>
      <c r="DO478"/>
      <c r="DP478"/>
      <c r="DQ478"/>
      <c r="DR478"/>
      <c r="DS478"/>
      <c r="DT478"/>
      <c r="DU478"/>
      <c r="DV478"/>
      <c r="DW478"/>
      <c r="DX478"/>
      <c r="DY478"/>
      <c r="DZ478"/>
      <c r="EA478"/>
      <c r="EB478"/>
      <c r="EC478"/>
      <c r="ED478"/>
      <c r="EE478"/>
      <c r="EF478"/>
      <c r="EG478"/>
      <c r="EH478"/>
      <c r="EI478"/>
      <c r="EJ478"/>
      <c r="EK478"/>
      <c r="EL478"/>
      <c r="EM478"/>
      <c r="EN478"/>
      <c r="EO478"/>
      <c r="EP478"/>
      <c r="EQ478"/>
      <c r="ER478"/>
      <c r="ES478"/>
      <c r="ET478"/>
      <c r="EU478"/>
      <c r="EV478"/>
      <c r="EW478"/>
      <c r="EX478"/>
      <c r="EY478"/>
      <c r="EZ478"/>
      <c r="FA478"/>
      <c r="FB478"/>
      <c r="FC478"/>
      <c r="FD478"/>
      <c r="FE478"/>
      <c r="FF478"/>
      <c r="FG478"/>
      <c r="FH478"/>
      <c r="FI478"/>
      <c r="FJ478"/>
      <c r="FK478"/>
      <c r="FL478"/>
      <c r="FM478"/>
      <c r="FN478"/>
      <c r="FO478"/>
      <c r="FP478"/>
      <c r="FQ478"/>
      <c r="FR478"/>
      <c r="FS478"/>
      <c r="FT478"/>
      <c r="FU478"/>
      <c r="FV478"/>
      <c r="FW478"/>
      <c r="FX478"/>
      <c r="FY478"/>
      <c r="FZ478"/>
      <c r="GA478"/>
      <c r="GB478"/>
      <c r="GC478"/>
      <c r="GD478"/>
      <c r="GE478"/>
      <c r="GF478"/>
      <c r="GG478"/>
      <c r="GH478"/>
      <c r="GI478"/>
      <c r="GJ478"/>
      <c r="GK478"/>
      <c r="GL478"/>
      <c r="GM478"/>
      <c r="GN478"/>
      <c r="GO478"/>
      <c r="GP478"/>
      <c r="GQ478"/>
      <c r="GR478"/>
      <c r="GS478"/>
      <c r="GT478"/>
      <c r="GU478"/>
      <c r="GV478"/>
      <c r="GW478"/>
      <c r="GX478"/>
      <c r="GY478"/>
      <c r="GZ478"/>
      <c r="HA478"/>
      <c r="HB478"/>
      <c r="HC478"/>
      <c r="HD478"/>
      <c r="HE478"/>
      <c r="HF478"/>
      <c r="HG478"/>
      <c r="HH478"/>
      <c r="HI478"/>
      <c r="HJ478"/>
      <c r="HK478"/>
      <c r="HL478"/>
      <c r="HM478"/>
      <c r="HN478"/>
      <c r="HO478"/>
      <c r="HP478"/>
      <c r="HQ478"/>
      <c r="HR478"/>
      <c r="HS478"/>
      <c r="HT478"/>
      <c r="HU478"/>
      <c r="HV478"/>
      <c r="HW478"/>
      <c r="HX478"/>
      <c r="HY478"/>
      <c r="HZ478"/>
      <c r="IA478"/>
      <c r="IB478"/>
      <c r="IC478"/>
      <c r="ID478"/>
      <c r="IE478"/>
      <c r="IF478"/>
      <c r="IG478"/>
      <c r="IH478"/>
      <c r="II478"/>
      <c r="IJ478"/>
      <c r="IK478"/>
      <c r="IL478"/>
      <c r="IM478"/>
      <c r="IN478"/>
      <c r="IO478"/>
      <c r="IP478"/>
      <c r="IQ478"/>
      <c r="IR478"/>
      <c r="IS478"/>
      <c r="IT478"/>
      <c r="IU478"/>
      <c r="IV478"/>
      <c r="IW478"/>
      <c r="IX478"/>
      <c r="IY478"/>
      <c r="IZ478"/>
      <c r="JA478"/>
      <c r="JB478"/>
      <c r="JC478"/>
      <c r="JD478"/>
      <c r="JE478"/>
      <c r="JF478"/>
      <c r="JG478"/>
      <c r="JH478"/>
      <c r="JI478"/>
      <c r="JJ478"/>
      <c r="JK478"/>
      <c r="JL478"/>
      <c r="JM478"/>
      <c r="JN478"/>
      <c r="JO478"/>
      <c r="JP478"/>
      <c r="JQ478"/>
      <c r="JR478"/>
      <c r="JS478"/>
      <c r="JT478"/>
      <c r="JU478"/>
      <c r="JV478"/>
      <c r="JW478"/>
      <c r="JX478"/>
      <c r="JY478"/>
      <c r="JZ478"/>
      <c r="KA478"/>
      <c r="KB478"/>
      <c r="KC478"/>
      <c r="KD478"/>
      <c r="KE478"/>
      <c r="KF478"/>
      <c r="KG478"/>
      <c r="KH478"/>
      <c r="KI478"/>
      <c r="KJ478"/>
      <c r="KK478"/>
      <c r="KL478"/>
      <c r="KM478"/>
      <c r="KN478"/>
      <c r="KO478"/>
      <c r="KP478"/>
      <c r="KQ478"/>
      <c r="KR478"/>
      <c r="KS478"/>
    </row>
    <row r="479" spans="2:305" hidden="1" x14ac:dyDescent="0.35">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N479"/>
      <c r="AO479"/>
      <c r="AP479"/>
      <c r="AQ479"/>
      <c r="AR479"/>
      <c r="AS479"/>
      <c r="AT479"/>
      <c r="AU479"/>
      <c r="AV479"/>
      <c r="AW479"/>
      <c r="AX479"/>
      <c r="AY479"/>
      <c r="AZ479"/>
      <c r="BA479"/>
      <c r="BB479"/>
      <c r="BC479"/>
      <c r="BD479"/>
      <c r="BE479"/>
      <c r="BF479"/>
      <c r="BG479"/>
      <c r="BH479"/>
      <c r="BI479"/>
      <c r="BJ479"/>
      <c r="BK479"/>
      <c r="BL479"/>
      <c r="BM479"/>
      <c r="BN479"/>
      <c r="BO479"/>
      <c r="BP479"/>
      <c r="BQ479"/>
      <c r="BR479"/>
      <c r="BS479"/>
      <c r="BT479"/>
      <c r="BU479"/>
      <c r="BV479"/>
      <c r="BW479"/>
      <c r="BX479"/>
      <c r="BY479"/>
      <c r="BZ479"/>
      <c r="CA479"/>
      <c r="CB479"/>
      <c r="CC479"/>
      <c r="CD479"/>
      <c r="CE479"/>
      <c r="CF479"/>
      <c r="CG479"/>
      <c r="CH479"/>
      <c r="CI479"/>
      <c r="CJ479"/>
      <c r="CK479"/>
      <c r="CL479"/>
      <c r="CM479"/>
      <c r="CN479"/>
      <c r="CO479"/>
      <c r="CP479"/>
      <c r="CQ479"/>
      <c r="CR479"/>
      <c r="CS479"/>
      <c r="CT479"/>
      <c r="CU479"/>
      <c r="CV479"/>
      <c r="CW479"/>
      <c r="CX479"/>
      <c r="CY479"/>
      <c r="CZ479"/>
      <c r="DA479"/>
      <c r="DB479"/>
      <c r="DC479"/>
      <c r="DD479"/>
      <c r="DE479"/>
      <c r="DF479"/>
      <c r="DG479"/>
      <c r="DH479"/>
      <c r="DI479"/>
      <c r="DJ479"/>
      <c r="DK479"/>
      <c r="DL479"/>
      <c r="DM479"/>
      <c r="DN479"/>
      <c r="DO479"/>
      <c r="DP479"/>
      <c r="DQ479"/>
      <c r="DR479"/>
      <c r="DS479"/>
      <c r="DT479"/>
      <c r="DU479"/>
      <c r="DV479"/>
      <c r="DW479"/>
      <c r="DX479"/>
      <c r="DY479"/>
      <c r="DZ479"/>
      <c r="EA479"/>
      <c r="EB479"/>
      <c r="EC479"/>
      <c r="ED479"/>
      <c r="EE479"/>
      <c r="EF479"/>
      <c r="EG479"/>
      <c r="EH479"/>
      <c r="EI479"/>
      <c r="EJ479"/>
      <c r="EK479"/>
      <c r="EL479"/>
      <c r="EM479"/>
      <c r="EN479"/>
      <c r="EO479"/>
      <c r="EP479"/>
      <c r="EQ479"/>
      <c r="ER479"/>
      <c r="ES479"/>
      <c r="ET479"/>
      <c r="EU479"/>
      <c r="EV479"/>
      <c r="EW479"/>
      <c r="EX479"/>
      <c r="EY479"/>
      <c r="EZ479"/>
      <c r="FA479"/>
      <c r="FB479"/>
      <c r="FC479"/>
      <c r="FD479"/>
      <c r="FE479"/>
      <c r="FF479"/>
      <c r="FG479"/>
      <c r="FH479"/>
      <c r="FI479"/>
      <c r="FJ479"/>
      <c r="FK479"/>
      <c r="FL479"/>
      <c r="FM479"/>
      <c r="FN479"/>
      <c r="FO479"/>
      <c r="FP479"/>
      <c r="FQ479"/>
      <c r="FR479"/>
      <c r="FS479"/>
      <c r="FT479"/>
      <c r="FU479"/>
      <c r="FV479"/>
      <c r="FW479"/>
      <c r="FX479"/>
      <c r="FY479"/>
      <c r="FZ479"/>
      <c r="GA479"/>
      <c r="GB479"/>
      <c r="GC479"/>
      <c r="GD479"/>
      <c r="GE479"/>
      <c r="GF479"/>
      <c r="GG479"/>
      <c r="GH479"/>
      <c r="GI479"/>
      <c r="GJ479"/>
      <c r="GK479"/>
      <c r="GL479"/>
      <c r="GM479"/>
      <c r="GN479"/>
      <c r="GO479"/>
      <c r="GP479"/>
      <c r="GQ479"/>
      <c r="GR479"/>
      <c r="GS479"/>
      <c r="GT479"/>
      <c r="GU479"/>
      <c r="GV479"/>
      <c r="GW479"/>
      <c r="GX479"/>
      <c r="GY479"/>
      <c r="GZ479"/>
      <c r="HA479"/>
      <c r="HB479"/>
      <c r="HC479"/>
      <c r="HD479"/>
      <c r="HE479"/>
      <c r="HF479"/>
      <c r="HG479"/>
      <c r="HH479"/>
      <c r="HI479"/>
      <c r="HJ479"/>
      <c r="HK479"/>
      <c r="HL479"/>
      <c r="HM479"/>
      <c r="HN479"/>
      <c r="HO479"/>
      <c r="HP479"/>
      <c r="HQ479"/>
      <c r="HR479"/>
      <c r="HS479"/>
      <c r="HT479"/>
      <c r="HU479"/>
      <c r="HV479"/>
      <c r="HW479"/>
      <c r="HX479"/>
      <c r="HY479"/>
      <c r="HZ479"/>
      <c r="IA479"/>
      <c r="IB479"/>
      <c r="IC479"/>
      <c r="ID479"/>
      <c r="IE479"/>
      <c r="IF479"/>
      <c r="IG479"/>
      <c r="IH479"/>
      <c r="II479"/>
      <c r="IJ479"/>
      <c r="IK479"/>
      <c r="IL479"/>
      <c r="IM479"/>
      <c r="IN479"/>
      <c r="IO479"/>
      <c r="IP479"/>
      <c r="IQ479"/>
      <c r="IR479"/>
      <c r="IS479"/>
      <c r="IT479"/>
      <c r="IU479"/>
      <c r="IV479"/>
      <c r="IW479"/>
      <c r="IX479"/>
      <c r="IY479"/>
      <c r="IZ479"/>
      <c r="JA479"/>
      <c r="JB479"/>
      <c r="JC479"/>
      <c r="JD479"/>
      <c r="JE479"/>
      <c r="JF479"/>
      <c r="JG479"/>
      <c r="JH479"/>
      <c r="JI479"/>
      <c r="JJ479"/>
      <c r="JK479"/>
      <c r="JL479"/>
      <c r="JM479"/>
      <c r="JN479"/>
      <c r="JO479"/>
      <c r="JP479"/>
      <c r="JQ479"/>
      <c r="JR479"/>
      <c r="JS479"/>
      <c r="JT479"/>
      <c r="JU479"/>
      <c r="JV479"/>
      <c r="JW479"/>
      <c r="JX479"/>
      <c r="JY479"/>
      <c r="JZ479"/>
      <c r="KA479"/>
      <c r="KB479"/>
      <c r="KC479"/>
      <c r="KD479"/>
      <c r="KE479"/>
      <c r="KF479"/>
      <c r="KG479"/>
      <c r="KH479"/>
      <c r="KI479"/>
      <c r="KJ479"/>
      <c r="KK479"/>
      <c r="KL479"/>
      <c r="KM479"/>
      <c r="KN479"/>
      <c r="KO479"/>
      <c r="KP479"/>
      <c r="KQ479"/>
      <c r="KR479"/>
      <c r="KS479"/>
    </row>
    <row r="480" spans="2:305" hidden="1" x14ac:dyDescent="0.35">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c r="AL480"/>
      <c r="AM480"/>
      <c r="AN480"/>
      <c r="AO480"/>
      <c r="AP480"/>
      <c r="AQ480"/>
      <c r="AR480"/>
      <c r="AS480"/>
      <c r="AT480"/>
      <c r="AU480"/>
      <c r="AV480"/>
      <c r="AW480"/>
      <c r="AX480"/>
      <c r="AY480"/>
      <c r="AZ480"/>
      <c r="BA480"/>
      <c r="BB480"/>
      <c r="BC480"/>
      <c r="BD480"/>
      <c r="BE480"/>
      <c r="BF480"/>
      <c r="BG480"/>
      <c r="BH480"/>
      <c r="BI480"/>
      <c r="BJ480"/>
      <c r="BK480"/>
      <c r="BL480"/>
      <c r="BM480"/>
      <c r="BN480"/>
      <c r="BO480"/>
      <c r="BP480"/>
      <c r="BQ480"/>
      <c r="BR480"/>
      <c r="BS480"/>
      <c r="BT480"/>
      <c r="BU480"/>
      <c r="BV480"/>
      <c r="BW480"/>
      <c r="BX480"/>
      <c r="BY480"/>
      <c r="BZ480"/>
      <c r="CA480"/>
      <c r="CB480"/>
      <c r="CC480"/>
      <c r="CD480"/>
      <c r="CE480"/>
      <c r="CF480"/>
      <c r="CG480"/>
      <c r="CH480"/>
      <c r="CI480"/>
      <c r="CJ480"/>
      <c r="CK480"/>
      <c r="CL480"/>
      <c r="CM480"/>
      <c r="CN480"/>
      <c r="CO480"/>
      <c r="CP480"/>
      <c r="CQ480"/>
      <c r="CR480"/>
      <c r="CS480"/>
      <c r="CT480"/>
      <c r="CU480"/>
      <c r="CV480"/>
      <c r="CW480"/>
      <c r="CX480"/>
      <c r="CY480"/>
      <c r="CZ480"/>
      <c r="DA480"/>
      <c r="DB480"/>
      <c r="DC480"/>
      <c r="DD480"/>
      <c r="DE480"/>
      <c r="DF480"/>
      <c r="DG480"/>
      <c r="DH480"/>
      <c r="DI480"/>
      <c r="DJ480"/>
      <c r="DK480"/>
      <c r="DL480"/>
      <c r="DM480"/>
      <c r="DN480"/>
      <c r="DO480"/>
      <c r="DP480"/>
      <c r="DQ480"/>
      <c r="DR480"/>
      <c r="DS480"/>
      <c r="DT480"/>
      <c r="DU480"/>
      <c r="DV480"/>
      <c r="DW480"/>
      <c r="DX480"/>
      <c r="DY480"/>
      <c r="DZ480"/>
      <c r="EA480"/>
      <c r="EB480"/>
      <c r="EC480"/>
      <c r="ED480"/>
      <c r="EE480"/>
      <c r="EF480"/>
      <c r="EG480"/>
      <c r="EH480"/>
      <c r="EI480"/>
      <c r="EJ480"/>
      <c r="EK480"/>
      <c r="EL480"/>
      <c r="EM480"/>
      <c r="EN480"/>
      <c r="EO480"/>
      <c r="EP480"/>
      <c r="EQ480"/>
      <c r="ER480"/>
      <c r="ES480"/>
      <c r="ET480"/>
      <c r="EU480"/>
      <c r="EV480"/>
      <c r="EW480"/>
      <c r="EX480"/>
      <c r="EY480"/>
      <c r="EZ480"/>
      <c r="FA480"/>
      <c r="FB480"/>
      <c r="FC480"/>
      <c r="FD480"/>
      <c r="FE480"/>
      <c r="FF480"/>
      <c r="FG480"/>
      <c r="FH480"/>
      <c r="FI480"/>
      <c r="FJ480"/>
      <c r="FK480"/>
      <c r="FL480"/>
      <c r="FM480"/>
      <c r="FN480"/>
      <c r="FO480"/>
      <c r="FP480"/>
      <c r="FQ480"/>
      <c r="FR480"/>
      <c r="FS480"/>
      <c r="FT480"/>
      <c r="FU480"/>
      <c r="FV480"/>
      <c r="FW480"/>
      <c r="FX480"/>
      <c r="FY480"/>
      <c r="FZ480"/>
      <c r="GA480"/>
      <c r="GB480"/>
      <c r="GC480"/>
      <c r="GD480"/>
      <c r="GE480"/>
      <c r="GF480"/>
      <c r="GG480"/>
      <c r="GH480"/>
      <c r="GI480"/>
      <c r="GJ480"/>
      <c r="GK480"/>
      <c r="GL480"/>
      <c r="GM480"/>
      <c r="GN480"/>
      <c r="GO480"/>
      <c r="GP480"/>
      <c r="GQ480"/>
      <c r="GR480"/>
      <c r="GS480"/>
      <c r="GT480"/>
      <c r="GU480"/>
      <c r="GV480"/>
      <c r="GW480"/>
      <c r="GX480"/>
      <c r="GY480"/>
      <c r="GZ480"/>
      <c r="HA480"/>
      <c r="HB480"/>
      <c r="HC480"/>
      <c r="HD480"/>
      <c r="HE480"/>
      <c r="HF480"/>
      <c r="HG480"/>
      <c r="HH480"/>
      <c r="HI480"/>
      <c r="HJ480"/>
      <c r="HK480"/>
      <c r="HL480"/>
      <c r="HM480"/>
      <c r="HN480"/>
      <c r="HO480"/>
      <c r="HP480"/>
      <c r="HQ480"/>
      <c r="HR480"/>
      <c r="HS480"/>
      <c r="HT480"/>
      <c r="HU480"/>
      <c r="HV480"/>
      <c r="HW480"/>
      <c r="HX480"/>
      <c r="HY480"/>
      <c r="HZ480"/>
      <c r="IA480"/>
      <c r="IB480"/>
      <c r="IC480"/>
      <c r="ID480"/>
      <c r="IE480"/>
      <c r="IF480"/>
      <c r="IG480"/>
      <c r="IH480"/>
      <c r="II480"/>
      <c r="IJ480"/>
      <c r="IK480"/>
      <c r="IL480"/>
      <c r="IM480"/>
      <c r="IN480"/>
      <c r="IO480"/>
      <c r="IP480"/>
      <c r="IQ480"/>
      <c r="IR480"/>
      <c r="IS480"/>
      <c r="IT480"/>
      <c r="IU480"/>
      <c r="IV480"/>
      <c r="IW480"/>
      <c r="IX480"/>
      <c r="IY480"/>
      <c r="IZ480"/>
      <c r="JA480"/>
      <c r="JB480"/>
      <c r="JC480"/>
      <c r="JD480"/>
      <c r="JE480"/>
      <c r="JF480"/>
      <c r="JG480"/>
      <c r="JH480"/>
      <c r="JI480"/>
      <c r="JJ480"/>
      <c r="JK480"/>
      <c r="JL480"/>
      <c r="JM480"/>
      <c r="JN480"/>
      <c r="JO480"/>
      <c r="JP480"/>
      <c r="JQ480"/>
      <c r="JR480"/>
      <c r="JS480"/>
      <c r="JT480"/>
      <c r="JU480"/>
      <c r="JV480"/>
      <c r="JW480"/>
      <c r="JX480"/>
      <c r="JY480"/>
      <c r="JZ480"/>
      <c r="KA480"/>
      <c r="KB480"/>
      <c r="KC480"/>
      <c r="KD480"/>
      <c r="KE480"/>
      <c r="KF480"/>
      <c r="KG480"/>
      <c r="KH480"/>
      <c r="KI480"/>
      <c r="KJ480"/>
      <c r="KK480"/>
      <c r="KL480"/>
      <c r="KM480"/>
      <c r="KN480"/>
      <c r="KO480"/>
      <c r="KP480"/>
      <c r="KQ480"/>
      <c r="KR480"/>
      <c r="KS480"/>
    </row>
    <row r="481" spans="2:305" hidden="1" x14ac:dyDescent="0.35">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c r="AL481"/>
      <c r="AM481"/>
      <c r="AN481"/>
      <c r="AO481"/>
      <c r="AP481"/>
      <c r="AQ481"/>
      <c r="AR481"/>
      <c r="AS481"/>
      <c r="AT481"/>
      <c r="AU481"/>
      <c r="AV481"/>
      <c r="AW481"/>
      <c r="AX481"/>
      <c r="AY481"/>
      <c r="AZ481"/>
      <c r="BA481"/>
      <c r="BB481"/>
      <c r="BC481"/>
      <c r="BD481"/>
      <c r="BE481"/>
      <c r="BF481"/>
      <c r="BG481"/>
      <c r="BH481"/>
      <c r="BI481"/>
      <c r="BJ481"/>
      <c r="BK481"/>
      <c r="BL481"/>
      <c r="BM481"/>
      <c r="BN481"/>
      <c r="BO481"/>
      <c r="BP481"/>
      <c r="BQ481"/>
      <c r="BR481"/>
      <c r="BS481"/>
      <c r="BT481"/>
      <c r="BU481"/>
      <c r="BV481"/>
      <c r="BW481"/>
      <c r="BX481"/>
      <c r="BY481"/>
      <c r="BZ481"/>
      <c r="CA481"/>
      <c r="CB481"/>
      <c r="CC481"/>
      <c r="CD481"/>
      <c r="CE481"/>
      <c r="CF481"/>
      <c r="CG481"/>
      <c r="CH481"/>
      <c r="CI481"/>
      <c r="CJ481"/>
      <c r="CK481"/>
      <c r="CL481"/>
      <c r="CM481"/>
      <c r="CN481"/>
      <c r="CO481"/>
      <c r="CP481"/>
      <c r="CQ481"/>
      <c r="CR481"/>
      <c r="CS481"/>
      <c r="CT481"/>
      <c r="CU481"/>
      <c r="CV481"/>
      <c r="CW481"/>
      <c r="CX481"/>
      <c r="CY481"/>
      <c r="CZ481"/>
      <c r="DA481"/>
      <c r="DB481"/>
      <c r="DC481"/>
      <c r="DD481"/>
      <c r="DE481"/>
      <c r="DF481"/>
      <c r="DG481"/>
      <c r="DH481"/>
      <c r="DI481"/>
      <c r="DJ481"/>
      <c r="DK481"/>
      <c r="DL481"/>
      <c r="DM481"/>
      <c r="DN481"/>
      <c r="DO481"/>
      <c r="DP481"/>
      <c r="DQ481"/>
      <c r="DR481"/>
      <c r="DS481"/>
      <c r="DT481"/>
      <c r="DU481"/>
      <c r="DV481"/>
      <c r="DW481"/>
      <c r="DX481"/>
      <c r="DY481"/>
      <c r="DZ481"/>
      <c r="EA481"/>
      <c r="EB481"/>
      <c r="EC481"/>
      <c r="ED481"/>
      <c r="EE481"/>
      <c r="EF481"/>
      <c r="EG481"/>
      <c r="EH481"/>
      <c r="EI481"/>
      <c r="EJ481"/>
      <c r="EK481"/>
      <c r="EL481"/>
      <c r="EM481"/>
      <c r="EN481"/>
      <c r="EO481"/>
      <c r="EP481"/>
      <c r="EQ481"/>
      <c r="ER481"/>
      <c r="ES481"/>
      <c r="ET481"/>
      <c r="EU481"/>
      <c r="EV481"/>
      <c r="EW481"/>
      <c r="EX481"/>
      <c r="EY481"/>
      <c r="EZ481"/>
      <c r="FA481"/>
      <c r="FB481"/>
      <c r="FC481"/>
      <c r="FD481"/>
      <c r="FE481"/>
      <c r="FF481"/>
      <c r="FG481"/>
      <c r="FH481"/>
      <c r="FI481"/>
      <c r="FJ481"/>
      <c r="FK481"/>
      <c r="FL481"/>
      <c r="FM481"/>
      <c r="FN481"/>
      <c r="FO481"/>
      <c r="FP481"/>
      <c r="FQ481"/>
      <c r="FR481"/>
      <c r="FS481"/>
      <c r="FT481"/>
      <c r="FU481"/>
      <c r="FV481"/>
      <c r="FW481"/>
      <c r="FX481"/>
      <c r="FY481"/>
      <c r="FZ481"/>
      <c r="GA481"/>
      <c r="GB481"/>
      <c r="GC481"/>
      <c r="GD481"/>
      <c r="GE481"/>
      <c r="GF481"/>
      <c r="GG481"/>
      <c r="GH481"/>
      <c r="GI481"/>
      <c r="GJ481"/>
      <c r="GK481"/>
      <c r="GL481"/>
      <c r="GM481"/>
      <c r="GN481"/>
      <c r="GO481"/>
      <c r="GP481"/>
      <c r="GQ481"/>
      <c r="GR481"/>
      <c r="GS481"/>
      <c r="GT481"/>
      <c r="GU481"/>
      <c r="GV481"/>
      <c r="GW481"/>
      <c r="GX481"/>
      <c r="GY481"/>
      <c r="GZ481"/>
      <c r="HA481"/>
      <c r="HB481"/>
      <c r="HC481"/>
      <c r="HD481"/>
      <c r="HE481"/>
      <c r="HF481"/>
      <c r="HG481"/>
      <c r="HH481"/>
      <c r="HI481"/>
      <c r="HJ481"/>
      <c r="HK481"/>
      <c r="HL481"/>
      <c r="HM481"/>
      <c r="HN481"/>
      <c r="HO481"/>
      <c r="HP481"/>
      <c r="HQ481"/>
      <c r="HR481"/>
      <c r="HS481"/>
      <c r="HT481"/>
      <c r="HU481"/>
      <c r="HV481"/>
      <c r="HW481"/>
      <c r="HX481"/>
      <c r="HY481"/>
      <c r="HZ481"/>
      <c r="IA481"/>
      <c r="IB481"/>
      <c r="IC481"/>
      <c r="ID481"/>
      <c r="IE481"/>
      <c r="IF481"/>
      <c r="IG481"/>
      <c r="IH481"/>
      <c r="II481"/>
      <c r="IJ481"/>
      <c r="IK481"/>
      <c r="IL481"/>
      <c r="IM481"/>
      <c r="IN481"/>
      <c r="IO481"/>
      <c r="IP481"/>
      <c r="IQ481"/>
      <c r="IR481"/>
      <c r="IS481"/>
      <c r="IT481"/>
      <c r="IU481"/>
      <c r="IV481"/>
      <c r="IW481"/>
      <c r="IX481"/>
      <c r="IY481"/>
      <c r="IZ481"/>
      <c r="JA481"/>
      <c r="JB481"/>
      <c r="JC481"/>
      <c r="JD481"/>
      <c r="JE481"/>
      <c r="JF481"/>
      <c r="JG481"/>
      <c r="JH481"/>
      <c r="JI481"/>
      <c r="JJ481"/>
      <c r="JK481"/>
      <c r="JL481"/>
      <c r="JM481"/>
      <c r="JN481"/>
      <c r="JO481"/>
      <c r="JP481"/>
      <c r="JQ481"/>
      <c r="JR481"/>
      <c r="JS481"/>
      <c r="JT481"/>
      <c r="JU481"/>
      <c r="JV481"/>
      <c r="JW481"/>
      <c r="JX481"/>
      <c r="JY481"/>
      <c r="JZ481"/>
      <c r="KA481"/>
      <c r="KB481"/>
      <c r="KC481"/>
      <c r="KD481"/>
      <c r="KE481"/>
      <c r="KF481"/>
      <c r="KG481"/>
      <c r="KH481"/>
      <c r="KI481"/>
      <c r="KJ481"/>
      <c r="KK481"/>
      <c r="KL481"/>
      <c r="KM481"/>
      <c r="KN481"/>
      <c r="KO481"/>
      <c r="KP481"/>
      <c r="KQ481"/>
      <c r="KR481"/>
      <c r="KS481"/>
    </row>
    <row r="482" spans="2:305" hidden="1" x14ac:dyDescent="0.35">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c r="AL482"/>
      <c r="AM482"/>
      <c r="AN482"/>
      <c r="AO482"/>
      <c r="AP482"/>
      <c r="AQ482"/>
      <c r="AR482"/>
      <c r="AS482"/>
      <c r="AT482"/>
      <c r="AU482"/>
      <c r="AV482"/>
      <c r="AW482"/>
      <c r="AX482"/>
      <c r="AY482"/>
      <c r="AZ482"/>
      <c r="BA482"/>
      <c r="BB482"/>
      <c r="BC482"/>
      <c r="BD482"/>
      <c r="BE482"/>
      <c r="BF482"/>
      <c r="BG482"/>
      <c r="BH482"/>
      <c r="BI482"/>
      <c r="BJ482"/>
      <c r="BK482"/>
      <c r="BL482"/>
      <c r="BM482"/>
      <c r="BN482"/>
      <c r="BO482"/>
      <c r="BP482"/>
      <c r="BQ482"/>
      <c r="BR482"/>
      <c r="BS482"/>
      <c r="BT482"/>
      <c r="BU482"/>
      <c r="BV482"/>
      <c r="BW482"/>
      <c r="BX482"/>
      <c r="BY482"/>
      <c r="BZ482"/>
      <c r="CA482"/>
      <c r="CB482"/>
      <c r="CC482"/>
      <c r="CD482"/>
      <c r="CE482"/>
      <c r="CF482"/>
      <c r="CG482"/>
      <c r="CH482"/>
      <c r="CI482"/>
      <c r="CJ482"/>
      <c r="CK482"/>
      <c r="CL482"/>
      <c r="CM482"/>
      <c r="CN482"/>
      <c r="CO482"/>
      <c r="CP482"/>
      <c r="CQ482"/>
      <c r="CR482"/>
      <c r="CS482"/>
      <c r="CT482"/>
      <c r="CU482"/>
      <c r="CV482"/>
      <c r="CW482"/>
      <c r="CX482"/>
      <c r="CY482"/>
      <c r="CZ482"/>
      <c r="DA482"/>
      <c r="DB482"/>
      <c r="DC482"/>
      <c r="DD482"/>
      <c r="DE482"/>
      <c r="DF482"/>
      <c r="DG482"/>
      <c r="DH482"/>
      <c r="DI482"/>
      <c r="DJ482"/>
      <c r="DK482"/>
      <c r="DL482"/>
      <c r="DM482"/>
      <c r="DN482"/>
      <c r="DO482"/>
      <c r="DP482"/>
      <c r="DQ482"/>
      <c r="DR482"/>
      <c r="DS482"/>
      <c r="DT482"/>
      <c r="DU482"/>
      <c r="DV482"/>
      <c r="DW482"/>
      <c r="DX482"/>
      <c r="DY482"/>
      <c r="DZ482"/>
      <c r="EA482"/>
      <c r="EB482"/>
      <c r="EC482"/>
      <c r="ED482"/>
      <c r="EE482"/>
      <c r="EF482"/>
      <c r="EG482"/>
      <c r="EH482"/>
      <c r="EI482"/>
      <c r="EJ482"/>
      <c r="EK482"/>
      <c r="EL482"/>
      <c r="EM482"/>
      <c r="EN482"/>
      <c r="EO482"/>
      <c r="EP482"/>
      <c r="EQ482"/>
      <c r="ER482"/>
      <c r="ES482"/>
      <c r="ET482"/>
      <c r="EU482"/>
      <c r="EV482"/>
      <c r="EW482"/>
      <c r="EX482"/>
      <c r="EY482"/>
      <c r="EZ482"/>
      <c r="FA482"/>
      <c r="FB482"/>
      <c r="FC482"/>
      <c r="FD482"/>
      <c r="FE482"/>
      <c r="FF482"/>
      <c r="FG482"/>
      <c r="FH482"/>
      <c r="FI482"/>
      <c r="FJ482"/>
      <c r="FK482"/>
      <c r="FL482"/>
      <c r="FM482"/>
      <c r="FN482"/>
      <c r="FO482"/>
      <c r="FP482"/>
      <c r="FQ482"/>
      <c r="FR482"/>
      <c r="FS482"/>
      <c r="FT482"/>
      <c r="FU482"/>
      <c r="FV482"/>
      <c r="FW482"/>
      <c r="FX482"/>
      <c r="FY482"/>
      <c r="FZ482"/>
      <c r="GA482"/>
      <c r="GB482"/>
      <c r="GC482"/>
      <c r="GD482"/>
      <c r="GE482"/>
      <c r="GF482"/>
      <c r="GG482"/>
      <c r="GH482"/>
      <c r="GI482"/>
      <c r="GJ482"/>
      <c r="GK482"/>
      <c r="GL482"/>
      <c r="GM482"/>
      <c r="GN482"/>
      <c r="GO482"/>
      <c r="GP482"/>
      <c r="GQ482"/>
      <c r="GR482"/>
      <c r="GS482"/>
      <c r="GT482"/>
      <c r="GU482"/>
      <c r="GV482"/>
      <c r="GW482"/>
      <c r="GX482"/>
      <c r="GY482"/>
      <c r="GZ482"/>
      <c r="HA482"/>
      <c r="HB482"/>
      <c r="HC482"/>
      <c r="HD482"/>
      <c r="HE482"/>
      <c r="HF482"/>
      <c r="HG482"/>
      <c r="HH482"/>
      <c r="HI482"/>
      <c r="HJ482"/>
      <c r="HK482"/>
      <c r="HL482"/>
      <c r="HM482"/>
      <c r="HN482"/>
      <c r="HO482"/>
      <c r="HP482"/>
      <c r="HQ482"/>
      <c r="HR482"/>
      <c r="HS482"/>
      <c r="HT482"/>
      <c r="HU482"/>
      <c r="HV482"/>
      <c r="HW482"/>
      <c r="HX482"/>
      <c r="HY482"/>
      <c r="HZ482"/>
      <c r="IA482"/>
      <c r="IB482"/>
      <c r="IC482"/>
      <c r="ID482"/>
      <c r="IE482"/>
      <c r="IF482"/>
      <c r="IG482"/>
      <c r="IH482"/>
      <c r="II482"/>
      <c r="IJ482"/>
      <c r="IK482"/>
      <c r="IL482"/>
      <c r="IM482"/>
      <c r="IN482"/>
      <c r="IO482"/>
      <c r="IP482"/>
      <c r="IQ482"/>
      <c r="IR482"/>
      <c r="IS482"/>
      <c r="IT482"/>
      <c r="IU482"/>
      <c r="IV482"/>
      <c r="IW482"/>
      <c r="IX482"/>
      <c r="IY482"/>
      <c r="IZ482"/>
      <c r="JA482"/>
      <c r="JB482"/>
      <c r="JC482"/>
      <c r="JD482"/>
      <c r="JE482"/>
      <c r="JF482"/>
      <c r="JG482"/>
      <c r="JH482"/>
      <c r="JI482"/>
      <c r="JJ482"/>
      <c r="JK482"/>
      <c r="JL482"/>
      <c r="JM482"/>
      <c r="JN482"/>
      <c r="JO482"/>
      <c r="JP482"/>
      <c r="JQ482"/>
      <c r="JR482"/>
      <c r="JS482"/>
      <c r="JT482"/>
      <c r="JU482"/>
      <c r="JV482"/>
      <c r="JW482"/>
      <c r="JX482"/>
      <c r="JY482"/>
      <c r="JZ482"/>
      <c r="KA482"/>
      <c r="KB482"/>
      <c r="KC482"/>
      <c r="KD482"/>
      <c r="KE482"/>
      <c r="KF482"/>
      <c r="KG482"/>
      <c r="KH482"/>
      <c r="KI482"/>
      <c r="KJ482"/>
      <c r="KK482"/>
      <c r="KL482"/>
      <c r="KM482"/>
      <c r="KN482"/>
      <c r="KO482"/>
      <c r="KP482"/>
      <c r="KQ482"/>
      <c r="KR482"/>
      <c r="KS482"/>
    </row>
    <row r="483" spans="2:305" hidden="1" x14ac:dyDescent="0.35">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c r="AL483"/>
      <c r="AM483"/>
      <c r="AN483"/>
      <c r="AO483"/>
      <c r="AP483"/>
      <c r="AQ483"/>
      <c r="AR483"/>
      <c r="AS483"/>
      <c r="AT483"/>
      <c r="AU483"/>
      <c r="AV483"/>
      <c r="AW483"/>
      <c r="AX483"/>
      <c r="AY483"/>
      <c r="AZ483"/>
      <c r="BA483"/>
      <c r="BB483"/>
      <c r="BC483"/>
      <c r="BD483"/>
      <c r="BE483"/>
      <c r="BF483"/>
      <c r="BG483"/>
      <c r="BH483"/>
      <c r="BI483"/>
      <c r="BJ483"/>
      <c r="BK483"/>
      <c r="BL483"/>
      <c r="BM483"/>
      <c r="BN483"/>
      <c r="BO483"/>
      <c r="BP483"/>
      <c r="BQ483"/>
      <c r="BR483"/>
      <c r="BS483"/>
      <c r="BT483"/>
      <c r="BU483"/>
      <c r="BV483"/>
      <c r="BW483"/>
      <c r="BX483"/>
      <c r="BY483"/>
      <c r="BZ483"/>
      <c r="CA483"/>
      <c r="CB483"/>
      <c r="CC483"/>
      <c r="CD483"/>
      <c r="CE483"/>
      <c r="CF483"/>
      <c r="CG483"/>
      <c r="CH483"/>
      <c r="CI483"/>
      <c r="CJ483"/>
      <c r="CK483"/>
      <c r="CL483"/>
      <c r="CM483"/>
      <c r="CN483"/>
      <c r="CO483"/>
      <c r="CP483"/>
      <c r="CQ483"/>
      <c r="CR483"/>
      <c r="CS483"/>
      <c r="CT483"/>
      <c r="CU483"/>
      <c r="CV483"/>
      <c r="CW483"/>
      <c r="CX483"/>
      <c r="CY483"/>
      <c r="CZ483"/>
      <c r="DA483"/>
      <c r="DB483"/>
      <c r="DC483"/>
      <c r="DD483"/>
      <c r="DE483"/>
      <c r="DF483"/>
      <c r="DG483"/>
      <c r="DH483"/>
      <c r="DI483"/>
      <c r="DJ483"/>
      <c r="DK483"/>
      <c r="DL483"/>
      <c r="DM483"/>
      <c r="DN483"/>
      <c r="DO483"/>
      <c r="DP483"/>
      <c r="DQ483"/>
      <c r="DR483"/>
      <c r="DS483"/>
      <c r="DT483"/>
      <c r="DU483"/>
      <c r="DV483"/>
      <c r="DW483"/>
      <c r="DX483"/>
      <c r="DY483"/>
      <c r="DZ483"/>
      <c r="EA483"/>
      <c r="EB483"/>
      <c r="EC483"/>
      <c r="ED483"/>
      <c r="EE483"/>
      <c r="EF483"/>
      <c r="EG483"/>
      <c r="EH483"/>
      <c r="EI483"/>
      <c r="EJ483"/>
      <c r="EK483"/>
      <c r="EL483"/>
      <c r="EM483"/>
      <c r="EN483"/>
      <c r="EO483"/>
      <c r="EP483"/>
      <c r="EQ483"/>
      <c r="ER483"/>
      <c r="ES483"/>
      <c r="ET483"/>
      <c r="EU483"/>
      <c r="EV483"/>
      <c r="EW483"/>
      <c r="EX483"/>
      <c r="EY483"/>
      <c r="EZ483"/>
      <c r="FA483"/>
      <c r="FB483"/>
      <c r="FC483"/>
      <c r="FD483"/>
      <c r="FE483"/>
      <c r="FF483"/>
      <c r="FG483"/>
      <c r="FH483"/>
      <c r="FI483"/>
      <c r="FJ483"/>
      <c r="FK483"/>
      <c r="FL483"/>
      <c r="FM483"/>
      <c r="FN483"/>
      <c r="FO483"/>
      <c r="FP483"/>
      <c r="FQ483"/>
      <c r="FR483"/>
      <c r="FS483"/>
      <c r="FT483"/>
      <c r="FU483"/>
      <c r="FV483"/>
      <c r="FW483"/>
      <c r="FX483"/>
      <c r="FY483"/>
      <c r="FZ483"/>
      <c r="GA483"/>
      <c r="GB483"/>
      <c r="GC483"/>
      <c r="GD483"/>
      <c r="GE483"/>
      <c r="GF483"/>
      <c r="GG483"/>
      <c r="GH483"/>
      <c r="GI483"/>
      <c r="GJ483"/>
      <c r="GK483"/>
      <c r="GL483"/>
      <c r="GM483"/>
      <c r="GN483"/>
      <c r="GO483"/>
      <c r="GP483"/>
      <c r="GQ483"/>
      <c r="GR483"/>
      <c r="GS483"/>
      <c r="GT483"/>
      <c r="GU483"/>
      <c r="GV483"/>
      <c r="GW483"/>
      <c r="GX483"/>
      <c r="GY483"/>
      <c r="GZ483"/>
      <c r="HA483"/>
      <c r="HB483"/>
      <c r="HC483"/>
      <c r="HD483"/>
      <c r="HE483"/>
      <c r="HF483"/>
      <c r="HG483"/>
      <c r="HH483"/>
      <c r="HI483"/>
      <c r="HJ483"/>
      <c r="HK483"/>
      <c r="HL483"/>
      <c r="HM483"/>
      <c r="HN483"/>
      <c r="HO483"/>
      <c r="HP483"/>
      <c r="HQ483"/>
      <c r="HR483"/>
      <c r="HS483"/>
      <c r="HT483"/>
      <c r="HU483"/>
      <c r="HV483"/>
      <c r="HW483"/>
      <c r="HX483"/>
      <c r="HY483"/>
      <c r="HZ483"/>
      <c r="IA483"/>
      <c r="IB483"/>
      <c r="IC483"/>
      <c r="ID483"/>
      <c r="IE483"/>
      <c r="IF483"/>
      <c r="IG483"/>
      <c r="IH483"/>
      <c r="II483"/>
      <c r="IJ483"/>
      <c r="IK483"/>
      <c r="IL483"/>
      <c r="IM483"/>
      <c r="IN483"/>
      <c r="IO483"/>
      <c r="IP483"/>
      <c r="IQ483"/>
      <c r="IR483"/>
      <c r="IS483"/>
      <c r="IT483"/>
      <c r="IU483"/>
      <c r="IV483"/>
      <c r="IW483"/>
      <c r="IX483"/>
      <c r="IY483"/>
      <c r="IZ483"/>
      <c r="JA483"/>
      <c r="JB483"/>
      <c r="JC483"/>
      <c r="JD483"/>
      <c r="JE483"/>
      <c r="JF483"/>
      <c r="JG483"/>
      <c r="JH483"/>
      <c r="JI483"/>
      <c r="JJ483"/>
      <c r="JK483"/>
      <c r="JL483"/>
      <c r="JM483"/>
      <c r="JN483"/>
      <c r="JO483"/>
      <c r="JP483"/>
      <c r="JQ483"/>
      <c r="JR483"/>
      <c r="JS483"/>
      <c r="JT483"/>
      <c r="JU483"/>
      <c r="JV483"/>
      <c r="JW483"/>
      <c r="JX483"/>
      <c r="JY483"/>
      <c r="JZ483"/>
      <c r="KA483"/>
      <c r="KB483"/>
      <c r="KC483"/>
      <c r="KD483"/>
      <c r="KE483"/>
      <c r="KF483"/>
      <c r="KG483"/>
      <c r="KH483"/>
      <c r="KI483"/>
      <c r="KJ483"/>
      <c r="KK483"/>
      <c r="KL483"/>
      <c r="KM483"/>
      <c r="KN483"/>
      <c r="KO483"/>
      <c r="KP483"/>
      <c r="KQ483"/>
      <c r="KR483"/>
      <c r="KS483"/>
    </row>
    <row r="484" spans="2:305" hidden="1" x14ac:dyDescent="0.35">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c r="AL484"/>
      <c r="AM484"/>
      <c r="AN484"/>
      <c r="AO484"/>
      <c r="AP484"/>
      <c r="AQ484"/>
      <c r="AR484"/>
      <c r="AS484"/>
      <c r="AT484"/>
      <c r="AU484"/>
      <c r="AV484"/>
      <c r="AW484"/>
      <c r="AX484"/>
      <c r="AY484"/>
      <c r="AZ484"/>
      <c r="BA484"/>
      <c r="BB484"/>
      <c r="BC484"/>
      <c r="BD484"/>
      <c r="BE484"/>
      <c r="BF484"/>
      <c r="BG484"/>
      <c r="BH484"/>
      <c r="BI484"/>
      <c r="BJ484"/>
      <c r="BK484"/>
      <c r="BL484"/>
      <c r="BM484"/>
      <c r="BN484"/>
      <c r="BO484"/>
      <c r="BP484"/>
      <c r="BQ484"/>
      <c r="BR484"/>
      <c r="BS484"/>
      <c r="BT484"/>
      <c r="BU484"/>
      <c r="BV484"/>
      <c r="BW484"/>
      <c r="BX484"/>
      <c r="BY484"/>
      <c r="BZ484"/>
      <c r="CA484"/>
      <c r="CB484"/>
      <c r="CC484"/>
      <c r="CD484"/>
      <c r="CE484"/>
      <c r="CF484"/>
      <c r="CG484"/>
      <c r="CH484"/>
      <c r="CI484"/>
      <c r="CJ484"/>
      <c r="CK484"/>
      <c r="CL484"/>
      <c r="CM484"/>
      <c r="CN484"/>
      <c r="CO484"/>
      <c r="CP484"/>
      <c r="CQ484"/>
      <c r="CR484"/>
      <c r="CS484"/>
      <c r="CT484"/>
      <c r="CU484"/>
      <c r="CV484"/>
      <c r="CW484"/>
      <c r="CX484"/>
      <c r="CY484"/>
      <c r="CZ484"/>
      <c r="DA484"/>
      <c r="DB484"/>
      <c r="DC484"/>
      <c r="DD484"/>
      <c r="DE484"/>
      <c r="DF484"/>
      <c r="DG484"/>
      <c r="DH484"/>
      <c r="DI484"/>
      <c r="DJ484"/>
      <c r="DK484"/>
      <c r="DL484"/>
      <c r="DM484"/>
      <c r="DN484"/>
      <c r="DO484"/>
      <c r="DP484"/>
      <c r="DQ484"/>
      <c r="DR484"/>
      <c r="DS484"/>
      <c r="DT484"/>
      <c r="DU484"/>
      <c r="DV484"/>
      <c r="DW484"/>
      <c r="DX484"/>
      <c r="DY484"/>
      <c r="DZ484"/>
      <c r="EA484"/>
      <c r="EB484"/>
      <c r="EC484"/>
      <c r="ED484"/>
      <c r="EE484"/>
      <c r="EF484"/>
      <c r="EG484"/>
      <c r="EH484"/>
      <c r="EI484"/>
      <c r="EJ484"/>
      <c r="EK484"/>
      <c r="EL484"/>
      <c r="EM484"/>
      <c r="EN484"/>
      <c r="EO484"/>
      <c r="EP484"/>
      <c r="EQ484"/>
      <c r="ER484"/>
      <c r="ES484"/>
      <c r="ET484"/>
      <c r="EU484"/>
      <c r="EV484"/>
      <c r="EW484"/>
      <c r="EX484"/>
      <c r="EY484"/>
      <c r="EZ484"/>
      <c r="FA484"/>
      <c r="FB484"/>
      <c r="FC484"/>
      <c r="FD484"/>
      <c r="FE484"/>
      <c r="FF484"/>
      <c r="FG484"/>
      <c r="FH484"/>
      <c r="FI484"/>
      <c r="FJ484"/>
      <c r="FK484"/>
      <c r="FL484"/>
      <c r="FM484"/>
      <c r="FN484"/>
      <c r="FO484"/>
      <c r="FP484"/>
      <c r="FQ484"/>
      <c r="FR484"/>
      <c r="FS484"/>
      <c r="FT484"/>
      <c r="FU484"/>
      <c r="FV484"/>
      <c r="FW484"/>
      <c r="FX484"/>
      <c r="FY484"/>
      <c r="FZ484"/>
      <c r="GA484"/>
      <c r="GB484"/>
      <c r="GC484"/>
      <c r="GD484"/>
      <c r="GE484"/>
      <c r="GF484"/>
      <c r="GG484"/>
      <c r="GH484"/>
      <c r="GI484"/>
      <c r="GJ484"/>
      <c r="GK484"/>
      <c r="GL484"/>
      <c r="GM484"/>
      <c r="GN484"/>
      <c r="GO484"/>
      <c r="GP484"/>
      <c r="GQ484"/>
      <c r="GR484"/>
      <c r="GS484"/>
      <c r="GT484"/>
      <c r="GU484"/>
      <c r="GV484"/>
      <c r="GW484"/>
      <c r="GX484"/>
      <c r="GY484"/>
      <c r="GZ484"/>
      <c r="HA484"/>
      <c r="HB484"/>
      <c r="HC484"/>
      <c r="HD484"/>
      <c r="HE484"/>
      <c r="HF484"/>
      <c r="HG484"/>
      <c r="HH484"/>
      <c r="HI484"/>
      <c r="HJ484"/>
      <c r="HK484"/>
      <c r="HL484"/>
      <c r="HM484"/>
      <c r="HN484"/>
      <c r="HO484"/>
      <c r="HP484"/>
      <c r="HQ484"/>
      <c r="HR484"/>
      <c r="HS484"/>
      <c r="HT484"/>
      <c r="HU484"/>
      <c r="HV484"/>
      <c r="HW484"/>
      <c r="HX484"/>
      <c r="HY484"/>
      <c r="HZ484"/>
      <c r="IA484"/>
      <c r="IB484"/>
      <c r="IC484"/>
      <c r="ID484"/>
      <c r="IE484"/>
      <c r="IF484"/>
      <c r="IG484"/>
      <c r="IH484"/>
      <c r="II484"/>
      <c r="IJ484"/>
      <c r="IK484"/>
      <c r="IL484"/>
      <c r="IM484"/>
      <c r="IN484"/>
      <c r="IO484"/>
      <c r="IP484"/>
      <c r="IQ484"/>
      <c r="IR484"/>
      <c r="IS484"/>
      <c r="IT484"/>
      <c r="IU484"/>
      <c r="IV484"/>
      <c r="IW484"/>
      <c r="IX484"/>
      <c r="IY484"/>
      <c r="IZ484"/>
      <c r="JA484"/>
      <c r="JB484"/>
      <c r="JC484"/>
      <c r="JD484"/>
      <c r="JE484"/>
      <c r="JF484"/>
      <c r="JG484"/>
      <c r="JH484"/>
      <c r="JI484"/>
      <c r="JJ484"/>
      <c r="JK484"/>
      <c r="JL484"/>
      <c r="JM484"/>
      <c r="JN484"/>
      <c r="JO484"/>
      <c r="JP484"/>
      <c r="JQ484"/>
      <c r="JR484"/>
      <c r="JS484"/>
      <c r="JT484"/>
      <c r="JU484"/>
      <c r="JV484"/>
      <c r="JW484"/>
      <c r="JX484"/>
      <c r="JY484"/>
      <c r="JZ484"/>
      <c r="KA484"/>
      <c r="KB484"/>
      <c r="KC484"/>
      <c r="KD484"/>
      <c r="KE484"/>
      <c r="KF484"/>
      <c r="KG484"/>
      <c r="KH484"/>
      <c r="KI484"/>
      <c r="KJ484"/>
      <c r="KK484"/>
      <c r="KL484"/>
      <c r="KM484"/>
      <c r="KN484"/>
      <c r="KO484"/>
      <c r="KP484"/>
      <c r="KQ484"/>
      <c r="KR484"/>
      <c r="KS484"/>
    </row>
    <row r="485" spans="2:305" hidden="1" x14ac:dyDescent="0.3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c r="AN485"/>
      <c r="AO485"/>
      <c r="AP485"/>
      <c r="AQ485"/>
      <c r="AR485"/>
      <c r="AS485"/>
      <c r="AT485"/>
      <c r="AU485"/>
      <c r="AV485"/>
      <c r="AW485"/>
      <c r="AX485"/>
      <c r="AY485"/>
      <c r="AZ485"/>
      <c r="BA485"/>
      <c r="BB485"/>
      <c r="BC485"/>
      <c r="BD485"/>
      <c r="BE485"/>
      <c r="BF485"/>
      <c r="BG485"/>
      <c r="BH485"/>
      <c r="BI485"/>
      <c r="BJ485"/>
      <c r="BK485"/>
      <c r="BL485"/>
      <c r="BM485"/>
      <c r="BN485"/>
      <c r="BO485"/>
      <c r="BP485"/>
      <c r="BQ485"/>
      <c r="BR485"/>
      <c r="BS485"/>
      <c r="BT485"/>
      <c r="BU485"/>
      <c r="BV485"/>
      <c r="BW485"/>
      <c r="BX485"/>
      <c r="BY485"/>
      <c r="BZ485"/>
      <c r="CA485"/>
      <c r="CB485"/>
      <c r="CC485"/>
      <c r="CD485"/>
      <c r="CE485"/>
      <c r="CF485"/>
      <c r="CG485"/>
      <c r="CH485"/>
      <c r="CI485"/>
      <c r="CJ485"/>
      <c r="CK485"/>
      <c r="CL485"/>
      <c r="CM485"/>
      <c r="CN485"/>
      <c r="CO485"/>
      <c r="CP485"/>
      <c r="CQ485"/>
      <c r="CR485"/>
      <c r="CS485"/>
      <c r="CT485"/>
      <c r="CU485"/>
      <c r="CV485"/>
      <c r="CW485"/>
      <c r="CX485"/>
      <c r="CY485"/>
      <c r="CZ485"/>
      <c r="DA485"/>
      <c r="DB485"/>
      <c r="DC485"/>
      <c r="DD485"/>
      <c r="DE485"/>
      <c r="DF485"/>
      <c r="DG485"/>
      <c r="DH485"/>
      <c r="DI485"/>
      <c r="DJ485"/>
      <c r="DK485"/>
      <c r="DL485"/>
      <c r="DM485"/>
      <c r="DN485"/>
      <c r="DO485"/>
      <c r="DP485"/>
      <c r="DQ485"/>
      <c r="DR485"/>
      <c r="DS485"/>
      <c r="DT485"/>
      <c r="DU485"/>
      <c r="DV485"/>
      <c r="DW485"/>
      <c r="DX485"/>
      <c r="DY485"/>
      <c r="DZ485"/>
      <c r="EA485"/>
      <c r="EB485"/>
      <c r="EC485"/>
      <c r="ED485"/>
      <c r="EE485"/>
      <c r="EF485"/>
      <c r="EG485"/>
      <c r="EH485"/>
      <c r="EI485"/>
      <c r="EJ485"/>
      <c r="EK485"/>
      <c r="EL485"/>
      <c r="EM485"/>
      <c r="EN485"/>
      <c r="EO485"/>
      <c r="EP485"/>
      <c r="EQ485"/>
      <c r="ER485"/>
      <c r="ES485"/>
      <c r="ET485"/>
      <c r="EU485"/>
      <c r="EV485"/>
      <c r="EW485"/>
      <c r="EX485"/>
      <c r="EY485"/>
      <c r="EZ485"/>
      <c r="FA485"/>
      <c r="FB485"/>
      <c r="FC485"/>
      <c r="FD485"/>
      <c r="FE485"/>
      <c r="FF485"/>
      <c r="FG485"/>
      <c r="FH485"/>
      <c r="FI485"/>
      <c r="FJ485"/>
      <c r="FK485"/>
      <c r="FL485"/>
      <c r="FM485"/>
      <c r="FN485"/>
      <c r="FO485"/>
      <c r="FP485"/>
      <c r="FQ485"/>
      <c r="FR485"/>
      <c r="FS485"/>
      <c r="FT485"/>
      <c r="FU485"/>
      <c r="FV485"/>
      <c r="FW485"/>
      <c r="FX485"/>
      <c r="FY485"/>
      <c r="FZ485"/>
      <c r="GA485"/>
      <c r="GB485"/>
      <c r="GC485"/>
      <c r="GD485"/>
      <c r="GE485"/>
      <c r="GF485"/>
      <c r="GG485"/>
      <c r="GH485"/>
      <c r="GI485"/>
      <c r="GJ485"/>
      <c r="GK485"/>
      <c r="GL485"/>
      <c r="GM485"/>
      <c r="GN485"/>
      <c r="GO485"/>
      <c r="GP485"/>
      <c r="GQ485"/>
      <c r="GR485"/>
      <c r="GS485"/>
      <c r="GT485"/>
      <c r="GU485"/>
      <c r="GV485"/>
      <c r="GW485"/>
      <c r="GX485"/>
      <c r="GY485"/>
      <c r="GZ485"/>
      <c r="HA485"/>
      <c r="HB485"/>
      <c r="HC485"/>
      <c r="HD485"/>
      <c r="HE485"/>
      <c r="HF485"/>
      <c r="HG485"/>
      <c r="HH485"/>
      <c r="HI485"/>
      <c r="HJ485"/>
      <c r="HK485"/>
      <c r="HL485"/>
      <c r="HM485"/>
      <c r="HN485"/>
      <c r="HO485"/>
      <c r="HP485"/>
      <c r="HQ485"/>
      <c r="HR485"/>
      <c r="HS485"/>
      <c r="HT485"/>
      <c r="HU485"/>
      <c r="HV485"/>
      <c r="HW485"/>
      <c r="HX485"/>
      <c r="HY485"/>
      <c r="HZ485"/>
      <c r="IA485"/>
      <c r="IB485"/>
      <c r="IC485"/>
      <c r="ID485"/>
      <c r="IE485"/>
      <c r="IF485"/>
      <c r="IG485"/>
      <c r="IH485"/>
      <c r="II485"/>
      <c r="IJ485"/>
      <c r="IK485"/>
      <c r="IL485"/>
      <c r="IM485"/>
      <c r="IN485"/>
      <c r="IO485"/>
      <c r="IP485"/>
      <c r="IQ485"/>
      <c r="IR485"/>
      <c r="IS485"/>
      <c r="IT485"/>
      <c r="IU485"/>
      <c r="IV485"/>
      <c r="IW485"/>
      <c r="IX485"/>
      <c r="IY485"/>
      <c r="IZ485"/>
      <c r="JA485"/>
      <c r="JB485"/>
      <c r="JC485"/>
      <c r="JD485"/>
      <c r="JE485"/>
      <c r="JF485"/>
      <c r="JG485"/>
      <c r="JH485"/>
      <c r="JI485"/>
      <c r="JJ485"/>
      <c r="JK485"/>
      <c r="JL485"/>
      <c r="JM485"/>
      <c r="JN485"/>
      <c r="JO485"/>
      <c r="JP485"/>
      <c r="JQ485"/>
      <c r="JR485"/>
      <c r="JS485"/>
      <c r="JT485"/>
      <c r="JU485"/>
      <c r="JV485"/>
      <c r="JW485"/>
      <c r="JX485"/>
      <c r="JY485"/>
      <c r="JZ485"/>
      <c r="KA485"/>
      <c r="KB485"/>
      <c r="KC485"/>
      <c r="KD485"/>
      <c r="KE485"/>
      <c r="KF485"/>
      <c r="KG485"/>
      <c r="KH485"/>
      <c r="KI485"/>
      <c r="KJ485"/>
      <c r="KK485"/>
      <c r="KL485"/>
      <c r="KM485"/>
      <c r="KN485"/>
      <c r="KO485"/>
      <c r="KP485"/>
      <c r="KQ485"/>
      <c r="KR485"/>
      <c r="KS485"/>
    </row>
    <row r="486" spans="2:305" hidden="1" x14ac:dyDescent="0.35">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c r="AN486"/>
      <c r="AO486"/>
      <c r="AP486"/>
      <c r="AQ486"/>
      <c r="AR486"/>
      <c r="AS486"/>
      <c r="AT486"/>
      <c r="AU486"/>
      <c r="AV486"/>
      <c r="AW486"/>
      <c r="AX486"/>
      <c r="AY486"/>
      <c r="AZ486"/>
      <c r="BA486"/>
      <c r="BB486"/>
      <c r="BC486"/>
      <c r="BD486"/>
      <c r="BE486"/>
      <c r="BF486"/>
      <c r="BG486"/>
      <c r="BH486"/>
      <c r="BI486"/>
      <c r="BJ486"/>
      <c r="BK486"/>
      <c r="BL486"/>
      <c r="BM486"/>
      <c r="BN486"/>
      <c r="BO486"/>
      <c r="BP486"/>
      <c r="BQ486"/>
      <c r="BR486"/>
      <c r="BS486"/>
      <c r="BT486"/>
      <c r="BU486"/>
      <c r="BV486"/>
      <c r="BW486"/>
      <c r="BX486"/>
      <c r="BY486"/>
      <c r="BZ486"/>
      <c r="CA486"/>
      <c r="CB486"/>
      <c r="CC486"/>
      <c r="CD486"/>
      <c r="CE486"/>
      <c r="CF486"/>
      <c r="CG486"/>
      <c r="CH486"/>
      <c r="CI486"/>
      <c r="CJ486"/>
      <c r="CK486"/>
      <c r="CL486"/>
      <c r="CM486"/>
      <c r="CN486"/>
      <c r="CO486"/>
      <c r="CP486"/>
      <c r="CQ486"/>
      <c r="CR486"/>
      <c r="CS486"/>
      <c r="CT486"/>
      <c r="CU486"/>
      <c r="CV486"/>
      <c r="CW486"/>
      <c r="CX486"/>
      <c r="CY486"/>
      <c r="CZ486"/>
      <c r="DA486"/>
      <c r="DB486"/>
      <c r="DC486"/>
      <c r="DD486"/>
      <c r="DE486"/>
      <c r="DF486"/>
      <c r="DG486"/>
      <c r="DH486"/>
      <c r="DI486"/>
      <c r="DJ486"/>
      <c r="DK486"/>
      <c r="DL486"/>
      <c r="DM486"/>
      <c r="DN486"/>
      <c r="DO486"/>
      <c r="DP486"/>
      <c r="DQ486"/>
      <c r="DR486"/>
      <c r="DS486"/>
      <c r="DT486"/>
      <c r="DU486"/>
      <c r="DV486"/>
      <c r="DW486"/>
      <c r="DX486"/>
      <c r="DY486"/>
      <c r="DZ486"/>
      <c r="EA486"/>
      <c r="EB486"/>
      <c r="EC486"/>
      <c r="ED486"/>
      <c r="EE486"/>
      <c r="EF486"/>
      <c r="EG486"/>
      <c r="EH486"/>
      <c r="EI486"/>
      <c r="EJ486"/>
      <c r="EK486"/>
      <c r="EL486"/>
      <c r="EM486"/>
      <c r="EN486"/>
      <c r="EO486"/>
      <c r="EP486"/>
      <c r="EQ486"/>
      <c r="ER486"/>
      <c r="ES486"/>
      <c r="ET486"/>
      <c r="EU486"/>
      <c r="EV486"/>
      <c r="EW486"/>
      <c r="EX486"/>
      <c r="EY486"/>
      <c r="EZ486"/>
      <c r="FA486"/>
      <c r="FB486"/>
      <c r="FC486"/>
      <c r="FD486"/>
      <c r="FE486"/>
      <c r="FF486"/>
      <c r="FG486"/>
      <c r="FH486"/>
      <c r="FI486"/>
      <c r="FJ486"/>
      <c r="FK486"/>
      <c r="FL486"/>
      <c r="FM486"/>
      <c r="FN486"/>
      <c r="FO486"/>
      <c r="FP486"/>
      <c r="FQ486"/>
      <c r="FR486"/>
      <c r="FS486"/>
      <c r="FT486"/>
      <c r="FU486"/>
      <c r="FV486"/>
      <c r="FW486"/>
      <c r="FX486"/>
      <c r="FY486"/>
      <c r="FZ486"/>
      <c r="GA486"/>
      <c r="GB486"/>
      <c r="GC486"/>
      <c r="GD486"/>
      <c r="GE486"/>
      <c r="GF486"/>
      <c r="GG486"/>
      <c r="GH486"/>
      <c r="GI486"/>
      <c r="GJ486"/>
      <c r="GK486"/>
      <c r="GL486"/>
      <c r="GM486"/>
      <c r="GN486"/>
      <c r="GO486"/>
      <c r="GP486"/>
      <c r="GQ486"/>
      <c r="GR486"/>
      <c r="GS486"/>
      <c r="GT486"/>
      <c r="GU486"/>
      <c r="GV486"/>
      <c r="GW486"/>
      <c r="GX486"/>
      <c r="GY486"/>
      <c r="GZ486"/>
      <c r="HA486"/>
      <c r="HB486"/>
      <c r="HC486"/>
      <c r="HD486"/>
      <c r="HE486"/>
      <c r="HF486"/>
      <c r="HG486"/>
      <c r="HH486"/>
      <c r="HI486"/>
      <c r="HJ486"/>
      <c r="HK486"/>
      <c r="HL486"/>
      <c r="HM486"/>
      <c r="HN486"/>
      <c r="HO486"/>
      <c r="HP486"/>
      <c r="HQ486"/>
      <c r="HR486"/>
      <c r="HS486"/>
      <c r="HT486"/>
      <c r="HU486"/>
      <c r="HV486"/>
      <c r="HW486"/>
      <c r="HX486"/>
      <c r="HY486"/>
      <c r="HZ486"/>
      <c r="IA486"/>
      <c r="IB486"/>
      <c r="IC486"/>
      <c r="ID486"/>
      <c r="IE486"/>
      <c r="IF486"/>
      <c r="IG486"/>
      <c r="IH486"/>
      <c r="II486"/>
      <c r="IJ486"/>
      <c r="IK486"/>
      <c r="IL486"/>
      <c r="IM486"/>
      <c r="IN486"/>
      <c r="IO486"/>
      <c r="IP486"/>
      <c r="IQ486"/>
      <c r="IR486"/>
      <c r="IS486"/>
      <c r="IT486"/>
      <c r="IU486"/>
      <c r="IV486"/>
      <c r="IW486"/>
      <c r="IX486"/>
      <c r="IY486"/>
      <c r="IZ486"/>
      <c r="JA486"/>
      <c r="JB486"/>
      <c r="JC486"/>
      <c r="JD486"/>
      <c r="JE486"/>
      <c r="JF486"/>
      <c r="JG486"/>
      <c r="JH486"/>
      <c r="JI486"/>
      <c r="JJ486"/>
      <c r="JK486"/>
      <c r="JL486"/>
      <c r="JM486"/>
      <c r="JN486"/>
      <c r="JO486"/>
      <c r="JP486"/>
      <c r="JQ486"/>
      <c r="JR486"/>
      <c r="JS486"/>
      <c r="JT486"/>
      <c r="JU486"/>
      <c r="JV486"/>
      <c r="JW486"/>
      <c r="JX486"/>
      <c r="JY486"/>
      <c r="JZ486"/>
      <c r="KA486"/>
      <c r="KB486"/>
      <c r="KC486"/>
      <c r="KD486"/>
      <c r="KE486"/>
      <c r="KF486"/>
      <c r="KG486"/>
      <c r="KH486"/>
      <c r="KI486"/>
      <c r="KJ486"/>
      <c r="KK486"/>
      <c r="KL486"/>
      <c r="KM486"/>
      <c r="KN486"/>
      <c r="KO486"/>
      <c r="KP486"/>
      <c r="KQ486"/>
      <c r="KR486"/>
      <c r="KS486"/>
    </row>
    <row r="487" spans="2:305" hidden="1" x14ac:dyDescent="0.35">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c r="AN487"/>
      <c r="AO487"/>
      <c r="AP487"/>
      <c r="AQ487"/>
      <c r="AR487"/>
      <c r="AS487"/>
      <c r="AT487"/>
      <c r="AU487"/>
      <c r="AV487"/>
      <c r="AW487"/>
      <c r="AX487"/>
      <c r="AY487"/>
      <c r="AZ487"/>
      <c r="BA487"/>
      <c r="BB487"/>
      <c r="BC487"/>
      <c r="BD487"/>
      <c r="BE487"/>
      <c r="BF487"/>
      <c r="BG487"/>
      <c r="BH487"/>
      <c r="BI487"/>
      <c r="BJ487"/>
      <c r="BK487"/>
      <c r="BL487"/>
      <c r="BM487"/>
      <c r="BN487"/>
      <c r="BO487"/>
      <c r="BP487"/>
      <c r="BQ487"/>
      <c r="BR487"/>
      <c r="BS487"/>
      <c r="BT487"/>
      <c r="BU487"/>
      <c r="BV487"/>
      <c r="BW487"/>
      <c r="BX487"/>
      <c r="BY487"/>
      <c r="BZ487"/>
      <c r="CA487"/>
      <c r="CB487"/>
      <c r="CC487"/>
      <c r="CD487"/>
      <c r="CE487"/>
      <c r="CF487"/>
      <c r="CG487"/>
      <c r="CH487"/>
      <c r="CI487"/>
      <c r="CJ487"/>
      <c r="CK487"/>
      <c r="CL487"/>
      <c r="CM487"/>
      <c r="CN487"/>
      <c r="CO487"/>
      <c r="CP487"/>
      <c r="CQ487"/>
      <c r="CR487"/>
      <c r="CS487"/>
      <c r="CT487"/>
      <c r="CU487"/>
      <c r="CV487"/>
      <c r="CW487"/>
      <c r="CX487"/>
      <c r="CY487"/>
      <c r="CZ487"/>
      <c r="DA487"/>
      <c r="DB487"/>
      <c r="DC487"/>
      <c r="DD487"/>
      <c r="DE487"/>
      <c r="DF487"/>
      <c r="DG487"/>
      <c r="DH487"/>
      <c r="DI487"/>
      <c r="DJ487"/>
      <c r="DK487"/>
      <c r="DL487"/>
      <c r="DM487"/>
      <c r="DN487"/>
      <c r="DO487"/>
      <c r="DP487"/>
      <c r="DQ487"/>
      <c r="DR487"/>
      <c r="DS487"/>
      <c r="DT487"/>
      <c r="DU487"/>
      <c r="DV487"/>
      <c r="DW487"/>
      <c r="DX487"/>
      <c r="DY487"/>
      <c r="DZ487"/>
      <c r="EA487"/>
      <c r="EB487"/>
      <c r="EC487"/>
      <c r="ED487"/>
      <c r="EE487"/>
      <c r="EF487"/>
      <c r="EG487"/>
      <c r="EH487"/>
      <c r="EI487"/>
      <c r="EJ487"/>
      <c r="EK487"/>
      <c r="EL487"/>
      <c r="EM487"/>
      <c r="EN487"/>
      <c r="EO487"/>
      <c r="EP487"/>
      <c r="EQ487"/>
      <c r="ER487"/>
      <c r="ES487"/>
      <c r="ET487"/>
      <c r="EU487"/>
      <c r="EV487"/>
      <c r="EW487"/>
      <c r="EX487"/>
      <c r="EY487"/>
      <c r="EZ487"/>
      <c r="FA487"/>
      <c r="FB487"/>
      <c r="FC487"/>
      <c r="FD487"/>
      <c r="FE487"/>
      <c r="FF487"/>
      <c r="FG487"/>
      <c r="FH487"/>
      <c r="FI487"/>
      <c r="FJ487"/>
      <c r="FK487"/>
      <c r="FL487"/>
      <c r="FM487"/>
      <c r="FN487"/>
      <c r="FO487"/>
      <c r="FP487"/>
      <c r="FQ487"/>
      <c r="FR487"/>
      <c r="FS487"/>
      <c r="FT487"/>
      <c r="FU487"/>
      <c r="FV487"/>
      <c r="FW487"/>
      <c r="FX487"/>
      <c r="FY487"/>
      <c r="FZ487"/>
      <c r="GA487"/>
      <c r="GB487"/>
      <c r="GC487"/>
      <c r="GD487"/>
      <c r="GE487"/>
      <c r="GF487"/>
      <c r="GG487"/>
      <c r="GH487"/>
      <c r="GI487"/>
      <c r="GJ487"/>
      <c r="GK487"/>
      <c r="GL487"/>
      <c r="GM487"/>
      <c r="GN487"/>
      <c r="GO487"/>
      <c r="GP487"/>
      <c r="GQ487"/>
      <c r="GR487"/>
      <c r="GS487"/>
      <c r="GT487"/>
      <c r="GU487"/>
      <c r="GV487"/>
      <c r="GW487"/>
      <c r="GX487"/>
      <c r="GY487"/>
      <c r="GZ487"/>
      <c r="HA487"/>
      <c r="HB487"/>
      <c r="HC487"/>
      <c r="HD487"/>
      <c r="HE487"/>
      <c r="HF487"/>
      <c r="HG487"/>
      <c r="HH487"/>
      <c r="HI487"/>
      <c r="HJ487"/>
      <c r="HK487"/>
      <c r="HL487"/>
      <c r="HM487"/>
      <c r="HN487"/>
      <c r="HO487"/>
      <c r="HP487"/>
      <c r="HQ487"/>
      <c r="HR487"/>
      <c r="HS487"/>
      <c r="HT487"/>
      <c r="HU487"/>
      <c r="HV487"/>
      <c r="HW487"/>
      <c r="HX487"/>
      <c r="HY487"/>
      <c r="HZ487"/>
      <c r="IA487"/>
      <c r="IB487"/>
      <c r="IC487"/>
      <c r="ID487"/>
      <c r="IE487"/>
      <c r="IF487"/>
      <c r="IG487"/>
      <c r="IH487"/>
      <c r="II487"/>
      <c r="IJ487"/>
      <c r="IK487"/>
      <c r="IL487"/>
      <c r="IM487"/>
      <c r="IN487"/>
      <c r="IO487"/>
      <c r="IP487"/>
      <c r="IQ487"/>
      <c r="IR487"/>
      <c r="IS487"/>
      <c r="IT487"/>
      <c r="IU487"/>
      <c r="IV487"/>
      <c r="IW487"/>
      <c r="IX487"/>
      <c r="IY487"/>
      <c r="IZ487"/>
      <c r="JA487"/>
      <c r="JB487"/>
      <c r="JC487"/>
      <c r="JD487"/>
      <c r="JE487"/>
      <c r="JF487"/>
      <c r="JG487"/>
      <c r="JH487"/>
      <c r="JI487"/>
      <c r="JJ487"/>
      <c r="JK487"/>
      <c r="JL487"/>
      <c r="JM487"/>
      <c r="JN487"/>
      <c r="JO487"/>
      <c r="JP487"/>
      <c r="JQ487"/>
      <c r="JR487"/>
      <c r="JS487"/>
      <c r="JT487"/>
      <c r="JU487"/>
      <c r="JV487"/>
      <c r="JW487"/>
      <c r="JX487"/>
      <c r="JY487"/>
      <c r="JZ487"/>
      <c r="KA487"/>
      <c r="KB487"/>
      <c r="KC487"/>
      <c r="KD487"/>
      <c r="KE487"/>
      <c r="KF487"/>
      <c r="KG487"/>
      <c r="KH487"/>
      <c r="KI487"/>
      <c r="KJ487"/>
      <c r="KK487"/>
      <c r="KL487"/>
      <c r="KM487"/>
      <c r="KN487"/>
      <c r="KO487"/>
      <c r="KP487"/>
      <c r="KQ487"/>
      <c r="KR487"/>
      <c r="KS487"/>
    </row>
    <row r="488" spans="2:305" hidden="1" x14ac:dyDescent="0.35">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c r="AL488"/>
      <c r="AM488"/>
      <c r="AN488"/>
      <c r="AO488"/>
      <c r="AP488"/>
      <c r="AQ488"/>
      <c r="AR488"/>
      <c r="AS488"/>
      <c r="AT488"/>
      <c r="AU488"/>
      <c r="AV488"/>
      <c r="AW488"/>
      <c r="AX488"/>
      <c r="AY488"/>
      <c r="AZ488"/>
      <c r="BA488"/>
      <c r="BB488"/>
      <c r="BC488"/>
      <c r="BD488"/>
      <c r="BE488"/>
      <c r="BF488"/>
      <c r="BG488"/>
      <c r="BH488"/>
      <c r="BI488"/>
      <c r="BJ488"/>
      <c r="BK488"/>
      <c r="BL488"/>
      <c r="BM488"/>
      <c r="BN488"/>
      <c r="BO488"/>
      <c r="BP488"/>
      <c r="BQ488"/>
      <c r="BR488"/>
      <c r="BS488"/>
      <c r="BT488"/>
      <c r="BU488"/>
      <c r="BV488"/>
      <c r="BW488"/>
      <c r="BX488"/>
      <c r="BY488"/>
      <c r="BZ488"/>
      <c r="CA488"/>
      <c r="CB488"/>
      <c r="CC488"/>
      <c r="CD488"/>
      <c r="CE488"/>
      <c r="CF488"/>
      <c r="CG488"/>
      <c r="CH488"/>
      <c r="CI488"/>
      <c r="CJ488"/>
      <c r="CK488"/>
      <c r="CL488"/>
      <c r="CM488"/>
      <c r="CN488"/>
      <c r="CO488"/>
      <c r="CP488"/>
      <c r="CQ488"/>
      <c r="CR488"/>
      <c r="CS488"/>
      <c r="CT488"/>
      <c r="CU488"/>
      <c r="CV488"/>
      <c r="CW488"/>
      <c r="CX488"/>
      <c r="CY488"/>
      <c r="CZ488"/>
      <c r="DA488"/>
      <c r="DB488"/>
      <c r="DC488"/>
      <c r="DD488"/>
      <c r="DE488"/>
      <c r="DF488"/>
      <c r="DG488"/>
      <c r="DH488"/>
      <c r="DI488"/>
      <c r="DJ488"/>
      <c r="DK488"/>
      <c r="DL488"/>
      <c r="DM488"/>
      <c r="DN488"/>
      <c r="DO488"/>
      <c r="DP488"/>
      <c r="DQ488"/>
      <c r="DR488"/>
      <c r="DS488"/>
      <c r="DT488"/>
      <c r="DU488"/>
      <c r="DV488"/>
      <c r="DW488"/>
      <c r="DX488"/>
      <c r="DY488"/>
      <c r="DZ488"/>
      <c r="EA488"/>
      <c r="EB488"/>
      <c r="EC488"/>
      <c r="ED488"/>
      <c r="EE488"/>
      <c r="EF488"/>
      <c r="EG488"/>
      <c r="EH488"/>
      <c r="EI488"/>
      <c r="EJ488"/>
      <c r="EK488"/>
      <c r="EL488"/>
      <c r="EM488"/>
      <c r="EN488"/>
      <c r="EO488"/>
      <c r="EP488"/>
      <c r="EQ488"/>
      <c r="ER488"/>
      <c r="ES488"/>
      <c r="ET488"/>
      <c r="EU488"/>
      <c r="EV488"/>
      <c r="EW488"/>
      <c r="EX488"/>
      <c r="EY488"/>
      <c r="EZ488"/>
      <c r="FA488"/>
      <c r="FB488"/>
      <c r="FC488"/>
      <c r="FD488"/>
      <c r="FE488"/>
      <c r="FF488"/>
      <c r="FG488"/>
      <c r="FH488"/>
      <c r="FI488"/>
      <c r="FJ488"/>
      <c r="FK488"/>
      <c r="FL488"/>
      <c r="FM488"/>
      <c r="FN488"/>
      <c r="FO488"/>
      <c r="FP488"/>
      <c r="FQ488"/>
      <c r="FR488"/>
      <c r="FS488"/>
      <c r="FT488"/>
      <c r="FU488"/>
      <c r="FV488"/>
      <c r="FW488"/>
      <c r="FX488"/>
      <c r="FY488"/>
      <c r="FZ488"/>
      <c r="GA488"/>
      <c r="GB488"/>
      <c r="GC488"/>
      <c r="GD488"/>
      <c r="GE488"/>
      <c r="GF488"/>
      <c r="GG488"/>
      <c r="GH488"/>
      <c r="GI488"/>
      <c r="GJ488"/>
      <c r="GK488"/>
      <c r="GL488"/>
      <c r="GM488"/>
      <c r="GN488"/>
      <c r="GO488"/>
      <c r="GP488"/>
      <c r="GQ488"/>
      <c r="GR488"/>
      <c r="GS488"/>
      <c r="GT488"/>
      <c r="GU488"/>
      <c r="GV488"/>
      <c r="GW488"/>
      <c r="GX488"/>
      <c r="GY488"/>
      <c r="GZ488"/>
      <c r="HA488"/>
      <c r="HB488"/>
      <c r="HC488"/>
      <c r="HD488"/>
      <c r="HE488"/>
      <c r="HF488"/>
      <c r="HG488"/>
      <c r="HH488"/>
      <c r="HI488"/>
      <c r="HJ488"/>
      <c r="HK488"/>
      <c r="HL488"/>
      <c r="HM488"/>
      <c r="HN488"/>
      <c r="HO488"/>
      <c r="HP488"/>
      <c r="HQ488"/>
      <c r="HR488"/>
      <c r="HS488"/>
      <c r="HT488"/>
      <c r="HU488"/>
      <c r="HV488"/>
      <c r="HW488"/>
      <c r="HX488"/>
      <c r="HY488"/>
      <c r="HZ488"/>
      <c r="IA488"/>
      <c r="IB488"/>
      <c r="IC488"/>
      <c r="ID488"/>
      <c r="IE488"/>
      <c r="IF488"/>
      <c r="IG488"/>
      <c r="IH488"/>
      <c r="II488"/>
      <c r="IJ488"/>
      <c r="IK488"/>
      <c r="IL488"/>
      <c r="IM488"/>
      <c r="IN488"/>
      <c r="IO488"/>
      <c r="IP488"/>
      <c r="IQ488"/>
      <c r="IR488"/>
      <c r="IS488"/>
      <c r="IT488"/>
      <c r="IU488"/>
      <c r="IV488"/>
      <c r="IW488"/>
      <c r="IX488"/>
      <c r="IY488"/>
      <c r="IZ488"/>
      <c r="JA488"/>
      <c r="JB488"/>
      <c r="JC488"/>
      <c r="JD488"/>
      <c r="JE488"/>
      <c r="JF488"/>
      <c r="JG488"/>
      <c r="JH488"/>
      <c r="JI488"/>
      <c r="JJ488"/>
      <c r="JK488"/>
      <c r="JL488"/>
      <c r="JM488"/>
      <c r="JN488"/>
      <c r="JO488"/>
      <c r="JP488"/>
      <c r="JQ488"/>
      <c r="JR488"/>
      <c r="JS488"/>
      <c r="JT488"/>
      <c r="JU488"/>
      <c r="JV488"/>
      <c r="JW488"/>
      <c r="JX488"/>
      <c r="JY488"/>
      <c r="JZ488"/>
      <c r="KA488"/>
      <c r="KB488"/>
      <c r="KC488"/>
      <c r="KD488"/>
      <c r="KE488"/>
      <c r="KF488"/>
      <c r="KG488"/>
      <c r="KH488"/>
      <c r="KI488"/>
      <c r="KJ488"/>
      <c r="KK488"/>
      <c r="KL488"/>
      <c r="KM488"/>
      <c r="KN488"/>
      <c r="KO488"/>
      <c r="KP488"/>
      <c r="KQ488"/>
      <c r="KR488"/>
      <c r="KS488"/>
    </row>
    <row r="489" spans="2:305" hidden="1" x14ac:dyDescent="0.35">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c r="AL489"/>
      <c r="AM489"/>
      <c r="AN489"/>
      <c r="AO489"/>
      <c r="AP489"/>
      <c r="AQ489"/>
      <c r="AR489"/>
      <c r="AS489"/>
      <c r="AT489"/>
      <c r="AU489"/>
      <c r="AV489"/>
      <c r="AW489"/>
      <c r="AX489"/>
      <c r="AY489"/>
      <c r="AZ489"/>
      <c r="BA489"/>
      <c r="BB489"/>
      <c r="BC489"/>
      <c r="BD489"/>
      <c r="BE489"/>
      <c r="BF489"/>
      <c r="BG489"/>
      <c r="BH489"/>
      <c r="BI489"/>
      <c r="BJ489"/>
      <c r="BK489"/>
      <c r="BL489"/>
      <c r="BM489"/>
      <c r="BN489"/>
      <c r="BO489"/>
      <c r="BP489"/>
      <c r="BQ489"/>
      <c r="BR489"/>
      <c r="BS489"/>
      <c r="BT489"/>
      <c r="BU489"/>
      <c r="BV489"/>
      <c r="BW489"/>
      <c r="BX489"/>
      <c r="BY489"/>
      <c r="BZ489"/>
      <c r="CA489"/>
      <c r="CB489"/>
      <c r="CC489"/>
      <c r="CD489"/>
      <c r="CE489"/>
      <c r="CF489"/>
      <c r="CG489"/>
      <c r="CH489"/>
      <c r="CI489"/>
      <c r="CJ489"/>
      <c r="CK489"/>
      <c r="CL489"/>
      <c r="CM489"/>
      <c r="CN489"/>
      <c r="CO489"/>
      <c r="CP489"/>
      <c r="CQ489"/>
      <c r="CR489"/>
      <c r="CS489"/>
      <c r="CT489"/>
      <c r="CU489"/>
      <c r="CV489"/>
      <c r="CW489"/>
      <c r="CX489"/>
      <c r="CY489"/>
      <c r="CZ489"/>
      <c r="DA489"/>
      <c r="DB489"/>
      <c r="DC489"/>
      <c r="DD489"/>
      <c r="DE489"/>
      <c r="DF489"/>
      <c r="DG489"/>
      <c r="DH489"/>
      <c r="DI489"/>
      <c r="DJ489"/>
      <c r="DK489"/>
      <c r="DL489"/>
      <c r="DM489"/>
      <c r="DN489"/>
      <c r="DO489"/>
      <c r="DP489"/>
      <c r="DQ489"/>
      <c r="DR489"/>
      <c r="DS489"/>
      <c r="DT489"/>
      <c r="DU489"/>
      <c r="DV489"/>
      <c r="DW489"/>
      <c r="DX489"/>
      <c r="DY489"/>
      <c r="DZ489"/>
      <c r="EA489"/>
      <c r="EB489"/>
      <c r="EC489"/>
      <c r="ED489"/>
      <c r="EE489"/>
      <c r="EF489"/>
      <c r="EG489"/>
      <c r="EH489"/>
      <c r="EI489"/>
      <c r="EJ489"/>
      <c r="EK489"/>
      <c r="EL489"/>
      <c r="EM489"/>
      <c r="EN489"/>
      <c r="EO489"/>
      <c r="EP489"/>
      <c r="EQ489"/>
      <c r="ER489"/>
      <c r="ES489"/>
      <c r="ET489"/>
      <c r="EU489"/>
      <c r="EV489"/>
      <c r="EW489"/>
      <c r="EX489"/>
      <c r="EY489"/>
      <c r="EZ489"/>
      <c r="FA489"/>
      <c r="FB489"/>
      <c r="FC489"/>
      <c r="FD489"/>
      <c r="FE489"/>
      <c r="FF489"/>
      <c r="FG489"/>
      <c r="FH489"/>
      <c r="FI489"/>
      <c r="FJ489"/>
      <c r="FK489"/>
      <c r="FL489"/>
      <c r="FM489"/>
      <c r="FN489"/>
      <c r="FO489"/>
      <c r="FP489"/>
      <c r="FQ489"/>
      <c r="FR489"/>
      <c r="FS489"/>
      <c r="FT489"/>
      <c r="FU489"/>
      <c r="FV489"/>
      <c r="FW489"/>
      <c r="FX489"/>
      <c r="FY489"/>
      <c r="FZ489"/>
      <c r="GA489"/>
      <c r="GB489"/>
      <c r="GC489"/>
      <c r="GD489"/>
      <c r="GE489"/>
      <c r="GF489"/>
      <c r="GG489"/>
      <c r="GH489"/>
      <c r="GI489"/>
      <c r="GJ489"/>
      <c r="GK489"/>
      <c r="GL489"/>
      <c r="GM489"/>
      <c r="GN489"/>
      <c r="GO489"/>
      <c r="GP489"/>
      <c r="GQ489"/>
      <c r="GR489"/>
      <c r="GS489"/>
      <c r="GT489"/>
      <c r="GU489"/>
      <c r="GV489"/>
      <c r="GW489"/>
      <c r="GX489"/>
      <c r="GY489"/>
      <c r="GZ489"/>
      <c r="HA489"/>
      <c r="HB489"/>
      <c r="HC489"/>
      <c r="HD489"/>
      <c r="HE489"/>
      <c r="HF489"/>
      <c r="HG489"/>
      <c r="HH489"/>
      <c r="HI489"/>
      <c r="HJ489"/>
      <c r="HK489"/>
      <c r="HL489"/>
      <c r="HM489"/>
      <c r="HN489"/>
      <c r="HO489"/>
      <c r="HP489"/>
      <c r="HQ489"/>
      <c r="HR489"/>
      <c r="HS489"/>
      <c r="HT489"/>
      <c r="HU489"/>
      <c r="HV489"/>
      <c r="HW489"/>
      <c r="HX489"/>
      <c r="HY489"/>
      <c r="HZ489"/>
      <c r="IA489"/>
      <c r="IB489"/>
      <c r="IC489"/>
      <c r="ID489"/>
      <c r="IE489"/>
      <c r="IF489"/>
      <c r="IG489"/>
      <c r="IH489"/>
      <c r="II489"/>
      <c r="IJ489"/>
      <c r="IK489"/>
      <c r="IL489"/>
      <c r="IM489"/>
      <c r="IN489"/>
      <c r="IO489"/>
      <c r="IP489"/>
      <c r="IQ489"/>
      <c r="IR489"/>
      <c r="IS489"/>
      <c r="IT489"/>
      <c r="IU489"/>
      <c r="IV489"/>
      <c r="IW489"/>
      <c r="IX489"/>
      <c r="IY489"/>
      <c r="IZ489"/>
      <c r="JA489"/>
      <c r="JB489"/>
      <c r="JC489"/>
      <c r="JD489"/>
      <c r="JE489"/>
      <c r="JF489"/>
      <c r="JG489"/>
      <c r="JH489"/>
      <c r="JI489"/>
      <c r="JJ489"/>
      <c r="JK489"/>
      <c r="JL489"/>
      <c r="JM489"/>
      <c r="JN489"/>
      <c r="JO489"/>
      <c r="JP489"/>
      <c r="JQ489"/>
      <c r="JR489"/>
      <c r="JS489"/>
      <c r="JT489"/>
      <c r="JU489"/>
      <c r="JV489"/>
      <c r="JW489"/>
      <c r="JX489"/>
      <c r="JY489"/>
      <c r="JZ489"/>
      <c r="KA489"/>
      <c r="KB489"/>
      <c r="KC489"/>
      <c r="KD489"/>
      <c r="KE489"/>
      <c r="KF489"/>
      <c r="KG489"/>
      <c r="KH489"/>
      <c r="KI489"/>
      <c r="KJ489"/>
      <c r="KK489"/>
      <c r="KL489"/>
      <c r="KM489"/>
      <c r="KN489"/>
      <c r="KO489"/>
      <c r="KP489"/>
      <c r="KQ489"/>
      <c r="KR489"/>
      <c r="KS489"/>
    </row>
    <row r="490" spans="2:305" hidden="1" x14ac:dyDescent="0.35">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c r="AL490"/>
      <c r="AM490"/>
      <c r="AN490"/>
      <c r="AO490"/>
      <c r="AP490"/>
      <c r="AQ490"/>
      <c r="AR490"/>
      <c r="AS490"/>
      <c r="AT490"/>
      <c r="AU490"/>
      <c r="AV490"/>
      <c r="AW490"/>
      <c r="AX490"/>
      <c r="AY490"/>
      <c r="AZ490"/>
      <c r="BA490"/>
      <c r="BB490"/>
      <c r="BC490"/>
      <c r="BD490"/>
      <c r="BE490"/>
      <c r="BF490"/>
      <c r="BG490"/>
      <c r="BH490"/>
      <c r="BI490"/>
      <c r="BJ490"/>
      <c r="BK490"/>
      <c r="BL490"/>
      <c r="BM490"/>
      <c r="BN490"/>
      <c r="BO490"/>
      <c r="BP490"/>
      <c r="BQ490"/>
      <c r="BR490"/>
      <c r="BS490"/>
      <c r="BT490"/>
      <c r="BU490"/>
      <c r="BV490"/>
      <c r="BW490"/>
      <c r="BX490"/>
      <c r="BY490"/>
      <c r="BZ490"/>
      <c r="CA490"/>
      <c r="CB490"/>
      <c r="CC490"/>
      <c r="CD490"/>
      <c r="CE490"/>
      <c r="CF490"/>
      <c r="CG490"/>
      <c r="CH490"/>
      <c r="CI490"/>
      <c r="CJ490"/>
      <c r="CK490"/>
      <c r="CL490"/>
      <c r="CM490"/>
      <c r="CN490"/>
      <c r="CO490"/>
      <c r="CP490"/>
      <c r="CQ490"/>
      <c r="CR490"/>
      <c r="CS490"/>
      <c r="CT490"/>
      <c r="CU490"/>
      <c r="CV490"/>
      <c r="CW490"/>
      <c r="CX490"/>
      <c r="CY490"/>
      <c r="CZ490"/>
      <c r="DA490"/>
      <c r="DB490"/>
      <c r="DC490"/>
      <c r="DD490"/>
      <c r="DE490"/>
      <c r="DF490"/>
      <c r="DG490"/>
      <c r="DH490"/>
      <c r="DI490"/>
      <c r="DJ490"/>
      <c r="DK490"/>
      <c r="DL490"/>
      <c r="DM490"/>
      <c r="DN490"/>
      <c r="DO490"/>
      <c r="DP490"/>
      <c r="DQ490"/>
      <c r="DR490"/>
      <c r="DS490"/>
      <c r="DT490"/>
      <c r="DU490"/>
      <c r="DV490"/>
      <c r="DW490"/>
      <c r="DX490"/>
      <c r="DY490"/>
      <c r="DZ490"/>
      <c r="EA490"/>
      <c r="EB490"/>
      <c r="EC490"/>
      <c r="ED490"/>
      <c r="EE490"/>
      <c r="EF490"/>
      <c r="EG490"/>
      <c r="EH490"/>
      <c r="EI490"/>
      <c r="EJ490"/>
      <c r="EK490"/>
      <c r="EL490"/>
      <c r="EM490"/>
      <c r="EN490"/>
      <c r="EO490"/>
      <c r="EP490"/>
      <c r="EQ490"/>
      <c r="ER490"/>
      <c r="ES490"/>
      <c r="ET490"/>
      <c r="EU490"/>
      <c r="EV490"/>
      <c r="EW490"/>
      <c r="EX490"/>
      <c r="EY490"/>
      <c r="EZ490"/>
      <c r="FA490"/>
      <c r="FB490"/>
      <c r="FC490"/>
      <c r="FD490"/>
      <c r="FE490"/>
      <c r="FF490"/>
      <c r="FG490"/>
      <c r="FH490"/>
      <c r="FI490"/>
      <c r="FJ490"/>
      <c r="FK490"/>
      <c r="FL490"/>
      <c r="FM490"/>
      <c r="FN490"/>
      <c r="FO490"/>
      <c r="FP490"/>
      <c r="FQ490"/>
      <c r="FR490"/>
      <c r="FS490"/>
      <c r="FT490"/>
      <c r="FU490"/>
      <c r="FV490"/>
      <c r="FW490"/>
      <c r="FX490"/>
      <c r="FY490"/>
      <c r="FZ490"/>
      <c r="GA490"/>
      <c r="GB490"/>
      <c r="GC490"/>
      <c r="GD490"/>
      <c r="GE490"/>
      <c r="GF490"/>
      <c r="GG490"/>
      <c r="GH490"/>
      <c r="GI490"/>
      <c r="GJ490"/>
      <c r="GK490"/>
      <c r="GL490"/>
      <c r="GM490"/>
      <c r="GN490"/>
      <c r="GO490"/>
      <c r="GP490"/>
      <c r="GQ490"/>
      <c r="GR490"/>
      <c r="GS490"/>
      <c r="GT490"/>
      <c r="GU490"/>
      <c r="GV490"/>
      <c r="GW490"/>
      <c r="GX490"/>
      <c r="GY490"/>
      <c r="GZ490"/>
      <c r="HA490"/>
      <c r="HB490"/>
      <c r="HC490"/>
      <c r="HD490"/>
      <c r="HE490"/>
      <c r="HF490"/>
      <c r="HG490"/>
      <c r="HH490"/>
      <c r="HI490"/>
      <c r="HJ490"/>
      <c r="HK490"/>
      <c r="HL490"/>
      <c r="HM490"/>
      <c r="HN490"/>
      <c r="HO490"/>
      <c r="HP490"/>
      <c r="HQ490"/>
      <c r="HR490"/>
      <c r="HS490"/>
      <c r="HT490"/>
      <c r="HU490"/>
      <c r="HV490"/>
      <c r="HW490"/>
      <c r="HX490"/>
      <c r="HY490"/>
      <c r="HZ490"/>
      <c r="IA490"/>
      <c r="IB490"/>
      <c r="IC490"/>
      <c r="ID490"/>
      <c r="IE490"/>
      <c r="IF490"/>
      <c r="IG490"/>
      <c r="IH490"/>
      <c r="II490"/>
      <c r="IJ490"/>
      <c r="IK490"/>
      <c r="IL490"/>
      <c r="IM490"/>
      <c r="IN490"/>
      <c r="IO490"/>
      <c r="IP490"/>
      <c r="IQ490"/>
      <c r="IR490"/>
      <c r="IS490"/>
      <c r="IT490"/>
      <c r="IU490"/>
      <c r="IV490"/>
      <c r="IW490"/>
      <c r="IX490"/>
      <c r="IY490"/>
      <c r="IZ490"/>
      <c r="JA490"/>
      <c r="JB490"/>
      <c r="JC490"/>
      <c r="JD490"/>
      <c r="JE490"/>
      <c r="JF490"/>
      <c r="JG490"/>
      <c r="JH490"/>
      <c r="JI490"/>
      <c r="JJ490"/>
      <c r="JK490"/>
      <c r="JL490"/>
      <c r="JM490"/>
      <c r="JN490"/>
      <c r="JO490"/>
      <c r="JP490"/>
      <c r="JQ490"/>
      <c r="JR490"/>
      <c r="JS490"/>
      <c r="JT490"/>
      <c r="JU490"/>
      <c r="JV490"/>
      <c r="JW490"/>
      <c r="JX490"/>
      <c r="JY490"/>
      <c r="JZ490"/>
      <c r="KA490"/>
      <c r="KB490"/>
      <c r="KC490"/>
      <c r="KD490"/>
      <c r="KE490"/>
      <c r="KF490"/>
      <c r="KG490"/>
      <c r="KH490"/>
      <c r="KI490"/>
      <c r="KJ490"/>
      <c r="KK490"/>
      <c r="KL490"/>
      <c r="KM490"/>
      <c r="KN490"/>
      <c r="KO490"/>
      <c r="KP490"/>
      <c r="KQ490"/>
      <c r="KR490"/>
      <c r="KS490"/>
    </row>
    <row r="491" spans="2:305" hidden="1" x14ac:dyDescent="0.35">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c r="AL491"/>
      <c r="AM491"/>
      <c r="AN491"/>
      <c r="AO491"/>
      <c r="AP491"/>
      <c r="AQ491"/>
      <c r="AR491"/>
      <c r="AS491"/>
      <c r="AT491"/>
      <c r="AU491"/>
      <c r="AV491"/>
      <c r="AW491"/>
      <c r="AX491"/>
      <c r="AY491"/>
      <c r="AZ491"/>
      <c r="BA491"/>
      <c r="BB491"/>
      <c r="BC491"/>
      <c r="BD491"/>
      <c r="BE491"/>
      <c r="BF491"/>
      <c r="BG491"/>
      <c r="BH491"/>
      <c r="BI491"/>
      <c r="BJ491"/>
      <c r="BK491"/>
      <c r="BL491"/>
      <c r="BM491"/>
      <c r="BN491"/>
      <c r="BO491"/>
      <c r="BP491"/>
      <c r="BQ491"/>
      <c r="BR491"/>
      <c r="BS491"/>
      <c r="BT491"/>
      <c r="BU491"/>
      <c r="BV491"/>
      <c r="BW491"/>
      <c r="BX491"/>
      <c r="BY491"/>
      <c r="BZ491"/>
      <c r="CA491"/>
      <c r="CB491"/>
      <c r="CC491"/>
      <c r="CD491"/>
      <c r="CE491"/>
      <c r="CF491"/>
      <c r="CG491"/>
      <c r="CH491"/>
      <c r="CI491"/>
      <c r="CJ491"/>
      <c r="CK491"/>
      <c r="CL491"/>
      <c r="CM491"/>
      <c r="CN491"/>
      <c r="CO491"/>
      <c r="CP491"/>
      <c r="CQ491"/>
      <c r="CR491"/>
      <c r="CS491"/>
      <c r="CT491"/>
      <c r="CU491"/>
      <c r="CV491"/>
      <c r="CW491"/>
      <c r="CX491"/>
      <c r="CY491"/>
      <c r="CZ491"/>
      <c r="DA491"/>
      <c r="DB491"/>
      <c r="DC491"/>
      <c r="DD491"/>
      <c r="DE491"/>
      <c r="DF491"/>
      <c r="DG491"/>
      <c r="DH491"/>
      <c r="DI491"/>
      <c r="DJ491"/>
      <c r="DK491"/>
      <c r="DL491"/>
      <c r="DM491"/>
      <c r="DN491"/>
      <c r="DO491"/>
      <c r="DP491"/>
      <c r="DQ491"/>
      <c r="DR491"/>
      <c r="DS491"/>
      <c r="DT491"/>
      <c r="DU491"/>
      <c r="DV491"/>
      <c r="DW491"/>
      <c r="DX491"/>
      <c r="DY491"/>
      <c r="DZ491"/>
      <c r="EA491"/>
      <c r="EB491"/>
      <c r="EC491"/>
      <c r="ED491"/>
      <c r="EE491"/>
      <c r="EF491"/>
      <c r="EG491"/>
      <c r="EH491"/>
      <c r="EI491"/>
      <c r="EJ491"/>
      <c r="EK491"/>
      <c r="EL491"/>
      <c r="EM491"/>
      <c r="EN491"/>
      <c r="EO491"/>
      <c r="EP491"/>
      <c r="EQ491"/>
      <c r="ER491"/>
      <c r="ES491"/>
      <c r="ET491"/>
      <c r="EU491"/>
      <c r="EV491"/>
      <c r="EW491"/>
      <c r="EX491"/>
      <c r="EY491"/>
      <c r="EZ491"/>
      <c r="FA491"/>
      <c r="FB491"/>
      <c r="FC491"/>
      <c r="FD491"/>
      <c r="FE491"/>
      <c r="FF491"/>
      <c r="FG491"/>
      <c r="FH491"/>
      <c r="FI491"/>
      <c r="FJ491"/>
      <c r="FK491"/>
      <c r="FL491"/>
      <c r="FM491"/>
      <c r="FN491"/>
      <c r="FO491"/>
      <c r="FP491"/>
      <c r="FQ491"/>
      <c r="FR491"/>
      <c r="FS491"/>
      <c r="FT491"/>
      <c r="FU491"/>
      <c r="FV491"/>
      <c r="FW491"/>
      <c r="FX491"/>
      <c r="FY491"/>
      <c r="FZ491"/>
      <c r="GA491"/>
      <c r="GB491"/>
      <c r="GC491"/>
      <c r="GD491"/>
      <c r="GE491"/>
      <c r="GF491"/>
      <c r="GG491"/>
      <c r="GH491"/>
      <c r="GI491"/>
      <c r="GJ491"/>
      <c r="GK491"/>
      <c r="GL491"/>
      <c r="GM491"/>
      <c r="GN491"/>
      <c r="GO491"/>
      <c r="GP491"/>
      <c r="GQ491"/>
      <c r="GR491"/>
      <c r="GS491"/>
      <c r="GT491"/>
      <c r="GU491"/>
      <c r="GV491"/>
      <c r="GW491"/>
      <c r="GX491"/>
      <c r="GY491"/>
      <c r="GZ491"/>
      <c r="HA491"/>
      <c r="HB491"/>
      <c r="HC491"/>
      <c r="HD491"/>
      <c r="HE491"/>
      <c r="HF491"/>
      <c r="HG491"/>
      <c r="HH491"/>
      <c r="HI491"/>
      <c r="HJ491"/>
      <c r="HK491"/>
      <c r="HL491"/>
      <c r="HM491"/>
      <c r="HN491"/>
      <c r="HO491"/>
      <c r="HP491"/>
      <c r="HQ491"/>
      <c r="HR491"/>
      <c r="HS491"/>
      <c r="HT491"/>
      <c r="HU491"/>
      <c r="HV491"/>
      <c r="HW491"/>
      <c r="HX491"/>
      <c r="HY491"/>
      <c r="HZ491"/>
      <c r="IA491"/>
      <c r="IB491"/>
      <c r="IC491"/>
      <c r="ID491"/>
      <c r="IE491"/>
      <c r="IF491"/>
      <c r="IG491"/>
      <c r="IH491"/>
      <c r="II491"/>
      <c r="IJ491"/>
      <c r="IK491"/>
      <c r="IL491"/>
      <c r="IM491"/>
      <c r="IN491"/>
      <c r="IO491"/>
      <c r="IP491"/>
      <c r="IQ491"/>
      <c r="IR491"/>
      <c r="IS491"/>
      <c r="IT491"/>
      <c r="IU491"/>
      <c r="IV491"/>
      <c r="IW491"/>
      <c r="IX491"/>
      <c r="IY491"/>
      <c r="IZ491"/>
      <c r="JA491"/>
      <c r="JB491"/>
      <c r="JC491"/>
      <c r="JD491"/>
      <c r="JE491"/>
      <c r="JF491"/>
      <c r="JG491"/>
      <c r="JH491"/>
      <c r="JI491"/>
      <c r="JJ491"/>
      <c r="JK491"/>
      <c r="JL491"/>
      <c r="JM491"/>
      <c r="JN491"/>
      <c r="JO491"/>
      <c r="JP491"/>
      <c r="JQ491"/>
      <c r="JR491"/>
      <c r="JS491"/>
      <c r="JT491"/>
      <c r="JU491"/>
      <c r="JV491"/>
      <c r="JW491"/>
      <c r="JX491"/>
      <c r="JY491"/>
      <c r="JZ491"/>
      <c r="KA491"/>
      <c r="KB491"/>
      <c r="KC491"/>
      <c r="KD491"/>
      <c r="KE491"/>
      <c r="KF491"/>
      <c r="KG491"/>
      <c r="KH491"/>
      <c r="KI491"/>
      <c r="KJ491"/>
      <c r="KK491"/>
      <c r="KL491"/>
      <c r="KM491"/>
      <c r="KN491"/>
      <c r="KO491"/>
      <c r="KP491"/>
      <c r="KQ491"/>
      <c r="KR491"/>
      <c r="KS491"/>
    </row>
    <row r="492" spans="2:305" hidden="1" x14ac:dyDescent="0.35">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c r="AN492"/>
      <c r="AO492"/>
      <c r="AP492"/>
      <c r="AQ492"/>
      <c r="AR492"/>
      <c r="AS492"/>
      <c r="AT492"/>
      <c r="AU492"/>
      <c r="AV492"/>
      <c r="AW492"/>
      <c r="AX492"/>
      <c r="AY492"/>
      <c r="AZ492"/>
      <c r="BA492"/>
      <c r="BB492"/>
      <c r="BC492"/>
      <c r="BD492"/>
      <c r="BE492"/>
      <c r="BF492"/>
      <c r="BG492"/>
      <c r="BH492"/>
      <c r="BI492"/>
      <c r="BJ492"/>
      <c r="BK492"/>
      <c r="BL492"/>
      <c r="BM492"/>
      <c r="BN492"/>
      <c r="BO492"/>
      <c r="BP492"/>
      <c r="BQ492"/>
      <c r="BR492"/>
      <c r="BS492"/>
      <c r="BT492"/>
      <c r="BU492"/>
      <c r="BV492"/>
      <c r="BW492"/>
      <c r="BX492"/>
      <c r="BY492"/>
      <c r="BZ492"/>
      <c r="CA492"/>
      <c r="CB492"/>
      <c r="CC492"/>
      <c r="CD492"/>
      <c r="CE492"/>
      <c r="CF492"/>
      <c r="CG492"/>
      <c r="CH492"/>
      <c r="CI492"/>
      <c r="CJ492"/>
      <c r="CK492"/>
      <c r="CL492"/>
      <c r="CM492"/>
      <c r="CN492"/>
      <c r="CO492"/>
      <c r="CP492"/>
      <c r="CQ492"/>
      <c r="CR492"/>
      <c r="CS492"/>
      <c r="CT492"/>
      <c r="CU492"/>
      <c r="CV492"/>
      <c r="CW492"/>
      <c r="CX492"/>
      <c r="CY492"/>
      <c r="CZ492"/>
      <c r="DA492"/>
      <c r="DB492"/>
      <c r="DC492"/>
      <c r="DD492"/>
      <c r="DE492"/>
      <c r="DF492"/>
      <c r="DG492"/>
      <c r="DH492"/>
      <c r="DI492"/>
      <c r="DJ492"/>
      <c r="DK492"/>
      <c r="DL492"/>
      <c r="DM492"/>
      <c r="DN492"/>
      <c r="DO492"/>
      <c r="DP492"/>
      <c r="DQ492"/>
      <c r="DR492"/>
      <c r="DS492"/>
      <c r="DT492"/>
      <c r="DU492"/>
      <c r="DV492"/>
      <c r="DW492"/>
      <c r="DX492"/>
      <c r="DY492"/>
      <c r="DZ492"/>
      <c r="EA492"/>
      <c r="EB492"/>
      <c r="EC492"/>
      <c r="ED492"/>
      <c r="EE492"/>
      <c r="EF492"/>
      <c r="EG492"/>
      <c r="EH492"/>
      <c r="EI492"/>
      <c r="EJ492"/>
      <c r="EK492"/>
      <c r="EL492"/>
      <c r="EM492"/>
      <c r="EN492"/>
      <c r="EO492"/>
      <c r="EP492"/>
      <c r="EQ492"/>
      <c r="ER492"/>
      <c r="ES492"/>
      <c r="ET492"/>
      <c r="EU492"/>
      <c r="EV492"/>
      <c r="EW492"/>
      <c r="EX492"/>
      <c r="EY492"/>
      <c r="EZ492"/>
      <c r="FA492"/>
      <c r="FB492"/>
      <c r="FC492"/>
      <c r="FD492"/>
      <c r="FE492"/>
      <c r="FF492"/>
      <c r="FG492"/>
      <c r="FH492"/>
      <c r="FI492"/>
      <c r="FJ492"/>
      <c r="FK492"/>
      <c r="FL492"/>
      <c r="FM492"/>
      <c r="FN492"/>
      <c r="FO492"/>
      <c r="FP492"/>
      <c r="FQ492"/>
      <c r="FR492"/>
      <c r="FS492"/>
      <c r="FT492"/>
      <c r="FU492"/>
      <c r="FV492"/>
      <c r="FW492"/>
      <c r="FX492"/>
      <c r="FY492"/>
      <c r="FZ492"/>
      <c r="GA492"/>
      <c r="GB492"/>
      <c r="GC492"/>
      <c r="GD492"/>
      <c r="GE492"/>
      <c r="GF492"/>
      <c r="GG492"/>
      <c r="GH492"/>
      <c r="GI492"/>
      <c r="GJ492"/>
      <c r="GK492"/>
      <c r="GL492"/>
      <c r="GM492"/>
      <c r="GN492"/>
      <c r="GO492"/>
      <c r="GP492"/>
      <c r="GQ492"/>
      <c r="GR492"/>
      <c r="GS492"/>
      <c r="GT492"/>
      <c r="GU492"/>
      <c r="GV492"/>
      <c r="GW492"/>
      <c r="GX492"/>
      <c r="GY492"/>
      <c r="GZ492"/>
      <c r="HA492"/>
      <c r="HB492"/>
      <c r="HC492"/>
      <c r="HD492"/>
      <c r="HE492"/>
      <c r="HF492"/>
      <c r="HG492"/>
      <c r="HH492"/>
      <c r="HI492"/>
      <c r="HJ492"/>
      <c r="HK492"/>
      <c r="HL492"/>
      <c r="HM492"/>
      <c r="HN492"/>
      <c r="HO492"/>
      <c r="HP492"/>
      <c r="HQ492"/>
      <c r="HR492"/>
      <c r="HS492"/>
      <c r="HT492"/>
      <c r="HU492"/>
      <c r="HV492"/>
      <c r="HW492"/>
      <c r="HX492"/>
      <c r="HY492"/>
      <c r="HZ492"/>
      <c r="IA492"/>
      <c r="IB492"/>
      <c r="IC492"/>
      <c r="ID492"/>
      <c r="IE492"/>
      <c r="IF492"/>
      <c r="IG492"/>
      <c r="IH492"/>
      <c r="II492"/>
      <c r="IJ492"/>
      <c r="IK492"/>
      <c r="IL492"/>
      <c r="IM492"/>
      <c r="IN492"/>
      <c r="IO492"/>
      <c r="IP492"/>
      <c r="IQ492"/>
      <c r="IR492"/>
      <c r="IS492"/>
      <c r="IT492"/>
      <c r="IU492"/>
      <c r="IV492"/>
      <c r="IW492"/>
      <c r="IX492"/>
      <c r="IY492"/>
      <c r="IZ492"/>
      <c r="JA492"/>
      <c r="JB492"/>
      <c r="JC492"/>
      <c r="JD492"/>
      <c r="JE492"/>
      <c r="JF492"/>
      <c r="JG492"/>
      <c r="JH492"/>
      <c r="JI492"/>
      <c r="JJ492"/>
      <c r="JK492"/>
      <c r="JL492"/>
      <c r="JM492"/>
      <c r="JN492"/>
      <c r="JO492"/>
      <c r="JP492"/>
      <c r="JQ492"/>
      <c r="JR492"/>
      <c r="JS492"/>
      <c r="JT492"/>
      <c r="JU492"/>
      <c r="JV492"/>
      <c r="JW492"/>
      <c r="JX492"/>
      <c r="JY492"/>
      <c r="JZ492"/>
      <c r="KA492"/>
      <c r="KB492"/>
      <c r="KC492"/>
      <c r="KD492"/>
      <c r="KE492"/>
      <c r="KF492"/>
      <c r="KG492"/>
      <c r="KH492"/>
      <c r="KI492"/>
      <c r="KJ492"/>
      <c r="KK492"/>
      <c r="KL492"/>
      <c r="KM492"/>
      <c r="KN492"/>
      <c r="KO492"/>
      <c r="KP492"/>
      <c r="KQ492"/>
      <c r="KR492"/>
      <c r="KS492"/>
    </row>
    <row r="493" spans="2:305" hidden="1" x14ac:dyDescent="0.35">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c r="AL493"/>
      <c r="AM493"/>
      <c r="AN493"/>
      <c r="AO493"/>
      <c r="AP493"/>
      <c r="AQ493"/>
      <c r="AR493"/>
      <c r="AS493"/>
      <c r="AT493"/>
      <c r="AU493"/>
      <c r="AV493"/>
      <c r="AW493"/>
      <c r="AX493"/>
      <c r="AY493"/>
      <c r="AZ493"/>
      <c r="BA493"/>
      <c r="BB493"/>
      <c r="BC493"/>
      <c r="BD493"/>
      <c r="BE493"/>
      <c r="BF493"/>
      <c r="BG493"/>
      <c r="BH493"/>
      <c r="BI493"/>
      <c r="BJ493"/>
      <c r="BK493"/>
      <c r="BL493"/>
      <c r="BM493"/>
      <c r="BN493"/>
      <c r="BO493"/>
      <c r="BP493"/>
      <c r="BQ493"/>
      <c r="BR493"/>
      <c r="BS493"/>
      <c r="BT493"/>
      <c r="BU493"/>
      <c r="BV493"/>
      <c r="BW493"/>
      <c r="BX493"/>
      <c r="BY493"/>
      <c r="BZ493"/>
      <c r="CA493"/>
      <c r="CB493"/>
      <c r="CC493"/>
      <c r="CD493"/>
      <c r="CE493"/>
      <c r="CF493"/>
      <c r="CG493"/>
      <c r="CH493"/>
      <c r="CI493"/>
      <c r="CJ493"/>
      <c r="CK493"/>
      <c r="CL493"/>
      <c r="CM493"/>
      <c r="CN493"/>
      <c r="CO493"/>
      <c r="CP493"/>
      <c r="CQ493"/>
      <c r="CR493"/>
      <c r="CS493"/>
      <c r="CT493"/>
      <c r="CU493"/>
      <c r="CV493"/>
      <c r="CW493"/>
      <c r="CX493"/>
      <c r="CY493"/>
      <c r="CZ493"/>
      <c r="DA493"/>
      <c r="DB493"/>
      <c r="DC493"/>
      <c r="DD493"/>
      <c r="DE493"/>
      <c r="DF493"/>
      <c r="DG493"/>
      <c r="DH493"/>
      <c r="DI493"/>
      <c r="DJ493"/>
      <c r="DK493"/>
      <c r="DL493"/>
      <c r="DM493"/>
      <c r="DN493"/>
      <c r="DO493"/>
      <c r="DP493"/>
      <c r="DQ493"/>
      <c r="DR493"/>
      <c r="DS493"/>
      <c r="DT493"/>
      <c r="DU493"/>
      <c r="DV493"/>
      <c r="DW493"/>
      <c r="DX493"/>
      <c r="DY493"/>
      <c r="DZ493"/>
      <c r="EA493"/>
      <c r="EB493"/>
      <c r="EC493"/>
      <c r="ED493"/>
      <c r="EE493"/>
      <c r="EF493"/>
      <c r="EG493"/>
      <c r="EH493"/>
      <c r="EI493"/>
      <c r="EJ493"/>
      <c r="EK493"/>
      <c r="EL493"/>
      <c r="EM493"/>
      <c r="EN493"/>
      <c r="EO493"/>
      <c r="EP493"/>
      <c r="EQ493"/>
      <c r="ER493"/>
      <c r="ES493"/>
      <c r="ET493"/>
      <c r="EU493"/>
      <c r="EV493"/>
      <c r="EW493"/>
      <c r="EX493"/>
      <c r="EY493"/>
      <c r="EZ493"/>
      <c r="FA493"/>
      <c r="FB493"/>
      <c r="FC493"/>
      <c r="FD493"/>
      <c r="FE493"/>
      <c r="FF493"/>
      <c r="FG493"/>
      <c r="FH493"/>
      <c r="FI493"/>
      <c r="FJ493"/>
      <c r="FK493"/>
      <c r="FL493"/>
      <c r="FM493"/>
      <c r="FN493"/>
      <c r="FO493"/>
      <c r="FP493"/>
      <c r="FQ493"/>
      <c r="FR493"/>
      <c r="FS493"/>
      <c r="FT493"/>
      <c r="FU493"/>
      <c r="FV493"/>
      <c r="FW493"/>
      <c r="FX493"/>
      <c r="FY493"/>
      <c r="FZ493"/>
      <c r="GA493"/>
      <c r="GB493"/>
      <c r="GC493"/>
      <c r="GD493"/>
      <c r="GE493"/>
      <c r="GF493"/>
      <c r="GG493"/>
      <c r="GH493"/>
      <c r="GI493"/>
      <c r="GJ493"/>
      <c r="GK493"/>
      <c r="GL493"/>
      <c r="GM493"/>
      <c r="GN493"/>
      <c r="GO493"/>
      <c r="GP493"/>
      <c r="GQ493"/>
      <c r="GR493"/>
      <c r="GS493"/>
      <c r="GT493"/>
      <c r="GU493"/>
      <c r="GV493"/>
      <c r="GW493"/>
      <c r="GX493"/>
      <c r="GY493"/>
      <c r="GZ493"/>
      <c r="HA493"/>
      <c r="HB493"/>
      <c r="HC493"/>
      <c r="HD493"/>
      <c r="HE493"/>
      <c r="HF493"/>
      <c r="HG493"/>
      <c r="HH493"/>
      <c r="HI493"/>
      <c r="HJ493"/>
      <c r="HK493"/>
      <c r="HL493"/>
      <c r="HM493"/>
      <c r="HN493"/>
      <c r="HO493"/>
      <c r="HP493"/>
      <c r="HQ493"/>
      <c r="HR493"/>
      <c r="HS493"/>
      <c r="HT493"/>
      <c r="HU493"/>
      <c r="HV493"/>
      <c r="HW493"/>
      <c r="HX493"/>
      <c r="HY493"/>
      <c r="HZ493"/>
      <c r="IA493"/>
      <c r="IB493"/>
      <c r="IC493"/>
      <c r="ID493"/>
      <c r="IE493"/>
      <c r="IF493"/>
      <c r="IG493"/>
      <c r="IH493"/>
      <c r="II493"/>
      <c r="IJ493"/>
      <c r="IK493"/>
      <c r="IL493"/>
      <c r="IM493"/>
      <c r="IN493"/>
      <c r="IO493"/>
      <c r="IP493"/>
      <c r="IQ493"/>
      <c r="IR493"/>
      <c r="IS493"/>
      <c r="IT493"/>
      <c r="IU493"/>
      <c r="IV493"/>
      <c r="IW493"/>
      <c r="IX493"/>
      <c r="IY493"/>
      <c r="IZ493"/>
      <c r="JA493"/>
      <c r="JB493"/>
      <c r="JC493"/>
      <c r="JD493"/>
      <c r="JE493"/>
      <c r="JF493"/>
      <c r="JG493"/>
      <c r="JH493"/>
      <c r="JI493"/>
      <c r="JJ493"/>
      <c r="JK493"/>
      <c r="JL493"/>
      <c r="JM493"/>
      <c r="JN493"/>
      <c r="JO493"/>
      <c r="JP493"/>
      <c r="JQ493"/>
      <c r="JR493"/>
      <c r="JS493"/>
      <c r="JT493"/>
      <c r="JU493"/>
      <c r="JV493"/>
      <c r="JW493"/>
      <c r="JX493"/>
      <c r="JY493"/>
      <c r="JZ493"/>
      <c r="KA493"/>
      <c r="KB493"/>
      <c r="KC493"/>
      <c r="KD493"/>
      <c r="KE493"/>
      <c r="KF493"/>
      <c r="KG493"/>
      <c r="KH493"/>
      <c r="KI493"/>
      <c r="KJ493"/>
      <c r="KK493"/>
      <c r="KL493"/>
      <c r="KM493"/>
      <c r="KN493"/>
      <c r="KO493"/>
      <c r="KP493"/>
      <c r="KQ493"/>
      <c r="KR493"/>
      <c r="KS493"/>
    </row>
    <row r="494" spans="2:305" hidden="1" x14ac:dyDescent="0.35">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c r="AL494"/>
      <c r="AM494"/>
      <c r="AN494"/>
      <c r="AO494"/>
      <c r="AP494"/>
      <c r="AQ494"/>
      <c r="AR494"/>
      <c r="AS494"/>
      <c r="AT494"/>
      <c r="AU494"/>
      <c r="AV494"/>
      <c r="AW494"/>
      <c r="AX494"/>
      <c r="AY494"/>
      <c r="AZ494"/>
      <c r="BA494"/>
      <c r="BB494"/>
      <c r="BC494"/>
      <c r="BD494"/>
      <c r="BE494"/>
      <c r="BF494"/>
      <c r="BG494"/>
      <c r="BH494"/>
      <c r="BI494"/>
      <c r="BJ494"/>
      <c r="BK494"/>
      <c r="BL494"/>
      <c r="BM494"/>
      <c r="BN494"/>
      <c r="BO494"/>
      <c r="BP494"/>
      <c r="BQ494"/>
      <c r="BR494"/>
      <c r="BS494"/>
      <c r="BT494"/>
      <c r="BU494"/>
      <c r="BV494"/>
      <c r="BW494"/>
      <c r="BX494"/>
      <c r="BY494"/>
      <c r="BZ494"/>
      <c r="CA494"/>
      <c r="CB494"/>
      <c r="CC494"/>
      <c r="CD494"/>
      <c r="CE494"/>
      <c r="CF494"/>
      <c r="CG494"/>
      <c r="CH494"/>
      <c r="CI494"/>
      <c r="CJ494"/>
      <c r="CK494"/>
      <c r="CL494"/>
      <c r="CM494"/>
      <c r="CN494"/>
      <c r="CO494"/>
      <c r="CP494"/>
      <c r="CQ494"/>
      <c r="CR494"/>
      <c r="CS494"/>
      <c r="CT494"/>
      <c r="CU494"/>
      <c r="CV494"/>
      <c r="CW494"/>
      <c r="CX494"/>
      <c r="CY494"/>
      <c r="CZ494"/>
      <c r="DA494"/>
      <c r="DB494"/>
      <c r="DC494"/>
      <c r="DD494"/>
      <c r="DE494"/>
      <c r="DF494"/>
      <c r="DG494"/>
      <c r="DH494"/>
      <c r="DI494"/>
      <c r="DJ494"/>
      <c r="DK494"/>
      <c r="DL494"/>
      <c r="DM494"/>
      <c r="DN494"/>
      <c r="DO494"/>
      <c r="DP494"/>
      <c r="DQ494"/>
      <c r="DR494"/>
      <c r="DS494"/>
      <c r="DT494"/>
      <c r="DU494"/>
      <c r="DV494"/>
      <c r="DW494"/>
      <c r="DX494"/>
      <c r="DY494"/>
      <c r="DZ494"/>
      <c r="EA494"/>
      <c r="EB494"/>
      <c r="EC494"/>
      <c r="ED494"/>
      <c r="EE494"/>
      <c r="EF494"/>
      <c r="EG494"/>
      <c r="EH494"/>
      <c r="EI494"/>
      <c r="EJ494"/>
      <c r="EK494"/>
      <c r="EL494"/>
      <c r="EM494"/>
      <c r="EN494"/>
      <c r="EO494"/>
      <c r="EP494"/>
      <c r="EQ494"/>
      <c r="ER494"/>
      <c r="ES494"/>
      <c r="ET494"/>
      <c r="EU494"/>
      <c r="EV494"/>
      <c r="EW494"/>
      <c r="EX494"/>
      <c r="EY494"/>
      <c r="EZ494"/>
      <c r="FA494"/>
      <c r="FB494"/>
      <c r="FC494"/>
      <c r="FD494"/>
      <c r="FE494"/>
      <c r="FF494"/>
      <c r="FG494"/>
      <c r="FH494"/>
      <c r="FI494"/>
      <c r="FJ494"/>
      <c r="FK494"/>
      <c r="FL494"/>
      <c r="FM494"/>
      <c r="FN494"/>
      <c r="FO494"/>
      <c r="FP494"/>
      <c r="FQ494"/>
      <c r="FR494"/>
      <c r="FS494"/>
      <c r="FT494"/>
      <c r="FU494"/>
      <c r="FV494"/>
      <c r="FW494"/>
      <c r="FX494"/>
      <c r="FY494"/>
      <c r="FZ494"/>
      <c r="GA494"/>
      <c r="GB494"/>
      <c r="GC494"/>
      <c r="GD494"/>
      <c r="GE494"/>
      <c r="GF494"/>
      <c r="GG494"/>
      <c r="GH494"/>
      <c r="GI494"/>
      <c r="GJ494"/>
      <c r="GK494"/>
      <c r="GL494"/>
      <c r="GM494"/>
      <c r="GN494"/>
      <c r="GO494"/>
      <c r="GP494"/>
      <c r="GQ494"/>
      <c r="GR494"/>
      <c r="GS494"/>
      <c r="GT494"/>
      <c r="GU494"/>
      <c r="GV494"/>
      <c r="GW494"/>
      <c r="GX494"/>
      <c r="GY494"/>
      <c r="GZ494"/>
      <c r="HA494"/>
      <c r="HB494"/>
      <c r="HC494"/>
      <c r="HD494"/>
      <c r="HE494"/>
      <c r="HF494"/>
      <c r="HG494"/>
      <c r="HH494"/>
      <c r="HI494"/>
      <c r="HJ494"/>
      <c r="HK494"/>
      <c r="HL494"/>
      <c r="HM494"/>
      <c r="HN494"/>
      <c r="HO494"/>
      <c r="HP494"/>
      <c r="HQ494"/>
      <c r="HR494"/>
      <c r="HS494"/>
      <c r="HT494"/>
      <c r="HU494"/>
      <c r="HV494"/>
      <c r="HW494"/>
      <c r="HX494"/>
      <c r="HY494"/>
      <c r="HZ494"/>
      <c r="IA494"/>
      <c r="IB494"/>
      <c r="IC494"/>
      <c r="ID494"/>
      <c r="IE494"/>
      <c r="IF494"/>
      <c r="IG494"/>
      <c r="IH494"/>
      <c r="II494"/>
      <c r="IJ494"/>
      <c r="IK494"/>
      <c r="IL494"/>
      <c r="IM494"/>
      <c r="IN494"/>
      <c r="IO494"/>
      <c r="IP494"/>
      <c r="IQ494"/>
      <c r="IR494"/>
      <c r="IS494"/>
      <c r="IT494"/>
      <c r="IU494"/>
      <c r="IV494"/>
      <c r="IW494"/>
      <c r="IX494"/>
      <c r="IY494"/>
      <c r="IZ494"/>
      <c r="JA494"/>
      <c r="JB494"/>
      <c r="JC494"/>
      <c r="JD494"/>
      <c r="JE494"/>
      <c r="JF494"/>
      <c r="JG494"/>
      <c r="JH494"/>
      <c r="JI494"/>
      <c r="JJ494"/>
      <c r="JK494"/>
      <c r="JL494"/>
      <c r="JM494"/>
      <c r="JN494"/>
      <c r="JO494"/>
      <c r="JP494"/>
      <c r="JQ494"/>
      <c r="JR494"/>
      <c r="JS494"/>
      <c r="JT494"/>
      <c r="JU494"/>
      <c r="JV494"/>
      <c r="JW494"/>
      <c r="JX494"/>
      <c r="JY494"/>
      <c r="JZ494"/>
      <c r="KA494"/>
      <c r="KB494"/>
      <c r="KC494"/>
      <c r="KD494"/>
      <c r="KE494"/>
      <c r="KF494"/>
      <c r="KG494"/>
      <c r="KH494"/>
      <c r="KI494"/>
      <c r="KJ494"/>
      <c r="KK494"/>
      <c r="KL494"/>
      <c r="KM494"/>
      <c r="KN494"/>
      <c r="KO494"/>
      <c r="KP494"/>
      <c r="KQ494"/>
      <c r="KR494"/>
      <c r="KS494"/>
    </row>
    <row r="495" spans="2:305" hidden="1" x14ac:dyDescent="0.3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c r="AL495"/>
      <c r="AM495"/>
      <c r="AN495"/>
      <c r="AO495"/>
      <c r="AP495"/>
      <c r="AQ495"/>
      <c r="AR495"/>
      <c r="AS495"/>
      <c r="AT495"/>
      <c r="AU495"/>
      <c r="AV495"/>
      <c r="AW495"/>
      <c r="AX495"/>
      <c r="AY495"/>
      <c r="AZ495"/>
      <c r="BA495"/>
      <c r="BB495"/>
      <c r="BC495"/>
      <c r="BD495"/>
      <c r="BE495"/>
      <c r="BF495"/>
      <c r="BG495"/>
      <c r="BH495"/>
      <c r="BI495"/>
      <c r="BJ495"/>
      <c r="BK495"/>
      <c r="BL495"/>
      <c r="BM495"/>
      <c r="BN495"/>
      <c r="BO495"/>
      <c r="BP495"/>
      <c r="BQ495"/>
      <c r="BR495"/>
      <c r="BS495"/>
      <c r="BT495"/>
      <c r="BU495"/>
      <c r="BV495"/>
      <c r="BW495"/>
      <c r="BX495"/>
      <c r="BY495"/>
      <c r="BZ495"/>
      <c r="CA495"/>
      <c r="CB495"/>
      <c r="CC495"/>
      <c r="CD495"/>
      <c r="CE495"/>
      <c r="CF495"/>
      <c r="CG495"/>
      <c r="CH495"/>
      <c r="CI495"/>
      <c r="CJ495"/>
      <c r="CK495"/>
      <c r="CL495"/>
      <c r="CM495"/>
      <c r="CN495"/>
      <c r="CO495"/>
      <c r="CP495"/>
      <c r="CQ495"/>
      <c r="CR495"/>
      <c r="CS495"/>
      <c r="CT495"/>
      <c r="CU495"/>
      <c r="CV495"/>
      <c r="CW495"/>
      <c r="CX495"/>
      <c r="CY495"/>
      <c r="CZ495"/>
      <c r="DA495"/>
      <c r="DB495"/>
      <c r="DC495"/>
      <c r="DD495"/>
      <c r="DE495"/>
      <c r="DF495"/>
      <c r="DG495"/>
      <c r="DH495"/>
      <c r="DI495"/>
      <c r="DJ495"/>
      <c r="DK495"/>
      <c r="DL495"/>
      <c r="DM495"/>
      <c r="DN495"/>
      <c r="DO495"/>
      <c r="DP495"/>
      <c r="DQ495"/>
      <c r="DR495"/>
      <c r="DS495"/>
      <c r="DT495"/>
      <c r="DU495"/>
      <c r="DV495"/>
      <c r="DW495"/>
      <c r="DX495"/>
      <c r="DY495"/>
      <c r="DZ495"/>
      <c r="EA495"/>
      <c r="EB495"/>
      <c r="EC495"/>
      <c r="ED495"/>
      <c r="EE495"/>
      <c r="EF495"/>
      <c r="EG495"/>
      <c r="EH495"/>
      <c r="EI495"/>
      <c r="EJ495"/>
      <c r="EK495"/>
      <c r="EL495"/>
      <c r="EM495"/>
      <c r="EN495"/>
      <c r="EO495"/>
      <c r="EP495"/>
      <c r="EQ495"/>
      <c r="ER495"/>
      <c r="ES495"/>
      <c r="ET495"/>
      <c r="EU495"/>
      <c r="EV495"/>
      <c r="EW495"/>
      <c r="EX495"/>
      <c r="EY495"/>
      <c r="EZ495"/>
      <c r="FA495"/>
      <c r="FB495"/>
      <c r="FC495"/>
      <c r="FD495"/>
      <c r="FE495"/>
      <c r="FF495"/>
      <c r="FG495"/>
      <c r="FH495"/>
      <c r="FI495"/>
      <c r="FJ495"/>
      <c r="FK495"/>
      <c r="FL495"/>
      <c r="FM495"/>
      <c r="FN495"/>
      <c r="FO495"/>
      <c r="FP495"/>
      <c r="FQ495"/>
      <c r="FR495"/>
      <c r="FS495"/>
      <c r="FT495"/>
      <c r="FU495"/>
      <c r="FV495"/>
      <c r="FW495"/>
      <c r="FX495"/>
      <c r="FY495"/>
      <c r="FZ495"/>
      <c r="GA495"/>
      <c r="GB495"/>
      <c r="GC495"/>
      <c r="GD495"/>
      <c r="GE495"/>
      <c r="GF495"/>
      <c r="GG495"/>
      <c r="GH495"/>
      <c r="GI495"/>
      <c r="GJ495"/>
      <c r="GK495"/>
      <c r="GL495"/>
      <c r="GM495"/>
      <c r="GN495"/>
      <c r="GO495"/>
      <c r="GP495"/>
      <c r="GQ495"/>
      <c r="GR495"/>
      <c r="GS495"/>
      <c r="GT495"/>
      <c r="GU495"/>
      <c r="GV495"/>
      <c r="GW495"/>
      <c r="GX495"/>
      <c r="GY495"/>
      <c r="GZ495"/>
      <c r="HA495"/>
      <c r="HB495"/>
      <c r="HC495"/>
      <c r="HD495"/>
      <c r="HE495"/>
      <c r="HF495"/>
      <c r="HG495"/>
      <c r="HH495"/>
      <c r="HI495"/>
      <c r="HJ495"/>
      <c r="HK495"/>
      <c r="HL495"/>
      <c r="HM495"/>
      <c r="HN495"/>
      <c r="HO495"/>
      <c r="HP495"/>
      <c r="HQ495"/>
      <c r="HR495"/>
      <c r="HS495"/>
      <c r="HT495"/>
      <c r="HU495"/>
      <c r="HV495"/>
      <c r="HW495"/>
      <c r="HX495"/>
      <c r="HY495"/>
      <c r="HZ495"/>
      <c r="IA495"/>
      <c r="IB495"/>
      <c r="IC495"/>
      <c r="ID495"/>
      <c r="IE495"/>
      <c r="IF495"/>
      <c r="IG495"/>
      <c r="IH495"/>
      <c r="II495"/>
      <c r="IJ495"/>
      <c r="IK495"/>
      <c r="IL495"/>
      <c r="IM495"/>
      <c r="IN495"/>
      <c r="IO495"/>
      <c r="IP495"/>
      <c r="IQ495"/>
      <c r="IR495"/>
      <c r="IS495"/>
      <c r="IT495"/>
      <c r="IU495"/>
      <c r="IV495"/>
      <c r="IW495"/>
      <c r="IX495"/>
      <c r="IY495"/>
      <c r="IZ495"/>
      <c r="JA495"/>
      <c r="JB495"/>
      <c r="JC495"/>
      <c r="JD495"/>
      <c r="JE495"/>
      <c r="JF495"/>
      <c r="JG495"/>
      <c r="JH495"/>
      <c r="JI495"/>
      <c r="JJ495"/>
      <c r="JK495"/>
      <c r="JL495"/>
      <c r="JM495"/>
      <c r="JN495"/>
      <c r="JO495"/>
      <c r="JP495"/>
      <c r="JQ495"/>
      <c r="JR495"/>
      <c r="JS495"/>
      <c r="JT495"/>
      <c r="JU495"/>
      <c r="JV495"/>
      <c r="JW495"/>
      <c r="JX495"/>
      <c r="JY495"/>
      <c r="JZ495"/>
      <c r="KA495"/>
      <c r="KB495"/>
      <c r="KC495"/>
      <c r="KD495"/>
      <c r="KE495"/>
      <c r="KF495"/>
      <c r="KG495"/>
      <c r="KH495"/>
      <c r="KI495"/>
      <c r="KJ495"/>
      <c r="KK495"/>
      <c r="KL495"/>
      <c r="KM495"/>
      <c r="KN495"/>
      <c r="KO495"/>
      <c r="KP495"/>
      <c r="KQ495"/>
      <c r="KR495"/>
      <c r="KS495"/>
    </row>
    <row r="496" spans="2:305" hidden="1" x14ac:dyDescent="0.35">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c r="AL496"/>
      <c r="AM496"/>
      <c r="AN496"/>
      <c r="AO496"/>
      <c r="AP496"/>
      <c r="AQ496"/>
      <c r="AR496"/>
      <c r="AS496"/>
      <c r="AT496"/>
      <c r="AU496"/>
      <c r="AV496"/>
      <c r="AW496"/>
      <c r="AX496"/>
      <c r="AY496"/>
      <c r="AZ496"/>
      <c r="BA496"/>
      <c r="BB496"/>
      <c r="BC496"/>
      <c r="BD496"/>
      <c r="BE496"/>
      <c r="BF496"/>
      <c r="BG496"/>
      <c r="BH496"/>
      <c r="BI496"/>
      <c r="BJ496"/>
      <c r="BK496"/>
      <c r="BL496"/>
      <c r="BM496"/>
      <c r="BN496"/>
      <c r="BO496"/>
      <c r="BP496"/>
      <c r="BQ496"/>
      <c r="BR496"/>
      <c r="BS496"/>
      <c r="BT496"/>
      <c r="BU496"/>
      <c r="BV496"/>
      <c r="BW496"/>
      <c r="BX496"/>
      <c r="BY496"/>
      <c r="BZ496"/>
      <c r="CA496"/>
      <c r="CB496"/>
      <c r="CC496"/>
      <c r="CD496"/>
      <c r="CE496"/>
      <c r="CF496"/>
      <c r="CG496"/>
      <c r="CH496"/>
      <c r="CI496"/>
      <c r="CJ496"/>
      <c r="CK496"/>
      <c r="CL496"/>
      <c r="CM496"/>
      <c r="CN496"/>
      <c r="CO496"/>
      <c r="CP496"/>
      <c r="CQ496"/>
      <c r="CR496"/>
      <c r="CS496"/>
      <c r="CT496"/>
      <c r="CU496"/>
      <c r="CV496"/>
      <c r="CW496"/>
      <c r="CX496"/>
      <c r="CY496"/>
      <c r="CZ496"/>
      <c r="DA496"/>
      <c r="DB496"/>
      <c r="DC496"/>
      <c r="DD496"/>
      <c r="DE496"/>
      <c r="DF496"/>
      <c r="DG496"/>
      <c r="DH496"/>
      <c r="DI496"/>
      <c r="DJ496"/>
      <c r="DK496"/>
      <c r="DL496"/>
      <c r="DM496"/>
      <c r="DN496"/>
      <c r="DO496"/>
      <c r="DP496"/>
      <c r="DQ496"/>
      <c r="DR496"/>
      <c r="DS496"/>
      <c r="DT496"/>
      <c r="DU496"/>
      <c r="DV496"/>
      <c r="DW496"/>
      <c r="DX496"/>
      <c r="DY496"/>
      <c r="DZ496"/>
      <c r="EA496"/>
      <c r="EB496"/>
      <c r="EC496"/>
      <c r="ED496"/>
      <c r="EE496"/>
      <c r="EF496"/>
      <c r="EG496"/>
      <c r="EH496"/>
      <c r="EI496"/>
      <c r="EJ496"/>
      <c r="EK496"/>
      <c r="EL496"/>
      <c r="EM496"/>
      <c r="EN496"/>
      <c r="EO496"/>
      <c r="EP496"/>
      <c r="EQ496"/>
      <c r="ER496"/>
      <c r="ES496"/>
      <c r="ET496"/>
      <c r="EU496"/>
      <c r="EV496"/>
      <c r="EW496"/>
      <c r="EX496"/>
      <c r="EY496"/>
      <c r="EZ496"/>
      <c r="FA496"/>
      <c r="FB496"/>
      <c r="FC496"/>
      <c r="FD496"/>
      <c r="FE496"/>
      <c r="FF496"/>
      <c r="FG496"/>
      <c r="FH496"/>
      <c r="FI496"/>
      <c r="FJ496"/>
      <c r="FK496"/>
      <c r="FL496"/>
      <c r="FM496"/>
      <c r="FN496"/>
      <c r="FO496"/>
      <c r="FP496"/>
      <c r="FQ496"/>
      <c r="FR496"/>
      <c r="FS496"/>
      <c r="FT496"/>
      <c r="FU496"/>
      <c r="FV496"/>
      <c r="FW496"/>
      <c r="FX496"/>
      <c r="FY496"/>
      <c r="FZ496"/>
      <c r="GA496"/>
      <c r="GB496"/>
      <c r="GC496"/>
      <c r="GD496"/>
      <c r="GE496"/>
      <c r="GF496"/>
      <c r="GG496"/>
      <c r="GH496"/>
      <c r="GI496"/>
      <c r="GJ496"/>
      <c r="GK496"/>
      <c r="GL496"/>
      <c r="GM496"/>
      <c r="GN496"/>
      <c r="GO496"/>
      <c r="GP496"/>
      <c r="GQ496"/>
      <c r="GR496"/>
      <c r="GS496"/>
      <c r="GT496"/>
      <c r="GU496"/>
      <c r="GV496"/>
      <c r="GW496"/>
      <c r="GX496"/>
      <c r="GY496"/>
      <c r="GZ496"/>
      <c r="HA496"/>
      <c r="HB496"/>
      <c r="HC496"/>
      <c r="HD496"/>
      <c r="HE496"/>
      <c r="HF496"/>
      <c r="HG496"/>
      <c r="HH496"/>
      <c r="HI496"/>
      <c r="HJ496"/>
      <c r="HK496"/>
      <c r="HL496"/>
      <c r="HM496"/>
      <c r="HN496"/>
      <c r="HO496"/>
      <c r="HP496"/>
      <c r="HQ496"/>
      <c r="HR496"/>
      <c r="HS496"/>
      <c r="HT496"/>
      <c r="HU496"/>
      <c r="HV496"/>
      <c r="HW496"/>
      <c r="HX496"/>
      <c r="HY496"/>
      <c r="HZ496"/>
      <c r="IA496"/>
      <c r="IB496"/>
      <c r="IC496"/>
      <c r="ID496"/>
      <c r="IE496"/>
      <c r="IF496"/>
      <c r="IG496"/>
      <c r="IH496"/>
      <c r="II496"/>
      <c r="IJ496"/>
      <c r="IK496"/>
      <c r="IL496"/>
      <c r="IM496"/>
      <c r="IN496"/>
      <c r="IO496"/>
      <c r="IP496"/>
      <c r="IQ496"/>
      <c r="IR496"/>
      <c r="IS496"/>
      <c r="IT496"/>
      <c r="IU496"/>
      <c r="IV496"/>
      <c r="IW496"/>
      <c r="IX496"/>
      <c r="IY496"/>
      <c r="IZ496"/>
      <c r="JA496"/>
      <c r="JB496"/>
      <c r="JC496"/>
      <c r="JD496"/>
      <c r="JE496"/>
      <c r="JF496"/>
      <c r="JG496"/>
      <c r="JH496"/>
      <c r="JI496"/>
      <c r="JJ496"/>
      <c r="JK496"/>
      <c r="JL496"/>
      <c r="JM496"/>
      <c r="JN496"/>
      <c r="JO496"/>
      <c r="JP496"/>
      <c r="JQ496"/>
      <c r="JR496"/>
      <c r="JS496"/>
      <c r="JT496"/>
      <c r="JU496"/>
      <c r="JV496"/>
      <c r="JW496"/>
      <c r="JX496"/>
      <c r="JY496"/>
      <c r="JZ496"/>
      <c r="KA496"/>
      <c r="KB496"/>
      <c r="KC496"/>
      <c r="KD496"/>
      <c r="KE496"/>
      <c r="KF496"/>
      <c r="KG496"/>
      <c r="KH496"/>
      <c r="KI496"/>
      <c r="KJ496"/>
      <c r="KK496"/>
      <c r="KL496"/>
      <c r="KM496"/>
      <c r="KN496"/>
      <c r="KO496"/>
      <c r="KP496"/>
      <c r="KQ496"/>
      <c r="KR496"/>
      <c r="KS496"/>
    </row>
    <row r="497" spans="2:305" hidden="1" x14ac:dyDescent="0.35">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c r="AL497"/>
      <c r="AM497"/>
      <c r="AN497"/>
      <c r="AO497"/>
      <c r="AP497"/>
      <c r="AQ497"/>
      <c r="AR497"/>
      <c r="AS497"/>
      <c r="AT497"/>
      <c r="AU497"/>
      <c r="AV497"/>
      <c r="AW497"/>
      <c r="AX497"/>
      <c r="AY497"/>
      <c r="AZ497"/>
      <c r="BA497"/>
      <c r="BB497"/>
      <c r="BC497"/>
      <c r="BD497"/>
      <c r="BE497"/>
      <c r="BF497"/>
      <c r="BG497"/>
      <c r="BH497"/>
      <c r="BI497"/>
      <c r="BJ497"/>
      <c r="BK497"/>
      <c r="BL497"/>
      <c r="BM497"/>
      <c r="BN497"/>
      <c r="BO497"/>
      <c r="BP497"/>
      <c r="BQ497"/>
      <c r="BR497"/>
      <c r="BS497"/>
      <c r="BT497"/>
      <c r="BU497"/>
      <c r="BV497"/>
      <c r="BW497"/>
      <c r="BX497"/>
      <c r="BY497"/>
      <c r="BZ497"/>
      <c r="CA497"/>
      <c r="CB497"/>
      <c r="CC497"/>
      <c r="CD497"/>
      <c r="CE497"/>
      <c r="CF497"/>
      <c r="CG497"/>
      <c r="CH497"/>
      <c r="CI497"/>
      <c r="CJ497"/>
      <c r="CK497"/>
      <c r="CL497"/>
      <c r="CM497"/>
      <c r="CN497"/>
      <c r="CO497"/>
      <c r="CP497"/>
      <c r="CQ497"/>
      <c r="CR497"/>
      <c r="CS497"/>
      <c r="CT497"/>
      <c r="CU497"/>
      <c r="CV497"/>
      <c r="CW497"/>
      <c r="CX497"/>
      <c r="CY497"/>
      <c r="CZ497"/>
      <c r="DA497"/>
      <c r="DB497"/>
      <c r="DC497"/>
      <c r="DD497"/>
      <c r="DE497"/>
      <c r="DF497"/>
      <c r="DG497"/>
      <c r="DH497"/>
      <c r="DI497"/>
      <c r="DJ497"/>
      <c r="DK497"/>
      <c r="DL497"/>
      <c r="DM497"/>
      <c r="DN497"/>
      <c r="DO497"/>
      <c r="DP497"/>
      <c r="DQ497"/>
      <c r="DR497"/>
      <c r="DS497"/>
      <c r="DT497"/>
      <c r="DU497"/>
      <c r="DV497"/>
      <c r="DW497"/>
      <c r="DX497"/>
      <c r="DY497"/>
      <c r="DZ497"/>
      <c r="EA497"/>
      <c r="EB497"/>
      <c r="EC497"/>
      <c r="ED497"/>
      <c r="EE497"/>
      <c r="EF497"/>
      <c r="EG497"/>
      <c r="EH497"/>
      <c r="EI497"/>
      <c r="EJ497"/>
      <c r="EK497"/>
      <c r="EL497"/>
      <c r="EM497"/>
      <c r="EN497"/>
      <c r="EO497"/>
      <c r="EP497"/>
      <c r="EQ497"/>
      <c r="ER497"/>
      <c r="ES497"/>
      <c r="ET497"/>
      <c r="EU497"/>
      <c r="EV497"/>
      <c r="EW497"/>
      <c r="EX497"/>
      <c r="EY497"/>
      <c r="EZ497"/>
      <c r="FA497"/>
      <c r="FB497"/>
      <c r="FC497"/>
      <c r="FD497"/>
      <c r="FE497"/>
      <c r="FF497"/>
      <c r="FG497"/>
      <c r="FH497"/>
      <c r="FI497"/>
      <c r="FJ497"/>
      <c r="FK497"/>
      <c r="FL497"/>
      <c r="FM497"/>
      <c r="FN497"/>
      <c r="FO497"/>
      <c r="FP497"/>
      <c r="FQ497"/>
      <c r="FR497"/>
      <c r="FS497"/>
      <c r="FT497"/>
      <c r="FU497"/>
      <c r="FV497"/>
      <c r="FW497"/>
      <c r="FX497"/>
      <c r="FY497"/>
      <c r="FZ497"/>
      <c r="GA497"/>
      <c r="GB497"/>
      <c r="GC497"/>
      <c r="GD497"/>
      <c r="GE497"/>
      <c r="GF497"/>
      <c r="GG497"/>
      <c r="GH497"/>
      <c r="GI497"/>
      <c r="GJ497"/>
      <c r="GK497"/>
      <c r="GL497"/>
      <c r="GM497"/>
      <c r="GN497"/>
      <c r="GO497"/>
      <c r="GP497"/>
      <c r="GQ497"/>
      <c r="GR497"/>
      <c r="GS497"/>
      <c r="GT497"/>
      <c r="GU497"/>
      <c r="GV497"/>
      <c r="GW497"/>
      <c r="GX497"/>
      <c r="GY497"/>
      <c r="GZ497"/>
      <c r="HA497"/>
      <c r="HB497"/>
      <c r="HC497"/>
      <c r="HD497"/>
      <c r="HE497"/>
      <c r="HF497"/>
      <c r="HG497"/>
      <c r="HH497"/>
      <c r="HI497"/>
      <c r="HJ497"/>
      <c r="HK497"/>
      <c r="HL497"/>
      <c r="HM497"/>
      <c r="HN497"/>
      <c r="HO497"/>
      <c r="HP497"/>
      <c r="HQ497"/>
      <c r="HR497"/>
      <c r="HS497"/>
      <c r="HT497"/>
      <c r="HU497"/>
      <c r="HV497"/>
      <c r="HW497"/>
      <c r="HX497"/>
      <c r="HY497"/>
      <c r="HZ497"/>
      <c r="IA497"/>
      <c r="IB497"/>
      <c r="IC497"/>
      <c r="ID497"/>
      <c r="IE497"/>
      <c r="IF497"/>
      <c r="IG497"/>
      <c r="IH497"/>
      <c r="II497"/>
      <c r="IJ497"/>
      <c r="IK497"/>
      <c r="IL497"/>
      <c r="IM497"/>
      <c r="IN497"/>
      <c r="IO497"/>
      <c r="IP497"/>
      <c r="IQ497"/>
      <c r="IR497"/>
      <c r="IS497"/>
      <c r="IT497"/>
      <c r="IU497"/>
      <c r="IV497"/>
      <c r="IW497"/>
      <c r="IX497"/>
      <c r="IY497"/>
      <c r="IZ497"/>
      <c r="JA497"/>
      <c r="JB497"/>
      <c r="JC497"/>
      <c r="JD497"/>
      <c r="JE497"/>
      <c r="JF497"/>
      <c r="JG497"/>
      <c r="JH497"/>
      <c r="JI497"/>
      <c r="JJ497"/>
      <c r="JK497"/>
      <c r="JL497"/>
      <c r="JM497"/>
      <c r="JN497"/>
      <c r="JO497"/>
      <c r="JP497"/>
      <c r="JQ497"/>
      <c r="JR497"/>
      <c r="JS497"/>
      <c r="JT497"/>
      <c r="JU497"/>
      <c r="JV497"/>
      <c r="JW497"/>
      <c r="JX497"/>
      <c r="JY497"/>
      <c r="JZ497"/>
      <c r="KA497"/>
      <c r="KB497"/>
      <c r="KC497"/>
      <c r="KD497"/>
      <c r="KE497"/>
      <c r="KF497"/>
      <c r="KG497"/>
      <c r="KH497"/>
      <c r="KI497"/>
      <c r="KJ497"/>
      <c r="KK497"/>
      <c r="KL497"/>
      <c r="KM497"/>
      <c r="KN497"/>
      <c r="KO497"/>
      <c r="KP497"/>
      <c r="KQ497"/>
      <c r="KR497"/>
      <c r="KS497"/>
    </row>
    <row r="498" spans="2:305" hidden="1" x14ac:dyDescent="0.35">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c r="AL498"/>
      <c r="AM498"/>
      <c r="AN498"/>
      <c r="AO498"/>
      <c r="AP498"/>
      <c r="AQ498"/>
      <c r="AR498"/>
      <c r="AS498"/>
      <c r="AT498"/>
      <c r="AU498"/>
      <c r="AV498"/>
      <c r="AW498"/>
      <c r="AX498"/>
      <c r="AY498"/>
      <c r="AZ498"/>
      <c r="BA498"/>
      <c r="BB498"/>
      <c r="BC498"/>
      <c r="BD498"/>
      <c r="BE498"/>
      <c r="BF498"/>
      <c r="BG498"/>
      <c r="BH498"/>
      <c r="BI498"/>
      <c r="BJ498"/>
      <c r="BK498"/>
      <c r="BL498"/>
      <c r="BM498"/>
      <c r="BN498"/>
      <c r="BO498"/>
      <c r="BP498"/>
      <c r="BQ498"/>
      <c r="BR498"/>
      <c r="BS498"/>
      <c r="BT498"/>
      <c r="BU498"/>
      <c r="BV498"/>
      <c r="BW498"/>
      <c r="BX498"/>
      <c r="BY498"/>
      <c r="BZ498"/>
      <c r="CA498"/>
      <c r="CB498"/>
      <c r="CC498"/>
      <c r="CD498"/>
      <c r="CE498"/>
      <c r="CF498"/>
      <c r="CG498"/>
      <c r="CH498"/>
      <c r="CI498"/>
      <c r="CJ498"/>
      <c r="CK498"/>
      <c r="CL498"/>
      <c r="CM498"/>
      <c r="CN498"/>
      <c r="CO498"/>
      <c r="CP498"/>
      <c r="CQ498"/>
      <c r="CR498"/>
      <c r="CS498"/>
      <c r="CT498"/>
      <c r="CU498"/>
      <c r="CV498"/>
      <c r="CW498"/>
      <c r="CX498"/>
      <c r="CY498"/>
      <c r="CZ498"/>
      <c r="DA498"/>
      <c r="DB498"/>
      <c r="DC498"/>
      <c r="DD498"/>
      <c r="DE498"/>
      <c r="DF498"/>
      <c r="DG498"/>
      <c r="DH498"/>
      <c r="DI498"/>
      <c r="DJ498"/>
      <c r="DK498"/>
      <c r="DL498"/>
      <c r="DM498"/>
      <c r="DN498"/>
      <c r="DO498"/>
      <c r="DP498"/>
      <c r="DQ498"/>
      <c r="DR498"/>
      <c r="DS498"/>
      <c r="DT498"/>
      <c r="DU498"/>
      <c r="DV498"/>
      <c r="DW498"/>
      <c r="DX498"/>
      <c r="DY498"/>
      <c r="DZ498"/>
      <c r="EA498"/>
      <c r="EB498"/>
      <c r="EC498"/>
      <c r="ED498"/>
      <c r="EE498"/>
      <c r="EF498"/>
      <c r="EG498"/>
      <c r="EH498"/>
      <c r="EI498"/>
      <c r="EJ498"/>
      <c r="EK498"/>
      <c r="EL498"/>
      <c r="EM498"/>
      <c r="EN498"/>
      <c r="EO498"/>
      <c r="EP498"/>
      <c r="EQ498"/>
      <c r="ER498"/>
      <c r="ES498"/>
      <c r="ET498"/>
      <c r="EU498"/>
      <c r="EV498"/>
      <c r="EW498"/>
      <c r="EX498"/>
      <c r="EY498"/>
      <c r="EZ498"/>
      <c r="FA498"/>
      <c r="FB498"/>
      <c r="FC498"/>
      <c r="FD498"/>
      <c r="FE498"/>
      <c r="FF498"/>
      <c r="FG498"/>
      <c r="FH498"/>
      <c r="FI498"/>
      <c r="FJ498"/>
      <c r="FK498"/>
      <c r="FL498"/>
      <c r="FM498"/>
      <c r="FN498"/>
      <c r="FO498"/>
      <c r="FP498"/>
      <c r="FQ498"/>
      <c r="FR498"/>
      <c r="FS498"/>
      <c r="FT498"/>
      <c r="FU498"/>
      <c r="FV498"/>
      <c r="FW498"/>
      <c r="FX498"/>
      <c r="FY498"/>
      <c r="FZ498"/>
      <c r="GA498"/>
      <c r="GB498"/>
      <c r="GC498"/>
      <c r="GD498"/>
      <c r="GE498"/>
      <c r="GF498"/>
      <c r="GG498"/>
      <c r="GH498"/>
      <c r="GI498"/>
      <c r="GJ498"/>
      <c r="GK498"/>
      <c r="GL498"/>
      <c r="GM498"/>
      <c r="GN498"/>
      <c r="GO498"/>
      <c r="GP498"/>
      <c r="GQ498"/>
      <c r="GR498"/>
      <c r="GS498"/>
      <c r="GT498"/>
      <c r="GU498"/>
      <c r="GV498"/>
      <c r="GW498"/>
      <c r="GX498"/>
      <c r="GY498"/>
      <c r="GZ498"/>
      <c r="HA498"/>
      <c r="HB498"/>
      <c r="HC498"/>
      <c r="HD498"/>
      <c r="HE498"/>
      <c r="HF498"/>
      <c r="HG498"/>
      <c r="HH498"/>
      <c r="HI498"/>
      <c r="HJ498"/>
      <c r="HK498"/>
      <c r="HL498"/>
      <c r="HM498"/>
      <c r="HN498"/>
      <c r="HO498"/>
      <c r="HP498"/>
      <c r="HQ498"/>
      <c r="HR498"/>
      <c r="HS498"/>
      <c r="HT498"/>
      <c r="HU498"/>
      <c r="HV498"/>
      <c r="HW498"/>
      <c r="HX498"/>
      <c r="HY498"/>
      <c r="HZ498"/>
      <c r="IA498"/>
      <c r="IB498"/>
      <c r="IC498"/>
      <c r="ID498"/>
      <c r="IE498"/>
      <c r="IF498"/>
      <c r="IG498"/>
      <c r="IH498"/>
      <c r="II498"/>
      <c r="IJ498"/>
      <c r="IK498"/>
      <c r="IL498"/>
      <c r="IM498"/>
      <c r="IN498"/>
      <c r="IO498"/>
      <c r="IP498"/>
      <c r="IQ498"/>
      <c r="IR498"/>
      <c r="IS498"/>
      <c r="IT498"/>
      <c r="IU498"/>
      <c r="IV498"/>
      <c r="IW498"/>
      <c r="IX498"/>
      <c r="IY498"/>
      <c r="IZ498"/>
      <c r="JA498"/>
      <c r="JB498"/>
      <c r="JC498"/>
      <c r="JD498"/>
      <c r="JE498"/>
      <c r="JF498"/>
      <c r="JG498"/>
      <c r="JH498"/>
      <c r="JI498"/>
      <c r="JJ498"/>
      <c r="JK498"/>
      <c r="JL498"/>
      <c r="JM498"/>
      <c r="JN498"/>
      <c r="JO498"/>
      <c r="JP498"/>
      <c r="JQ498"/>
      <c r="JR498"/>
      <c r="JS498"/>
      <c r="JT498"/>
      <c r="JU498"/>
      <c r="JV498"/>
      <c r="JW498"/>
      <c r="JX498"/>
      <c r="JY498"/>
      <c r="JZ498"/>
      <c r="KA498"/>
      <c r="KB498"/>
      <c r="KC498"/>
      <c r="KD498"/>
      <c r="KE498"/>
      <c r="KF498"/>
      <c r="KG498"/>
      <c r="KH498"/>
      <c r="KI498"/>
      <c r="KJ498"/>
      <c r="KK498"/>
      <c r="KL498"/>
      <c r="KM498"/>
      <c r="KN498"/>
      <c r="KO498"/>
      <c r="KP498"/>
      <c r="KQ498"/>
      <c r="KR498"/>
      <c r="KS498"/>
    </row>
    <row r="499" spans="2:305" hidden="1" x14ac:dyDescent="0.35">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c r="AL499"/>
      <c r="AM499"/>
      <c r="AN499"/>
      <c r="AO499"/>
      <c r="AP499"/>
      <c r="AQ499"/>
      <c r="AR499"/>
      <c r="AS499"/>
      <c r="AT499"/>
      <c r="AU499"/>
      <c r="AV499"/>
      <c r="AW499"/>
      <c r="AX499"/>
      <c r="AY499"/>
      <c r="AZ499"/>
      <c r="BA499"/>
      <c r="BB499"/>
      <c r="BC499"/>
      <c r="BD499"/>
      <c r="BE499"/>
      <c r="BF499"/>
      <c r="BG499"/>
      <c r="BH499"/>
      <c r="BI499"/>
      <c r="BJ499"/>
      <c r="BK499"/>
      <c r="BL499"/>
      <c r="BM499"/>
      <c r="BN499"/>
      <c r="BO499"/>
      <c r="BP499"/>
      <c r="BQ499"/>
      <c r="BR499"/>
      <c r="BS499"/>
      <c r="BT499"/>
      <c r="BU499"/>
      <c r="BV499"/>
      <c r="BW499"/>
      <c r="BX499"/>
      <c r="BY499"/>
      <c r="BZ499"/>
      <c r="CA499"/>
      <c r="CB499"/>
      <c r="CC499"/>
      <c r="CD499"/>
      <c r="CE499"/>
      <c r="CF499"/>
      <c r="CG499"/>
      <c r="CH499"/>
      <c r="CI499"/>
      <c r="CJ499"/>
      <c r="CK499"/>
      <c r="CL499"/>
      <c r="CM499"/>
      <c r="CN499"/>
      <c r="CO499"/>
      <c r="CP499"/>
      <c r="CQ499"/>
      <c r="CR499"/>
      <c r="CS499"/>
      <c r="CT499"/>
      <c r="CU499"/>
      <c r="CV499"/>
      <c r="CW499"/>
      <c r="CX499"/>
      <c r="CY499"/>
      <c r="CZ499"/>
      <c r="DA499"/>
      <c r="DB499"/>
      <c r="DC499"/>
      <c r="DD499"/>
      <c r="DE499"/>
      <c r="DF499"/>
      <c r="DG499"/>
      <c r="DH499"/>
      <c r="DI499"/>
      <c r="DJ499"/>
      <c r="DK499"/>
      <c r="DL499"/>
      <c r="DM499"/>
      <c r="DN499"/>
      <c r="DO499"/>
      <c r="DP499"/>
      <c r="DQ499"/>
      <c r="DR499"/>
      <c r="DS499"/>
      <c r="DT499"/>
      <c r="DU499"/>
      <c r="DV499"/>
      <c r="DW499"/>
      <c r="DX499"/>
      <c r="DY499"/>
      <c r="DZ499"/>
      <c r="EA499"/>
      <c r="EB499"/>
      <c r="EC499"/>
      <c r="ED499"/>
      <c r="EE499"/>
      <c r="EF499"/>
      <c r="EG499"/>
      <c r="EH499"/>
      <c r="EI499"/>
      <c r="EJ499"/>
      <c r="EK499"/>
      <c r="EL499"/>
      <c r="EM499"/>
      <c r="EN499"/>
      <c r="EO499"/>
      <c r="EP499"/>
      <c r="EQ499"/>
      <c r="ER499"/>
      <c r="ES499"/>
      <c r="ET499"/>
      <c r="EU499"/>
      <c r="EV499"/>
      <c r="EW499"/>
      <c r="EX499"/>
      <c r="EY499"/>
      <c r="EZ499"/>
      <c r="FA499"/>
      <c r="FB499"/>
      <c r="FC499"/>
      <c r="FD499"/>
      <c r="FE499"/>
      <c r="FF499"/>
      <c r="FG499"/>
      <c r="FH499"/>
      <c r="FI499"/>
      <c r="FJ499"/>
      <c r="FK499"/>
      <c r="FL499"/>
      <c r="FM499"/>
      <c r="FN499"/>
      <c r="FO499"/>
      <c r="FP499"/>
      <c r="FQ499"/>
      <c r="FR499"/>
      <c r="FS499"/>
      <c r="FT499"/>
      <c r="FU499"/>
      <c r="FV499"/>
      <c r="FW499"/>
      <c r="FX499"/>
      <c r="FY499"/>
      <c r="FZ499"/>
      <c r="GA499"/>
      <c r="GB499"/>
      <c r="GC499"/>
      <c r="GD499"/>
      <c r="GE499"/>
      <c r="GF499"/>
      <c r="GG499"/>
      <c r="GH499"/>
      <c r="GI499"/>
      <c r="GJ499"/>
      <c r="GK499"/>
      <c r="GL499"/>
      <c r="GM499"/>
      <c r="GN499"/>
      <c r="GO499"/>
      <c r="GP499"/>
      <c r="GQ499"/>
      <c r="GR499"/>
      <c r="GS499"/>
      <c r="GT499"/>
      <c r="GU499"/>
      <c r="GV499"/>
      <c r="GW499"/>
      <c r="GX499"/>
      <c r="GY499"/>
      <c r="GZ499"/>
      <c r="HA499"/>
      <c r="HB499"/>
      <c r="HC499"/>
      <c r="HD499"/>
      <c r="HE499"/>
      <c r="HF499"/>
      <c r="HG499"/>
      <c r="HH499"/>
      <c r="HI499"/>
      <c r="HJ499"/>
      <c r="HK499"/>
      <c r="HL499"/>
      <c r="HM499"/>
      <c r="HN499"/>
      <c r="HO499"/>
      <c r="HP499"/>
      <c r="HQ499"/>
      <c r="HR499"/>
      <c r="HS499"/>
      <c r="HT499"/>
      <c r="HU499"/>
      <c r="HV499"/>
      <c r="HW499"/>
      <c r="HX499"/>
      <c r="HY499"/>
      <c r="HZ499"/>
      <c r="IA499"/>
      <c r="IB499"/>
      <c r="IC499"/>
      <c r="ID499"/>
      <c r="IE499"/>
      <c r="IF499"/>
      <c r="IG499"/>
      <c r="IH499"/>
      <c r="II499"/>
      <c r="IJ499"/>
      <c r="IK499"/>
      <c r="IL499"/>
      <c r="IM499"/>
      <c r="IN499"/>
      <c r="IO499"/>
      <c r="IP499"/>
      <c r="IQ499"/>
      <c r="IR499"/>
      <c r="IS499"/>
      <c r="IT499"/>
      <c r="IU499"/>
      <c r="IV499"/>
      <c r="IW499"/>
      <c r="IX499"/>
      <c r="IY499"/>
      <c r="IZ499"/>
      <c r="JA499"/>
      <c r="JB499"/>
      <c r="JC499"/>
      <c r="JD499"/>
      <c r="JE499"/>
      <c r="JF499"/>
      <c r="JG499"/>
      <c r="JH499"/>
      <c r="JI499"/>
      <c r="JJ499"/>
      <c r="JK499"/>
      <c r="JL499"/>
      <c r="JM499"/>
      <c r="JN499"/>
      <c r="JO499"/>
      <c r="JP499"/>
      <c r="JQ499"/>
      <c r="JR499"/>
      <c r="JS499"/>
      <c r="JT499"/>
      <c r="JU499"/>
      <c r="JV499"/>
      <c r="JW499"/>
      <c r="JX499"/>
      <c r="JY499"/>
      <c r="JZ499"/>
      <c r="KA499"/>
      <c r="KB499"/>
      <c r="KC499"/>
      <c r="KD499"/>
      <c r="KE499"/>
      <c r="KF499"/>
      <c r="KG499"/>
      <c r="KH499"/>
      <c r="KI499"/>
      <c r="KJ499"/>
      <c r="KK499"/>
      <c r="KL499"/>
      <c r="KM499"/>
      <c r="KN499"/>
      <c r="KO499"/>
      <c r="KP499"/>
      <c r="KQ499"/>
      <c r="KR499"/>
      <c r="KS499"/>
    </row>
    <row r="500" spans="2:305" hidden="1" x14ac:dyDescent="0.35">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c r="AL500"/>
      <c r="AM500"/>
      <c r="AN500"/>
      <c r="AO500"/>
      <c r="AP500"/>
      <c r="AQ500"/>
      <c r="AR500"/>
      <c r="AS500"/>
      <c r="AT500"/>
      <c r="AU500"/>
      <c r="AV500"/>
      <c r="AW500"/>
      <c r="AX500"/>
      <c r="AY500"/>
      <c r="AZ500"/>
      <c r="BA500"/>
      <c r="BB500"/>
      <c r="BC500"/>
      <c r="BD500"/>
      <c r="BE500"/>
      <c r="BF500"/>
      <c r="BG500"/>
      <c r="BH500"/>
      <c r="BI500"/>
      <c r="BJ500"/>
      <c r="BK500"/>
      <c r="BL500"/>
      <c r="BM500"/>
      <c r="BN500"/>
      <c r="BO500"/>
      <c r="BP500"/>
      <c r="BQ500"/>
      <c r="BR500"/>
      <c r="BS500"/>
      <c r="BT500"/>
      <c r="BU500"/>
      <c r="BV500"/>
      <c r="BW500"/>
      <c r="BX500"/>
      <c r="BY500"/>
      <c r="BZ500"/>
      <c r="CA500"/>
      <c r="CB500"/>
      <c r="CC500"/>
      <c r="CD500"/>
      <c r="CE500"/>
      <c r="CF500"/>
      <c r="CG500"/>
      <c r="CH500"/>
      <c r="CI500"/>
      <c r="CJ500"/>
      <c r="CK500"/>
      <c r="CL500"/>
      <c r="CM500"/>
      <c r="CN500"/>
      <c r="CO500"/>
      <c r="CP500"/>
      <c r="CQ500"/>
      <c r="CR500"/>
      <c r="CS500"/>
      <c r="CT500"/>
      <c r="CU500"/>
      <c r="CV500"/>
      <c r="CW500"/>
      <c r="CX500"/>
      <c r="CY500"/>
      <c r="CZ500"/>
      <c r="DA500"/>
      <c r="DB500"/>
      <c r="DC500"/>
      <c r="DD500"/>
      <c r="DE500"/>
      <c r="DF500"/>
      <c r="DG500"/>
      <c r="DH500"/>
      <c r="DI500"/>
      <c r="DJ500"/>
      <c r="DK500"/>
      <c r="DL500"/>
      <c r="DM500"/>
      <c r="DN500"/>
      <c r="DO500"/>
      <c r="DP500"/>
      <c r="DQ500"/>
      <c r="DR500"/>
      <c r="DS500"/>
      <c r="DT500"/>
      <c r="DU500"/>
      <c r="DV500"/>
      <c r="DW500"/>
      <c r="DX500"/>
      <c r="DY500"/>
      <c r="DZ500"/>
      <c r="EA500"/>
      <c r="EB500"/>
      <c r="EC500"/>
      <c r="ED500"/>
      <c r="EE500"/>
      <c r="EF500"/>
      <c r="EG500"/>
      <c r="EH500"/>
      <c r="EI500"/>
      <c r="EJ500"/>
      <c r="EK500"/>
      <c r="EL500"/>
      <c r="EM500"/>
      <c r="EN500"/>
      <c r="EO500"/>
      <c r="EP500"/>
      <c r="EQ500"/>
      <c r="ER500"/>
      <c r="ES500"/>
      <c r="ET500"/>
      <c r="EU500"/>
      <c r="EV500"/>
      <c r="EW500"/>
      <c r="EX500"/>
      <c r="EY500"/>
      <c r="EZ500"/>
      <c r="FA500"/>
      <c r="FB500"/>
      <c r="FC500"/>
      <c r="FD500"/>
      <c r="FE500"/>
      <c r="FF500"/>
      <c r="FG500"/>
      <c r="FH500"/>
      <c r="FI500"/>
      <c r="FJ500"/>
      <c r="FK500"/>
      <c r="FL500"/>
      <c r="FM500"/>
      <c r="FN500"/>
      <c r="FO500"/>
      <c r="FP500"/>
      <c r="FQ500"/>
      <c r="FR500"/>
      <c r="FS500"/>
      <c r="FT500"/>
      <c r="FU500"/>
      <c r="FV500"/>
      <c r="FW500"/>
      <c r="FX500"/>
      <c r="FY500"/>
      <c r="FZ500"/>
      <c r="GA500"/>
      <c r="GB500"/>
      <c r="GC500"/>
      <c r="GD500"/>
      <c r="GE500"/>
      <c r="GF500"/>
      <c r="GG500"/>
      <c r="GH500"/>
      <c r="GI500"/>
      <c r="GJ500"/>
      <c r="GK500"/>
      <c r="GL500"/>
      <c r="GM500"/>
      <c r="GN500"/>
      <c r="GO500"/>
      <c r="GP500"/>
      <c r="GQ500"/>
      <c r="GR500"/>
      <c r="GS500"/>
      <c r="GT500"/>
      <c r="GU500"/>
      <c r="GV500"/>
      <c r="GW500"/>
      <c r="GX500"/>
      <c r="GY500"/>
      <c r="GZ500"/>
      <c r="HA500"/>
      <c r="HB500"/>
      <c r="HC500"/>
      <c r="HD500"/>
      <c r="HE500"/>
      <c r="HF500"/>
      <c r="HG500"/>
      <c r="HH500"/>
      <c r="HI500"/>
      <c r="HJ500"/>
      <c r="HK500"/>
      <c r="HL500"/>
      <c r="HM500"/>
      <c r="HN500"/>
      <c r="HO500"/>
      <c r="HP500"/>
      <c r="HQ500"/>
      <c r="HR500"/>
      <c r="HS500"/>
      <c r="HT500"/>
      <c r="HU500"/>
      <c r="HV500"/>
      <c r="HW500"/>
      <c r="HX500"/>
      <c r="HY500"/>
      <c r="HZ500"/>
      <c r="IA500"/>
      <c r="IB500"/>
      <c r="IC500"/>
      <c r="ID500"/>
      <c r="IE500"/>
      <c r="IF500"/>
      <c r="IG500"/>
      <c r="IH500"/>
      <c r="II500"/>
      <c r="IJ500"/>
      <c r="IK500"/>
      <c r="IL500"/>
      <c r="IM500"/>
      <c r="IN500"/>
      <c r="IO500"/>
      <c r="IP500"/>
      <c r="IQ500"/>
      <c r="IR500"/>
      <c r="IS500"/>
      <c r="IT500"/>
      <c r="IU500"/>
      <c r="IV500"/>
      <c r="IW500"/>
      <c r="IX500"/>
      <c r="IY500"/>
      <c r="IZ500"/>
      <c r="JA500"/>
      <c r="JB500"/>
      <c r="JC500"/>
      <c r="JD500"/>
      <c r="JE500"/>
      <c r="JF500"/>
      <c r="JG500"/>
      <c r="JH500"/>
      <c r="JI500"/>
      <c r="JJ500"/>
      <c r="JK500"/>
      <c r="JL500"/>
      <c r="JM500"/>
      <c r="JN500"/>
      <c r="JO500"/>
      <c r="JP500"/>
      <c r="JQ500"/>
      <c r="JR500"/>
      <c r="JS500"/>
      <c r="JT500"/>
      <c r="JU500"/>
      <c r="JV500"/>
      <c r="JW500"/>
      <c r="JX500"/>
      <c r="JY500"/>
      <c r="JZ500"/>
      <c r="KA500"/>
      <c r="KB500"/>
      <c r="KC500"/>
      <c r="KD500"/>
      <c r="KE500"/>
      <c r="KF500"/>
      <c r="KG500"/>
      <c r="KH500"/>
      <c r="KI500"/>
      <c r="KJ500"/>
      <c r="KK500"/>
      <c r="KL500"/>
      <c r="KM500"/>
      <c r="KN500"/>
      <c r="KO500"/>
      <c r="KP500"/>
      <c r="KQ500"/>
      <c r="KR500"/>
      <c r="KS500"/>
    </row>
    <row r="501" spans="2:305" hidden="1" x14ac:dyDescent="0.35">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c r="AL501"/>
      <c r="AM501"/>
      <c r="AN501"/>
      <c r="AO501"/>
      <c r="AP501"/>
      <c r="AQ501"/>
      <c r="AR501"/>
      <c r="AS501"/>
      <c r="AT501"/>
      <c r="AU501"/>
      <c r="AV501"/>
      <c r="AW501"/>
      <c r="AX501"/>
      <c r="AY501"/>
      <c r="AZ501"/>
      <c r="BA501"/>
      <c r="BB501"/>
      <c r="BC501"/>
      <c r="BD501"/>
      <c r="BE501"/>
      <c r="BF501"/>
      <c r="BG501"/>
      <c r="BH501"/>
      <c r="BI501"/>
      <c r="BJ501"/>
      <c r="BK501"/>
      <c r="BL501"/>
      <c r="BM501"/>
      <c r="BN501"/>
      <c r="BO501"/>
      <c r="BP501"/>
      <c r="BQ501"/>
      <c r="BR501"/>
      <c r="BS501"/>
      <c r="BT501"/>
      <c r="BU501"/>
      <c r="BV501"/>
      <c r="BW501"/>
      <c r="BX501"/>
      <c r="BY501"/>
      <c r="BZ501"/>
      <c r="CA501"/>
      <c r="CB501"/>
      <c r="CC501"/>
      <c r="CD501"/>
      <c r="CE501"/>
      <c r="CF501"/>
      <c r="CG501"/>
      <c r="CH501"/>
      <c r="CI501"/>
      <c r="CJ501"/>
      <c r="CK501"/>
      <c r="CL501"/>
      <c r="CM501"/>
      <c r="CN501"/>
      <c r="CO501"/>
      <c r="CP501"/>
      <c r="CQ501"/>
      <c r="CR501"/>
      <c r="CS501"/>
      <c r="CT501"/>
      <c r="CU501"/>
      <c r="CV501"/>
      <c r="CW501"/>
      <c r="CX501"/>
      <c r="CY501"/>
      <c r="CZ501"/>
      <c r="DA501"/>
      <c r="DB501"/>
      <c r="DC501"/>
      <c r="DD501"/>
      <c r="DE501"/>
      <c r="DF501"/>
      <c r="DG501"/>
      <c r="DH501"/>
      <c r="DI501"/>
      <c r="DJ501"/>
      <c r="DK501"/>
      <c r="DL501"/>
      <c r="DM501"/>
      <c r="DN501"/>
      <c r="DO501"/>
      <c r="DP501"/>
      <c r="DQ501"/>
      <c r="DR501"/>
      <c r="DS501"/>
      <c r="DT501"/>
      <c r="DU501"/>
      <c r="DV501"/>
      <c r="DW501"/>
      <c r="DX501"/>
      <c r="DY501"/>
      <c r="DZ501"/>
      <c r="EA501"/>
      <c r="EB501"/>
      <c r="EC501"/>
      <c r="ED501"/>
      <c r="EE501"/>
      <c r="EF501"/>
      <c r="EG501"/>
      <c r="EH501"/>
      <c r="EI501"/>
      <c r="EJ501"/>
      <c r="EK501"/>
      <c r="EL501"/>
      <c r="EM501"/>
      <c r="EN501"/>
      <c r="EO501"/>
      <c r="EP501"/>
      <c r="EQ501"/>
      <c r="ER501"/>
      <c r="ES501"/>
      <c r="ET501"/>
      <c r="EU501"/>
      <c r="EV501"/>
      <c r="EW501"/>
      <c r="EX501"/>
      <c r="EY501"/>
      <c r="EZ501"/>
      <c r="FA501"/>
      <c r="FB501"/>
      <c r="FC501"/>
      <c r="FD501"/>
      <c r="FE501"/>
      <c r="FF501"/>
      <c r="FG501"/>
      <c r="FH501"/>
      <c r="FI501"/>
      <c r="FJ501"/>
      <c r="FK501"/>
      <c r="FL501"/>
      <c r="FM501"/>
      <c r="FN501"/>
      <c r="FO501"/>
      <c r="FP501"/>
      <c r="FQ501"/>
      <c r="FR501"/>
      <c r="FS501"/>
      <c r="FT501"/>
      <c r="FU501"/>
      <c r="FV501"/>
      <c r="FW501"/>
      <c r="FX501"/>
      <c r="FY501"/>
      <c r="FZ501"/>
      <c r="GA501"/>
      <c r="GB501"/>
      <c r="GC501"/>
      <c r="GD501"/>
      <c r="GE501"/>
      <c r="GF501"/>
      <c r="GG501"/>
      <c r="GH501"/>
      <c r="GI501"/>
      <c r="GJ501"/>
      <c r="GK501"/>
      <c r="GL501"/>
      <c r="GM501"/>
      <c r="GN501"/>
      <c r="GO501"/>
      <c r="GP501"/>
      <c r="GQ501"/>
      <c r="GR501"/>
      <c r="GS501"/>
      <c r="GT501"/>
      <c r="GU501"/>
      <c r="GV501"/>
      <c r="GW501"/>
      <c r="GX501"/>
      <c r="GY501"/>
      <c r="GZ501"/>
      <c r="HA501"/>
      <c r="HB501"/>
      <c r="HC501"/>
      <c r="HD501"/>
      <c r="HE501"/>
      <c r="HF501"/>
      <c r="HG501"/>
      <c r="HH501"/>
      <c r="HI501"/>
      <c r="HJ501"/>
      <c r="HK501"/>
      <c r="HL501"/>
      <c r="HM501"/>
      <c r="HN501"/>
      <c r="HO501"/>
      <c r="HP501"/>
      <c r="HQ501"/>
      <c r="HR501"/>
      <c r="HS501"/>
      <c r="HT501"/>
      <c r="HU501"/>
      <c r="HV501"/>
      <c r="HW501"/>
      <c r="HX501"/>
      <c r="HY501"/>
      <c r="HZ501"/>
      <c r="IA501"/>
      <c r="IB501"/>
      <c r="IC501"/>
      <c r="ID501"/>
      <c r="IE501"/>
      <c r="IF501"/>
      <c r="IG501"/>
      <c r="IH501"/>
      <c r="II501"/>
      <c r="IJ501"/>
      <c r="IK501"/>
      <c r="IL501"/>
      <c r="IM501"/>
      <c r="IN501"/>
      <c r="IO501"/>
      <c r="IP501"/>
      <c r="IQ501"/>
      <c r="IR501"/>
      <c r="IS501"/>
      <c r="IT501"/>
      <c r="IU501"/>
      <c r="IV501"/>
      <c r="IW501"/>
      <c r="IX501"/>
      <c r="IY501"/>
      <c r="IZ501"/>
      <c r="JA501"/>
      <c r="JB501"/>
      <c r="JC501"/>
      <c r="JD501"/>
      <c r="JE501"/>
      <c r="JF501"/>
      <c r="JG501"/>
      <c r="JH501"/>
      <c r="JI501"/>
      <c r="JJ501"/>
      <c r="JK501"/>
      <c r="JL501"/>
      <c r="JM501"/>
      <c r="JN501"/>
      <c r="JO501"/>
      <c r="JP501"/>
      <c r="JQ501"/>
      <c r="JR501"/>
      <c r="JS501"/>
      <c r="JT501"/>
      <c r="JU501"/>
      <c r="JV501"/>
      <c r="JW501"/>
      <c r="JX501"/>
      <c r="JY501"/>
      <c r="JZ501"/>
      <c r="KA501"/>
      <c r="KB501"/>
      <c r="KC501"/>
      <c r="KD501"/>
      <c r="KE501"/>
      <c r="KF501"/>
      <c r="KG501"/>
      <c r="KH501"/>
      <c r="KI501"/>
      <c r="KJ501"/>
      <c r="KK501"/>
      <c r="KL501"/>
      <c r="KM501"/>
      <c r="KN501"/>
      <c r="KO501"/>
      <c r="KP501"/>
      <c r="KQ501"/>
      <c r="KR501"/>
      <c r="KS501"/>
    </row>
    <row r="502" spans="2:305" hidden="1" x14ac:dyDescent="0.35">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c r="AL502"/>
      <c r="AM502"/>
      <c r="AN502"/>
      <c r="AO502"/>
      <c r="AP502"/>
      <c r="AQ502"/>
      <c r="AR502"/>
      <c r="AS502"/>
      <c r="AT502"/>
      <c r="AU502"/>
      <c r="AV502"/>
      <c r="AW502"/>
      <c r="AX502"/>
      <c r="AY502"/>
      <c r="AZ502"/>
      <c r="BA502"/>
      <c r="BB502"/>
      <c r="BC502"/>
      <c r="BD502"/>
      <c r="BE502"/>
      <c r="BF502"/>
      <c r="BG502"/>
      <c r="BH502"/>
      <c r="BI502"/>
      <c r="BJ502"/>
      <c r="BK502"/>
      <c r="BL502"/>
      <c r="BM502"/>
      <c r="BN502"/>
      <c r="BO502"/>
      <c r="BP502"/>
      <c r="BQ502"/>
      <c r="BR502"/>
      <c r="BS502"/>
      <c r="BT502"/>
      <c r="BU502"/>
      <c r="BV502"/>
      <c r="BW502"/>
      <c r="BX502"/>
      <c r="BY502"/>
      <c r="BZ502"/>
      <c r="CA502"/>
      <c r="CB502"/>
      <c r="CC502"/>
      <c r="CD502"/>
      <c r="CE502"/>
      <c r="CF502"/>
      <c r="CG502"/>
      <c r="CH502"/>
      <c r="CI502"/>
      <c r="CJ502"/>
      <c r="CK502"/>
      <c r="CL502"/>
      <c r="CM502"/>
      <c r="CN502"/>
      <c r="CO502"/>
      <c r="CP502"/>
      <c r="CQ502"/>
      <c r="CR502"/>
      <c r="CS502"/>
      <c r="CT502"/>
      <c r="CU502"/>
      <c r="CV502"/>
      <c r="CW502"/>
      <c r="CX502"/>
      <c r="CY502"/>
      <c r="CZ502"/>
      <c r="DA502"/>
      <c r="DB502"/>
      <c r="DC502"/>
      <c r="DD502"/>
      <c r="DE502"/>
      <c r="DF502"/>
      <c r="DG502"/>
      <c r="DH502"/>
      <c r="DI502"/>
      <c r="DJ502"/>
      <c r="DK502"/>
      <c r="DL502"/>
      <c r="DM502"/>
      <c r="DN502"/>
      <c r="DO502"/>
      <c r="DP502"/>
      <c r="DQ502"/>
      <c r="DR502"/>
      <c r="DS502"/>
      <c r="DT502"/>
      <c r="DU502"/>
      <c r="DV502"/>
      <c r="DW502"/>
      <c r="DX502"/>
      <c r="DY502"/>
      <c r="DZ502"/>
      <c r="EA502"/>
      <c r="EB502"/>
      <c r="EC502"/>
      <c r="ED502"/>
      <c r="EE502"/>
      <c r="EF502"/>
      <c r="EG502"/>
      <c r="EH502"/>
      <c r="EI502"/>
      <c r="EJ502"/>
      <c r="EK502"/>
      <c r="EL502"/>
      <c r="EM502"/>
      <c r="EN502"/>
      <c r="EO502"/>
      <c r="EP502"/>
      <c r="EQ502"/>
      <c r="ER502"/>
      <c r="ES502"/>
      <c r="ET502"/>
      <c r="EU502"/>
      <c r="EV502"/>
      <c r="EW502"/>
      <c r="EX502"/>
      <c r="EY502"/>
      <c r="EZ502"/>
      <c r="FA502"/>
      <c r="FB502"/>
      <c r="FC502"/>
      <c r="FD502"/>
      <c r="FE502"/>
      <c r="FF502"/>
      <c r="FG502"/>
      <c r="FH502"/>
      <c r="FI502"/>
      <c r="FJ502"/>
      <c r="FK502"/>
      <c r="FL502"/>
      <c r="FM502"/>
      <c r="FN502"/>
      <c r="FO502"/>
      <c r="FP502"/>
      <c r="FQ502"/>
      <c r="FR502"/>
      <c r="FS502"/>
      <c r="FT502"/>
      <c r="FU502"/>
      <c r="FV502"/>
      <c r="FW502"/>
      <c r="FX502"/>
      <c r="FY502"/>
      <c r="FZ502"/>
      <c r="GA502"/>
      <c r="GB502"/>
      <c r="GC502"/>
      <c r="GD502"/>
      <c r="GE502"/>
      <c r="GF502"/>
      <c r="GG502"/>
      <c r="GH502"/>
      <c r="GI502"/>
      <c r="GJ502"/>
      <c r="GK502"/>
      <c r="GL502"/>
      <c r="GM502"/>
      <c r="GN502"/>
      <c r="GO502"/>
      <c r="GP502"/>
      <c r="GQ502"/>
      <c r="GR502"/>
      <c r="GS502"/>
      <c r="GT502"/>
      <c r="GU502"/>
      <c r="GV502"/>
      <c r="GW502"/>
      <c r="GX502"/>
      <c r="GY502"/>
      <c r="GZ502"/>
      <c r="HA502"/>
      <c r="HB502"/>
      <c r="HC502"/>
      <c r="HD502"/>
      <c r="HE502"/>
      <c r="HF502"/>
      <c r="HG502"/>
      <c r="HH502"/>
      <c r="HI502"/>
      <c r="HJ502"/>
      <c r="HK502"/>
      <c r="HL502"/>
      <c r="HM502"/>
      <c r="HN502"/>
      <c r="HO502"/>
      <c r="HP502"/>
      <c r="HQ502"/>
      <c r="HR502"/>
      <c r="HS502"/>
      <c r="HT502"/>
      <c r="HU502"/>
      <c r="HV502"/>
      <c r="HW502"/>
      <c r="HX502"/>
      <c r="HY502"/>
      <c r="HZ502"/>
      <c r="IA502"/>
      <c r="IB502"/>
      <c r="IC502"/>
      <c r="ID502"/>
      <c r="IE502"/>
      <c r="IF502"/>
      <c r="IG502"/>
      <c r="IH502"/>
      <c r="II502"/>
      <c r="IJ502"/>
      <c r="IK502"/>
      <c r="IL502"/>
      <c r="IM502"/>
      <c r="IN502"/>
      <c r="IO502"/>
      <c r="IP502"/>
      <c r="IQ502"/>
      <c r="IR502"/>
      <c r="IS502"/>
      <c r="IT502"/>
      <c r="IU502"/>
      <c r="IV502"/>
      <c r="IW502"/>
      <c r="IX502"/>
      <c r="IY502"/>
      <c r="IZ502"/>
      <c r="JA502"/>
      <c r="JB502"/>
      <c r="JC502"/>
      <c r="JD502"/>
      <c r="JE502"/>
      <c r="JF502"/>
      <c r="JG502"/>
      <c r="JH502"/>
      <c r="JI502"/>
      <c r="JJ502"/>
      <c r="JK502"/>
      <c r="JL502"/>
      <c r="JM502"/>
      <c r="JN502"/>
      <c r="JO502"/>
      <c r="JP502"/>
      <c r="JQ502"/>
      <c r="JR502"/>
      <c r="JS502"/>
      <c r="JT502"/>
      <c r="JU502"/>
      <c r="JV502"/>
      <c r="JW502"/>
      <c r="JX502"/>
      <c r="JY502"/>
      <c r="JZ502"/>
      <c r="KA502"/>
      <c r="KB502"/>
      <c r="KC502"/>
      <c r="KD502"/>
      <c r="KE502"/>
      <c r="KF502"/>
      <c r="KG502"/>
      <c r="KH502"/>
      <c r="KI502"/>
      <c r="KJ502"/>
      <c r="KK502"/>
      <c r="KL502"/>
      <c r="KM502"/>
      <c r="KN502"/>
      <c r="KO502"/>
      <c r="KP502"/>
      <c r="KQ502"/>
      <c r="KR502"/>
      <c r="KS502"/>
    </row>
    <row r="503" spans="2:305" hidden="1" x14ac:dyDescent="0.35">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c r="AL503"/>
      <c r="AM503"/>
      <c r="AN503"/>
      <c r="AO503"/>
      <c r="AP503"/>
      <c r="AQ503"/>
      <c r="AR503"/>
      <c r="AS503"/>
      <c r="AT503"/>
      <c r="AU503"/>
      <c r="AV503"/>
      <c r="AW503"/>
      <c r="AX503"/>
      <c r="AY503"/>
      <c r="AZ503"/>
      <c r="BA503"/>
      <c r="BB503"/>
      <c r="BC503"/>
      <c r="BD503"/>
      <c r="BE503"/>
      <c r="BF503"/>
      <c r="BG503"/>
      <c r="BH503"/>
      <c r="BI503"/>
      <c r="BJ503"/>
      <c r="BK503"/>
      <c r="BL503"/>
      <c r="BM503"/>
      <c r="BN503"/>
      <c r="BO503"/>
      <c r="BP503"/>
      <c r="BQ503"/>
      <c r="BR503"/>
      <c r="BS503"/>
      <c r="BT503"/>
      <c r="BU503"/>
      <c r="BV503"/>
      <c r="BW503"/>
      <c r="BX503"/>
      <c r="BY503"/>
      <c r="BZ503"/>
      <c r="CA503"/>
      <c r="CB503"/>
      <c r="CC503"/>
      <c r="CD503"/>
      <c r="CE503"/>
      <c r="CF503"/>
      <c r="CG503"/>
      <c r="CH503"/>
      <c r="CI503"/>
      <c r="CJ503"/>
      <c r="CK503"/>
      <c r="CL503"/>
      <c r="CM503"/>
      <c r="CN503"/>
      <c r="CO503"/>
      <c r="CP503"/>
      <c r="CQ503"/>
      <c r="CR503"/>
      <c r="CS503"/>
      <c r="CT503"/>
      <c r="CU503"/>
      <c r="CV503"/>
      <c r="CW503"/>
      <c r="CX503"/>
      <c r="CY503"/>
      <c r="CZ503"/>
      <c r="DA503"/>
      <c r="DB503"/>
      <c r="DC503"/>
      <c r="DD503"/>
      <c r="DE503"/>
      <c r="DF503"/>
      <c r="DG503"/>
      <c r="DH503"/>
      <c r="DI503"/>
      <c r="DJ503"/>
      <c r="DK503"/>
      <c r="DL503"/>
      <c r="DM503"/>
      <c r="DN503"/>
      <c r="DO503"/>
      <c r="DP503"/>
      <c r="DQ503"/>
      <c r="DR503"/>
      <c r="DS503"/>
      <c r="DT503"/>
      <c r="DU503"/>
      <c r="DV503"/>
      <c r="DW503"/>
      <c r="DX503"/>
      <c r="DY503"/>
      <c r="DZ503"/>
      <c r="EA503"/>
      <c r="EB503"/>
      <c r="EC503"/>
      <c r="ED503"/>
      <c r="EE503"/>
      <c r="EF503"/>
      <c r="EG503"/>
      <c r="EH503"/>
      <c r="EI503"/>
      <c r="EJ503"/>
      <c r="EK503"/>
      <c r="EL503"/>
      <c r="EM503"/>
      <c r="EN503"/>
      <c r="EO503"/>
      <c r="EP503"/>
      <c r="EQ503"/>
      <c r="ER503"/>
      <c r="ES503"/>
      <c r="ET503"/>
      <c r="EU503"/>
      <c r="EV503"/>
      <c r="EW503"/>
      <c r="EX503"/>
      <c r="EY503"/>
      <c r="EZ503"/>
      <c r="FA503"/>
      <c r="FB503"/>
      <c r="FC503"/>
      <c r="FD503"/>
      <c r="FE503"/>
      <c r="FF503"/>
      <c r="FG503"/>
      <c r="FH503"/>
      <c r="FI503"/>
      <c r="FJ503"/>
      <c r="FK503"/>
      <c r="FL503"/>
      <c r="FM503"/>
      <c r="FN503"/>
      <c r="FO503"/>
      <c r="FP503"/>
      <c r="FQ503"/>
      <c r="FR503"/>
      <c r="FS503"/>
      <c r="FT503"/>
      <c r="FU503"/>
      <c r="FV503"/>
      <c r="FW503"/>
      <c r="FX503"/>
      <c r="FY503"/>
      <c r="FZ503"/>
      <c r="GA503"/>
      <c r="GB503"/>
      <c r="GC503"/>
      <c r="GD503"/>
      <c r="GE503"/>
      <c r="GF503"/>
      <c r="GG503"/>
      <c r="GH503"/>
      <c r="GI503"/>
      <c r="GJ503"/>
      <c r="GK503"/>
      <c r="GL503"/>
      <c r="GM503"/>
      <c r="GN503"/>
      <c r="GO503"/>
      <c r="GP503"/>
      <c r="GQ503"/>
      <c r="GR503"/>
      <c r="GS503"/>
      <c r="GT503"/>
      <c r="GU503"/>
      <c r="GV503"/>
      <c r="GW503"/>
      <c r="GX503"/>
      <c r="GY503"/>
      <c r="GZ503"/>
      <c r="HA503"/>
      <c r="HB503"/>
      <c r="HC503"/>
      <c r="HD503"/>
      <c r="HE503"/>
      <c r="HF503"/>
      <c r="HG503"/>
      <c r="HH503"/>
      <c r="HI503"/>
      <c r="HJ503"/>
      <c r="HK503"/>
      <c r="HL503"/>
      <c r="HM503"/>
      <c r="HN503"/>
      <c r="HO503"/>
      <c r="HP503"/>
      <c r="HQ503"/>
      <c r="HR503"/>
      <c r="HS503"/>
      <c r="HT503"/>
      <c r="HU503"/>
      <c r="HV503"/>
      <c r="HW503"/>
      <c r="HX503"/>
      <c r="HY503"/>
      <c r="HZ503"/>
      <c r="IA503"/>
      <c r="IB503"/>
      <c r="IC503"/>
      <c r="ID503"/>
      <c r="IE503"/>
      <c r="IF503"/>
      <c r="IG503"/>
      <c r="IH503"/>
      <c r="II503"/>
      <c r="IJ503"/>
      <c r="IK503"/>
      <c r="IL503"/>
      <c r="IM503"/>
      <c r="IN503"/>
      <c r="IO503"/>
      <c r="IP503"/>
      <c r="IQ503"/>
      <c r="IR503"/>
      <c r="IS503"/>
      <c r="IT503"/>
      <c r="IU503"/>
      <c r="IV503"/>
      <c r="IW503"/>
      <c r="IX503"/>
      <c r="IY503"/>
      <c r="IZ503"/>
      <c r="JA503"/>
      <c r="JB503"/>
      <c r="JC503"/>
      <c r="JD503"/>
      <c r="JE503"/>
      <c r="JF503"/>
      <c r="JG503"/>
      <c r="JH503"/>
      <c r="JI503"/>
      <c r="JJ503"/>
      <c r="JK503"/>
      <c r="JL503"/>
      <c r="JM503"/>
      <c r="JN503"/>
      <c r="JO503"/>
      <c r="JP503"/>
      <c r="JQ503"/>
      <c r="JR503"/>
      <c r="JS503"/>
      <c r="JT503"/>
      <c r="JU503"/>
      <c r="JV503"/>
      <c r="JW503"/>
      <c r="JX503"/>
      <c r="JY503"/>
      <c r="JZ503"/>
      <c r="KA503"/>
      <c r="KB503"/>
      <c r="KC503"/>
      <c r="KD503"/>
      <c r="KE503"/>
      <c r="KF503"/>
      <c r="KG503"/>
      <c r="KH503"/>
      <c r="KI503"/>
      <c r="KJ503"/>
      <c r="KK503"/>
      <c r="KL503"/>
      <c r="KM503"/>
      <c r="KN503"/>
      <c r="KO503"/>
      <c r="KP503"/>
      <c r="KQ503"/>
      <c r="KR503"/>
      <c r="KS503"/>
    </row>
    <row r="504" spans="2:305" hidden="1" x14ac:dyDescent="0.35">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c r="AL504"/>
      <c r="AM504"/>
      <c r="AN504"/>
      <c r="AO504"/>
      <c r="AP504"/>
      <c r="AQ504"/>
      <c r="AR504"/>
      <c r="AS504"/>
      <c r="AT504"/>
      <c r="AU504"/>
      <c r="AV504"/>
      <c r="AW504"/>
      <c r="AX504"/>
      <c r="AY504"/>
      <c r="AZ504"/>
      <c r="BA504"/>
      <c r="BB504"/>
      <c r="BC504"/>
      <c r="BD504"/>
      <c r="BE504"/>
      <c r="BF504"/>
      <c r="BG504"/>
      <c r="BH504"/>
      <c r="BI504"/>
      <c r="BJ504"/>
      <c r="BK504"/>
      <c r="BL504"/>
      <c r="BM504"/>
      <c r="BN504"/>
      <c r="BO504"/>
      <c r="BP504"/>
      <c r="BQ504"/>
      <c r="BR504"/>
      <c r="BS504"/>
      <c r="BT504"/>
      <c r="BU504"/>
      <c r="BV504"/>
      <c r="BW504"/>
      <c r="BX504"/>
      <c r="BY504"/>
      <c r="BZ504"/>
      <c r="CA504"/>
      <c r="CB504"/>
      <c r="CC504"/>
      <c r="CD504"/>
      <c r="CE504"/>
      <c r="CF504"/>
      <c r="CG504"/>
      <c r="CH504"/>
      <c r="CI504"/>
      <c r="CJ504"/>
      <c r="CK504"/>
      <c r="CL504"/>
      <c r="CM504"/>
      <c r="CN504"/>
      <c r="CO504"/>
      <c r="CP504"/>
      <c r="CQ504"/>
      <c r="CR504"/>
      <c r="CS504"/>
      <c r="CT504"/>
      <c r="CU504"/>
      <c r="CV504"/>
      <c r="CW504"/>
      <c r="CX504"/>
      <c r="CY504"/>
      <c r="CZ504"/>
      <c r="DA504"/>
      <c r="DB504"/>
      <c r="DC504"/>
      <c r="DD504"/>
      <c r="DE504"/>
      <c r="DF504"/>
      <c r="DG504"/>
      <c r="DH504"/>
      <c r="DI504"/>
      <c r="DJ504"/>
      <c r="DK504"/>
      <c r="DL504"/>
      <c r="DM504"/>
      <c r="DN504"/>
      <c r="DO504"/>
      <c r="DP504"/>
      <c r="DQ504"/>
      <c r="DR504"/>
      <c r="DS504"/>
      <c r="DT504"/>
      <c r="DU504"/>
      <c r="DV504"/>
      <c r="DW504"/>
      <c r="DX504"/>
      <c r="DY504"/>
      <c r="DZ504"/>
      <c r="EA504"/>
      <c r="EB504"/>
      <c r="EC504"/>
      <c r="ED504"/>
      <c r="EE504"/>
      <c r="EF504"/>
      <c r="EG504"/>
      <c r="EH504"/>
      <c r="EI504"/>
      <c r="EJ504"/>
      <c r="EK504"/>
      <c r="EL504"/>
      <c r="EM504"/>
      <c r="EN504"/>
      <c r="EO504"/>
      <c r="EP504"/>
      <c r="EQ504"/>
      <c r="ER504"/>
      <c r="ES504"/>
      <c r="ET504"/>
      <c r="EU504"/>
      <c r="EV504"/>
      <c r="EW504"/>
      <c r="EX504"/>
      <c r="EY504"/>
      <c r="EZ504"/>
      <c r="FA504"/>
      <c r="FB504"/>
      <c r="FC504"/>
      <c r="FD504"/>
      <c r="FE504"/>
      <c r="FF504"/>
      <c r="FG504"/>
      <c r="FH504"/>
      <c r="FI504"/>
      <c r="FJ504"/>
      <c r="FK504"/>
      <c r="FL504"/>
      <c r="FM504"/>
      <c r="FN504"/>
      <c r="FO504"/>
      <c r="FP504"/>
      <c r="FQ504"/>
      <c r="FR504"/>
      <c r="FS504"/>
      <c r="FT504"/>
      <c r="FU504"/>
      <c r="FV504"/>
      <c r="FW504"/>
      <c r="FX504"/>
      <c r="FY504"/>
      <c r="FZ504"/>
      <c r="GA504"/>
      <c r="GB504"/>
      <c r="GC504"/>
      <c r="GD504"/>
      <c r="GE504"/>
      <c r="GF504"/>
      <c r="GG504"/>
      <c r="GH504"/>
      <c r="GI504"/>
      <c r="GJ504"/>
      <c r="GK504"/>
      <c r="GL504"/>
      <c r="GM504"/>
      <c r="GN504"/>
      <c r="GO504"/>
      <c r="GP504"/>
      <c r="GQ504"/>
      <c r="GR504"/>
      <c r="GS504"/>
      <c r="GT504"/>
      <c r="GU504"/>
      <c r="GV504"/>
      <c r="GW504"/>
      <c r="GX504"/>
      <c r="GY504"/>
      <c r="GZ504"/>
      <c r="HA504"/>
      <c r="HB504"/>
      <c r="HC504"/>
      <c r="HD504"/>
      <c r="HE504"/>
      <c r="HF504"/>
      <c r="HG504"/>
      <c r="HH504"/>
      <c r="HI504"/>
      <c r="HJ504"/>
      <c r="HK504"/>
      <c r="HL504"/>
      <c r="HM504"/>
      <c r="HN504"/>
      <c r="HO504"/>
      <c r="HP504"/>
      <c r="HQ504"/>
      <c r="HR504"/>
      <c r="HS504"/>
      <c r="HT504"/>
      <c r="HU504"/>
      <c r="HV504"/>
      <c r="HW504"/>
      <c r="HX504"/>
      <c r="HY504"/>
      <c r="HZ504"/>
      <c r="IA504"/>
      <c r="IB504"/>
      <c r="IC504"/>
      <c r="ID504"/>
      <c r="IE504"/>
      <c r="IF504"/>
      <c r="IG504"/>
      <c r="IH504"/>
      <c r="II504"/>
      <c r="IJ504"/>
      <c r="IK504"/>
      <c r="IL504"/>
      <c r="IM504"/>
      <c r="IN504"/>
      <c r="IO504"/>
      <c r="IP504"/>
      <c r="IQ504"/>
      <c r="IR504"/>
      <c r="IS504"/>
      <c r="IT504"/>
      <c r="IU504"/>
      <c r="IV504"/>
      <c r="IW504"/>
      <c r="IX504"/>
      <c r="IY504"/>
      <c r="IZ504"/>
      <c r="JA504"/>
      <c r="JB504"/>
      <c r="JC504"/>
      <c r="JD504"/>
      <c r="JE504"/>
      <c r="JF504"/>
      <c r="JG504"/>
      <c r="JH504"/>
      <c r="JI504"/>
      <c r="JJ504"/>
      <c r="JK504"/>
      <c r="JL504"/>
      <c r="JM504"/>
      <c r="JN504"/>
      <c r="JO504"/>
      <c r="JP504"/>
      <c r="JQ504"/>
      <c r="JR504"/>
      <c r="JS504"/>
      <c r="JT504"/>
      <c r="JU504"/>
      <c r="JV504"/>
      <c r="JW504"/>
      <c r="JX504"/>
      <c r="JY504"/>
      <c r="JZ504"/>
      <c r="KA504"/>
      <c r="KB504"/>
      <c r="KC504"/>
      <c r="KD504"/>
      <c r="KE504"/>
      <c r="KF504"/>
      <c r="KG504"/>
      <c r="KH504"/>
      <c r="KI504"/>
      <c r="KJ504"/>
      <c r="KK504"/>
      <c r="KL504"/>
      <c r="KM504"/>
      <c r="KN504"/>
      <c r="KO504"/>
      <c r="KP504"/>
      <c r="KQ504"/>
      <c r="KR504"/>
      <c r="KS504"/>
    </row>
    <row r="505" spans="2:305" hidden="1" x14ac:dyDescent="0.3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c r="AL505"/>
      <c r="AM505"/>
      <c r="AN505"/>
      <c r="AO505"/>
      <c r="AP505"/>
      <c r="AQ505"/>
      <c r="AR505"/>
      <c r="AS505"/>
      <c r="AT505"/>
      <c r="AU505"/>
      <c r="AV505"/>
      <c r="AW505"/>
      <c r="AX505"/>
      <c r="AY505"/>
      <c r="AZ505"/>
      <c r="BA505"/>
      <c r="BB505"/>
      <c r="BC505"/>
      <c r="BD505"/>
      <c r="BE505"/>
      <c r="BF505"/>
      <c r="BG505"/>
      <c r="BH505"/>
      <c r="BI505"/>
      <c r="BJ505"/>
      <c r="BK505"/>
      <c r="BL505"/>
      <c r="BM505"/>
      <c r="BN505"/>
      <c r="BO505"/>
      <c r="BP505"/>
      <c r="BQ505"/>
      <c r="BR505"/>
      <c r="BS505"/>
      <c r="BT505"/>
      <c r="BU505"/>
      <c r="BV505"/>
      <c r="BW505"/>
      <c r="BX505"/>
      <c r="BY505"/>
      <c r="BZ505"/>
      <c r="CA505"/>
      <c r="CB505"/>
      <c r="CC505"/>
      <c r="CD505"/>
      <c r="CE505"/>
      <c r="CF505"/>
      <c r="CG505"/>
      <c r="CH505"/>
      <c r="CI505"/>
      <c r="CJ505"/>
      <c r="CK505"/>
      <c r="CL505"/>
      <c r="CM505"/>
      <c r="CN505"/>
      <c r="CO505"/>
      <c r="CP505"/>
      <c r="CQ505"/>
      <c r="CR505"/>
      <c r="CS505"/>
      <c r="CT505"/>
      <c r="CU505"/>
      <c r="CV505"/>
      <c r="CW505"/>
      <c r="CX505"/>
      <c r="CY505"/>
      <c r="CZ505"/>
      <c r="DA505"/>
      <c r="DB505"/>
      <c r="DC505"/>
      <c r="DD505"/>
      <c r="DE505"/>
      <c r="DF505"/>
      <c r="DG505"/>
      <c r="DH505"/>
      <c r="DI505"/>
      <c r="DJ505"/>
      <c r="DK505"/>
      <c r="DL505"/>
      <c r="DM505"/>
      <c r="DN505"/>
      <c r="DO505"/>
      <c r="DP505"/>
      <c r="DQ505"/>
      <c r="DR505"/>
      <c r="DS505"/>
      <c r="DT505"/>
      <c r="DU505"/>
      <c r="DV505"/>
      <c r="DW505"/>
      <c r="DX505"/>
      <c r="DY505"/>
      <c r="DZ505"/>
      <c r="EA505"/>
      <c r="EB505"/>
      <c r="EC505"/>
      <c r="ED505"/>
      <c r="EE505"/>
      <c r="EF505"/>
      <c r="EG505"/>
      <c r="EH505"/>
      <c r="EI505"/>
      <c r="EJ505"/>
      <c r="EK505"/>
      <c r="EL505"/>
      <c r="EM505"/>
      <c r="EN505"/>
      <c r="EO505"/>
      <c r="EP505"/>
      <c r="EQ505"/>
      <c r="ER505"/>
      <c r="ES505"/>
      <c r="ET505"/>
      <c r="EU505"/>
      <c r="EV505"/>
      <c r="EW505"/>
      <c r="EX505"/>
      <c r="EY505"/>
      <c r="EZ505"/>
      <c r="FA505"/>
      <c r="FB505"/>
      <c r="FC505"/>
      <c r="FD505"/>
      <c r="FE505"/>
      <c r="FF505"/>
      <c r="FG505"/>
      <c r="FH505"/>
      <c r="FI505"/>
      <c r="FJ505"/>
      <c r="FK505"/>
      <c r="FL505"/>
      <c r="FM505"/>
      <c r="FN505"/>
      <c r="FO505"/>
      <c r="FP505"/>
      <c r="FQ505"/>
      <c r="FR505"/>
      <c r="FS505"/>
      <c r="FT505"/>
      <c r="FU505"/>
      <c r="FV505"/>
      <c r="FW505"/>
      <c r="FX505"/>
      <c r="FY505"/>
      <c r="FZ505"/>
      <c r="GA505"/>
      <c r="GB505"/>
      <c r="GC505"/>
      <c r="GD505"/>
      <c r="GE505"/>
      <c r="GF505"/>
      <c r="GG505"/>
      <c r="GH505"/>
      <c r="GI505"/>
      <c r="GJ505"/>
      <c r="GK505"/>
      <c r="GL505"/>
      <c r="GM505"/>
      <c r="GN505"/>
      <c r="GO505"/>
      <c r="GP505"/>
      <c r="GQ505"/>
      <c r="GR505"/>
      <c r="GS505"/>
      <c r="GT505"/>
      <c r="GU505"/>
      <c r="GV505"/>
      <c r="GW505"/>
      <c r="GX505"/>
      <c r="GY505"/>
      <c r="GZ505"/>
      <c r="HA505"/>
      <c r="HB505"/>
      <c r="HC505"/>
      <c r="HD505"/>
      <c r="HE505"/>
      <c r="HF505"/>
      <c r="HG505"/>
      <c r="HH505"/>
      <c r="HI505"/>
      <c r="HJ505"/>
      <c r="HK505"/>
      <c r="HL505"/>
      <c r="HM505"/>
      <c r="HN505"/>
      <c r="HO505"/>
      <c r="HP505"/>
      <c r="HQ505"/>
      <c r="HR505"/>
      <c r="HS505"/>
      <c r="HT505"/>
      <c r="HU505"/>
      <c r="HV505"/>
      <c r="HW505"/>
      <c r="HX505"/>
      <c r="HY505"/>
      <c r="HZ505"/>
      <c r="IA505"/>
      <c r="IB505"/>
      <c r="IC505"/>
      <c r="ID505"/>
      <c r="IE505"/>
      <c r="IF505"/>
      <c r="IG505"/>
      <c r="IH505"/>
      <c r="II505"/>
      <c r="IJ505"/>
      <c r="IK505"/>
      <c r="IL505"/>
      <c r="IM505"/>
      <c r="IN505"/>
      <c r="IO505"/>
      <c r="IP505"/>
      <c r="IQ505"/>
      <c r="IR505"/>
      <c r="IS505"/>
      <c r="IT505"/>
      <c r="IU505"/>
      <c r="IV505"/>
      <c r="IW505"/>
      <c r="IX505"/>
      <c r="IY505"/>
      <c r="IZ505"/>
      <c r="JA505"/>
      <c r="JB505"/>
      <c r="JC505"/>
      <c r="JD505"/>
      <c r="JE505"/>
      <c r="JF505"/>
      <c r="JG505"/>
      <c r="JH505"/>
      <c r="JI505"/>
      <c r="JJ505"/>
      <c r="JK505"/>
      <c r="JL505"/>
      <c r="JM505"/>
      <c r="JN505"/>
      <c r="JO505"/>
      <c r="JP505"/>
      <c r="JQ505"/>
      <c r="JR505"/>
      <c r="JS505"/>
      <c r="JT505"/>
      <c r="JU505"/>
      <c r="JV505"/>
      <c r="JW505"/>
      <c r="JX505"/>
      <c r="JY505"/>
      <c r="JZ505"/>
      <c r="KA505"/>
      <c r="KB505"/>
      <c r="KC505"/>
      <c r="KD505"/>
      <c r="KE505"/>
      <c r="KF505"/>
      <c r="KG505"/>
      <c r="KH505"/>
      <c r="KI505"/>
      <c r="KJ505"/>
      <c r="KK505"/>
      <c r="KL505"/>
      <c r="KM505"/>
      <c r="KN505"/>
      <c r="KO505"/>
      <c r="KP505"/>
      <c r="KQ505"/>
      <c r="KR505"/>
      <c r="KS505"/>
    </row>
    <row r="506" spans="2:305" hidden="1" x14ac:dyDescent="0.35">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c r="AL506"/>
      <c r="AM506"/>
      <c r="AN506"/>
      <c r="AO506"/>
      <c r="AP506"/>
      <c r="AQ506"/>
      <c r="AR506"/>
      <c r="AS506"/>
      <c r="AT506"/>
      <c r="AU506"/>
      <c r="AV506"/>
      <c r="AW506"/>
      <c r="AX506"/>
      <c r="AY506"/>
      <c r="AZ506"/>
      <c r="BA506"/>
      <c r="BB506"/>
      <c r="BC506"/>
      <c r="BD506"/>
      <c r="BE506"/>
      <c r="BF506"/>
      <c r="BG506"/>
      <c r="BH506"/>
      <c r="BI506"/>
      <c r="BJ506"/>
      <c r="BK506"/>
      <c r="BL506"/>
      <c r="BM506"/>
      <c r="BN506"/>
      <c r="BO506"/>
      <c r="BP506"/>
      <c r="BQ506"/>
      <c r="BR506"/>
      <c r="BS506"/>
      <c r="BT506"/>
      <c r="BU506"/>
      <c r="BV506"/>
      <c r="BW506"/>
      <c r="BX506"/>
      <c r="BY506"/>
      <c r="BZ506"/>
      <c r="CA506"/>
      <c r="CB506"/>
      <c r="CC506"/>
      <c r="CD506"/>
      <c r="CE506"/>
      <c r="CF506"/>
      <c r="CG506"/>
      <c r="CH506"/>
      <c r="CI506"/>
      <c r="CJ506"/>
      <c r="CK506"/>
      <c r="CL506"/>
      <c r="CM506"/>
      <c r="CN506"/>
      <c r="CO506"/>
      <c r="CP506"/>
      <c r="CQ506"/>
      <c r="CR506"/>
      <c r="CS506"/>
      <c r="CT506"/>
      <c r="CU506"/>
      <c r="CV506"/>
      <c r="CW506"/>
      <c r="CX506"/>
      <c r="CY506"/>
      <c r="CZ506"/>
      <c r="DA506"/>
      <c r="DB506"/>
      <c r="DC506"/>
      <c r="DD506"/>
      <c r="DE506"/>
      <c r="DF506"/>
      <c r="DG506"/>
      <c r="DH506"/>
      <c r="DI506"/>
      <c r="DJ506"/>
      <c r="DK506"/>
      <c r="DL506"/>
      <c r="DM506"/>
      <c r="DN506"/>
      <c r="DO506"/>
      <c r="DP506"/>
      <c r="DQ506"/>
      <c r="DR506"/>
      <c r="DS506"/>
      <c r="DT506"/>
      <c r="DU506"/>
      <c r="DV506"/>
      <c r="DW506"/>
      <c r="DX506"/>
      <c r="DY506"/>
      <c r="DZ506"/>
      <c r="EA506"/>
      <c r="EB506"/>
      <c r="EC506"/>
      <c r="ED506"/>
      <c r="EE506"/>
      <c r="EF506"/>
      <c r="EG506"/>
      <c r="EH506"/>
      <c r="EI506"/>
      <c r="EJ506"/>
      <c r="EK506"/>
      <c r="EL506"/>
      <c r="EM506"/>
      <c r="EN506"/>
      <c r="EO506"/>
      <c r="EP506"/>
      <c r="EQ506"/>
      <c r="ER506"/>
      <c r="ES506"/>
      <c r="ET506"/>
      <c r="EU506"/>
      <c r="EV506"/>
      <c r="EW506"/>
      <c r="EX506"/>
      <c r="EY506"/>
      <c r="EZ506"/>
      <c r="FA506"/>
      <c r="FB506"/>
      <c r="FC506"/>
      <c r="FD506"/>
      <c r="FE506"/>
      <c r="FF506"/>
      <c r="FG506"/>
      <c r="FH506"/>
      <c r="FI506"/>
      <c r="FJ506"/>
      <c r="FK506"/>
      <c r="FL506"/>
      <c r="FM506"/>
      <c r="FN506"/>
      <c r="FO506"/>
      <c r="FP506"/>
      <c r="FQ506"/>
      <c r="FR506"/>
      <c r="FS506"/>
      <c r="FT506"/>
      <c r="FU506"/>
      <c r="FV506"/>
      <c r="FW506"/>
      <c r="FX506"/>
      <c r="FY506"/>
      <c r="FZ506"/>
      <c r="GA506"/>
      <c r="GB506"/>
      <c r="GC506"/>
      <c r="GD506"/>
      <c r="GE506"/>
      <c r="GF506"/>
      <c r="GG506"/>
      <c r="GH506"/>
      <c r="GI506"/>
      <c r="GJ506"/>
      <c r="GK506"/>
      <c r="GL506"/>
      <c r="GM506"/>
      <c r="GN506"/>
      <c r="GO506"/>
      <c r="GP506"/>
      <c r="GQ506"/>
      <c r="GR506"/>
      <c r="GS506"/>
      <c r="GT506"/>
      <c r="GU506"/>
      <c r="GV506"/>
      <c r="GW506"/>
      <c r="GX506"/>
      <c r="GY506"/>
      <c r="GZ506"/>
      <c r="HA506"/>
      <c r="HB506"/>
      <c r="HC506"/>
      <c r="HD506"/>
      <c r="HE506"/>
      <c r="HF506"/>
      <c r="HG506"/>
      <c r="HH506"/>
      <c r="HI506"/>
      <c r="HJ506"/>
      <c r="HK506"/>
      <c r="HL506"/>
      <c r="HM506"/>
      <c r="HN506"/>
      <c r="HO506"/>
      <c r="HP506"/>
      <c r="HQ506"/>
      <c r="HR506"/>
      <c r="HS506"/>
      <c r="HT506"/>
      <c r="HU506"/>
      <c r="HV506"/>
      <c r="HW506"/>
      <c r="HX506"/>
      <c r="HY506"/>
      <c r="HZ506"/>
      <c r="IA506"/>
      <c r="IB506"/>
      <c r="IC506"/>
      <c r="ID506"/>
      <c r="IE506"/>
      <c r="IF506"/>
      <c r="IG506"/>
      <c r="IH506"/>
      <c r="II506"/>
      <c r="IJ506"/>
      <c r="IK506"/>
      <c r="IL506"/>
      <c r="IM506"/>
      <c r="IN506"/>
      <c r="IO506"/>
      <c r="IP506"/>
      <c r="IQ506"/>
      <c r="IR506"/>
      <c r="IS506"/>
      <c r="IT506"/>
      <c r="IU506"/>
      <c r="IV506"/>
      <c r="IW506"/>
      <c r="IX506"/>
      <c r="IY506"/>
      <c r="IZ506"/>
      <c r="JA506"/>
      <c r="JB506"/>
      <c r="JC506"/>
      <c r="JD506"/>
      <c r="JE506"/>
      <c r="JF506"/>
      <c r="JG506"/>
      <c r="JH506"/>
      <c r="JI506"/>
      <c r="JJ506"/>
      <c r="JK506"/>
      <c r="JL506"/>
      <c r="JM506"/>
      <c r="JN506"/>
      <c r="JO506"/>
      <c r="JP506"/>
      <c r="JQ506"/>
      <c r="JR506"/>
      <c r="JS506"/>
      <c r="JT506"/>
      <c r="JU506"/>
      <c r="JV506"/>
      <c r="JW506"/>
      <c r="JX506"/>
      <c r="JY506"/>
      <c r="JZ506"/>
      <c r="KA506"/>
      <c r="KB506"/>
      <c r="KC506"/>
      <c r="KD506"/>
      <c r="KE506"/>
      <c r="KF506"/>
      <c r="KG506"/>
      <c r="KH506"/>
      <c r="KI506"/>
      <c r="KJ506"/>
      <c r="KK506"/>
      <c r="KL506"/>
      <c r="KM506"/>
      <c r="KN506"/>
      <c r="KO506"/>
      <c r="KP506"/>
      <c r="KQ506"/>
      <c r="KR506"/>
      <c r="KS506"/>
    </row>
    <row r="507" spans="2:305" hidden="1" x14ac:dyDescent="0.35">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c r="AL507"/>
      <c r="AM507"/>
      <c r="AN507"/>
      <c r="AO507"/>
      <c r="AP507"/>
      <c r="AQ507"/>
      <c r="AR507"/>
      <c r="AS507"/>
      <c r="AT507"/>
      <c r="AU507"/>
      <c r="AV507"/>
      <c r="AW507"/>
      <c r="AX507"/>
      <c r="AY507"/>
      <c r="AZ507"/>
      <c r="BA507"/>
      <c r="BB507"/>
      <c r="BC507"/>
      <c r="BD507"/>
      <c r="BE507"/>
      <c r="BF507"/>
      <c r="BG507"/>
      <c r="BH507"/>
      <c r="BI507"/>
      <c r="BJ507"/>
      <c r="BK507"/>
      <c r="BL507"/>
      <c r="BM507"/>
      <c r="BN507"/>
      <c r="BO507"/>
      <c r="BP507"/>
      <c r="BQ507"/>
      <c r="BR507"/>
      <c r="BS507"/>
      <c r="BT507"/>
      <c r="BU507"/>
      <c r="BV507"/>
      <c r="BW507"/>
      <c r="BX507"/>
      <c r="BY507"/>
      <c r="BZ507"/>
      <c r="CA507"/>
      <c r="CB507"/>
      <c r="CC507"/>
      <c r="CD507"/>
      <c r="CE507"/>
      <c r="CF507"/>
      <c r="CG507"/>
      <c r="CH507"/>
      <c r="CI507"/>
      <c r="CJ507"/>
      <c r="CK507"/>
      <c r="CL507"/>
      <c r="CM507"/>
      <c r="CN507"/>
      <c r="CO507"/>
      <c r="CP507"/>
      <c r="CQ507"/>
      <c r="CR507"/>
      <c r="CS507"/>
      <c r="CT507"/>
      <c r="CU507"/>
      <c r="CV507"/>
      <c r="CW507"/>
      <c r="CX507"/>
      <c r="CY507"/>
      <c r="CZ507"/>
      <c r="DA507"/>
      <c r="DB507"/>
      <c r="DC507"/>
      <c r="DD507"/>
      <c r="DE507"/>
      <c r="DF507"/>
      <c r="DG507"/>
      <c r="DH507"/>
      <c r="DI507"/>
      <c r="DJ507"/>
      <c r="DK507"/>
      <c r="DL507"/>
      <c r="DM507"/>
      <c r="DN507"/>
      <c r="DO507"/>
      <c r="DP507"/>
      <c r="DQ507"/>
      <c r="DR507"/>
      <c r="DS507"/>
      <c r="DT507"/>
      <c r="DU507"/>
      <c r="DV507"/>
      <c r="DW507"/>
      <c r="DX507"/>
      <c r="DY507"/>
      <c r="DZ507"/>
      <c r="EA507"/>
      <c r="EB507"/>
      <c r="EC507"/>
      <c r="ED507"/>
      <c r="EE507"/>
      <c r="EF507"/>
      <c r="EG507"/>
      <c r="EH507"/>
      <c r="EI507"/>
      <c r="EJ507"/>
      <c r="EK507"/>
      <c r="EL507"/>
      <c r="EM507"/>
      <c r="EN507"/>
      <c r="EO507"/>
      <c r="EP507"/>
      <c r="EQ507"/>
      <c r="ER507"/>
      <c r="ES507"/>
      <c r="ET507"/>
      <c r="EU507"/>
      <c r="EV507"/>
      <c r="EW507"/>
      <c r="EX507"/>
      <c r="EY507"/>
      <c r="EZ507"/>
      <c r="FA507"/>
      <c r="FB507"/>
      <c r="FC507"/>
      <c r="FD507"/>
      <c r="FE507"/>
      <c r="FF507"/>
      <c r="FG507"/>
      <c r="FH507"/>
      <c r="FI507"/>
      <c r="FJ507"/>
      <c r="FK507"/>
      <c r="FL507"/>
      <c r="FM507"/>
      <c r="FN507"/>
      <c r="FO507"/>
      <c r="FP507"/>
      <c r="FQ507"/>
      <c r="FR507"/>
      <c r="FS507"/>
      <c r="FT507"/>
      <c r="FU507"/>
      <c r="FV507"/>
      <c r="FW507"/>
      <c r="FX507"/>
      <c r="FY507"/>
      <c r="FZ507"/>
      <c r="GA507"/>
      <c r="GB507"/>
      <c r="GC507"/>
      <c r="GD507"/>
      <c r="GE507"/>
      <c r="GF507"/>
      <c r="GG507"/>
      <c r="GH507"/>
      <c r="GI507"/>
      <c r="GJ507"/>
      <c r="GK507"/>
      <c r="GL507"/>
      <c r="GM507"/>
      <c r="GN507"/>
      <c r="GO507"/>
      <c r="GP507"/>
      <c r="GQ507"/>
      <c r="GR507"/>
      <c r="GS507"/>
      <c r="GT507"/>
      <c r="GU507"/>
      <c r="GV507"/>
      <c r="GW507"/>
      <c r="GX507"/>
      <c r="GY507"/>
      <c r="GZ507"/>
      <c r="HA507"/>
      <c r="HB507"/>
      <c r="HC507"/>
      <c r="HD507"/>
      <c r="HE507"/>
      <c r="HF507"/>
      <c r="HG507"/>
      <c r="HH507"/>
      <c r="HI507"/>
      <c r="HJ507"/>
      <c r="HK507"/>
      <c r="HL507"/>
      <c r="HM507"/>
      <c r="HN507"/>
      <c r="HO507"/>
      <c r="HP507"/>
      <c r="HQ507"/>
      <c r="HR507"/>
      <c r="HS507"/>
      <c r="HT507"/>
      <c r="HU507"/>
      <c r="HV507"/>
      <c r="HW507"/>
      <c r="HX507"/>
      <c r="HY507"/>
      <c r="HZ507"/>
      <c r="IA507"/>
      <c r="IB507"/>
      <c r="IC507"/>
      <c r="ID507"/>
      <c r="IE507"/>
      <c r="IF507"/>
      <c r="IG507"/>
      <c r="IH507"/>
      <c r="II507"/>
      <c r="IJ507"/>
      <c r="IK507"/>
      <c r="IL507"/>
      <c r="IM507"/>
      <c r="IN507"/>
      <c r="IO507"/>
      <c r="IP507"/>
      <c r="IQ507"/>
      <c r="IR507"/>
      <c r="IS507"/>
      <c r="IT507"/>
      <c r="IU507"/>
      <c r="IV507"/>
      <c r="IW507"/>
      <c r="IX507"/>
      <c r="IY507"/>
      <c r="IZ507"/>
      <c r="JA507"/>
      <c r="JB507"/>
      <c r="JC507"/>
      <c r="JD507"/>
      <c r="JE507"/>
      <c r="JF507"/>
      <c r="JG507"/>
      <c r="JH507"/>
      <c r="JI507"/>
      <c r="JJ507"/>
      <c r="JK507"/>
      <c r="JL507"/>
      <c r="JM507"/>
      <c r="JN507"/>
      <c r="JO507"/>
      <c r="JP507"/>
      <c r="JQ507"/>
      <c r="JR507"/>
      <c r="JS507"/>
      <c r="JT507"/>
      <c r="JU507"/>
      <c r="JV507"/>
      <c r="JW507"/>
      <c r="JX507"/>
      <c r="JY507"/>
      <c r="JZ507"/>
      <c r="KA507"/>
      <c r="KB507"/>
      <c r="KC507"/>
      <c r="KD507"/>
      <c r="KE507"/>
      <c r="KF507"/>
      <c r="KG507"/>
      <c r="KH507"/>
      <c r="KI507"/>
      <c r="KJ507"/>
      <c r="KK507"/>
      <c r="KL507"/>
      <c r="KM507"/>
      <c r="KN507"/>
      <c r="KO507"/>
      <c r="KP507"/>
      <c r="KQ507"/>
      <c r="KR507"/>
      <c r="KS507"/>
    </row>
    <row r="508" spans="2:305" hidden="1" x14ac:dyDescent="0.35">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c r="AN508"/>
      <c r="AO508"/>
      <c r="AP508"/>
      <c r="AQ508"/>
      <c r="AR508"/>
      <c r="AS508"/>
      <c r="AT508"/>
      <c r="AU508"/>
      <c r="AV508"/>
      <c r="AW508"/>
      <c r="AX508"/>
      <c r="AY508"/>
      <c r="AZ508"/>
      <c r="BA508"/>
      <c r="BB508"/>
      <c r="BC508"/>
      <c r="BD508"/>
      <c r="BE508"/>
      <c r="BF508"/>
      <c r="BG508"/>
      <c r="BH508"/>
      <c r="BI508"/>
      <c r="BJ508"/>
      <c r="BK508"/>
      <c r="BL508"/>
      <c r="BM508"/>
      <c r="BN508"/>
      <c r="BO508"/>
      <c r="BP508"/>
      <c r="BQ508"/>
      <c r="BR508"/>
      <c r="BS508"/>
      <c r="BT508"/>
      <c r="BU508"/>
      <c r="BV508"/>
      <c r="BW508"/>
      <c r="BX508"/>
      <c r="BY508"/>
      <c r="BZ508"/>
      <c r="CA508"/>
      <c r="CB508"/>
      <c r="CC508"/>
      <c r="CD508"/>
      <c r="CE508"/>
      <c r="CF508"/>
      <c r="CG508"/>
      <c r="CH508"/>
      <c r="CI508"/>
      <c r="CJ508"/>
      <c r="CK508"/>
      <c r="CL508"/>
      <c r="CM508"/>
      <c r="CN508"/>
      <c r="CO508"/>
      <c r="CP508"/>
      <c r="CQ508"/>
      <c r="CR508"/>
      <c r="CS508"/>
      <c r="CT508"/>
      <c r="CU508"/>
      <c r="CV508"/>
      <c r="CW508"/>
      <c r="CX508"/>
      <c r="CY508"/>
      <c r="CZ508"/>
      <c r="DA508"/>
      <c r="DB508"/>
      <c r="DC508"/>
      <c r="DD508"/>
      <c r="DE508"/>
      <c r="DF508"/>
      <c r="DG508"/>
      <c r="DH508"/>
      <c r="DI508"/>
      <c r="DJ508"/>
      <c r="DK508"/>
      <c r="DL508"/>
      <c r="DM508"/>
      <c r="DN508"/>
      <c r="DO508"/>
      <c r="DP508"/>
      <c r="DQ508"/>
      <c r="DR508"/>
      <c r="DS508"/>
      <c r="DT508"/>
      <c r="DU508"/>
      <c r="DV508"/>
      <c r="DW508"/>
      <c r="DX508"/>
      <c r="DY508"/>
      <c r="DZ508"/>
      <c r="EA508"/>
      <c r="EB508"/>
      <c r="EC508"/>
      <c r="ED508"/>
      <c r="EE508"/>
      <c r="EF508"/>
      <c r="EG508"/>
      <c r="EH508"/>
      <c r="EI508"/>
      <c r="EJ508"/>
      <c r="EK508"/>
      <c r="EL508"/>
      <c r="EM508"/>
      <c r="EN508"/>
      <c r="EO508"/>
      <c r="EP508"/>
      <c r="EQ508"/>
      <c r="ER508"/>
      <c r="ES508"/>
      <c r="ET508"/>
      <c r="EU508"/>
      <c r="EV508"/>
      <c r="EW508"/>
      <c r="EX508"/>
      <c r="EY508"/>
      <c r="EZ508"/>
      <c r="FA508"/>
      <c r="FB508"/>
      <c r="FC508"/>
      <c r="FD508"/>
      <c r="FE508"/>
      <c r="FF508"/>
      <c r="FG508"/>
      <c r="FH508"/>
      <c r="FI508"/>
      <c r="FJ508"/>
      <c r="FK508"/>
      <c r="FL508"/>
      <c r="FM508"/>
      <c r="FN508"/>
      <c r="FO508"/>
      <c r="FP508"/>
      <c r="FQ508"/>
      <c r="FR508"/>
      <c r="FS508"/>
      <c r="FT508"/>
      <c r="FU508"/>
      <c r="FV508"/>
      <c r="FW508"/>
      <c r="FX508"/>
      <c r="FY508"/>
      <c r="FZ508"/>
      <c r="GA508"/>
      <c r="GB508"/>
      <c r="GC508"/>
      <c r="GD508"/>
      <c r="GE508"/>
      <c r="GF508"/>
      <c r="GG508"/>
      <c r="GH508"/>
      <c r="GI508"/>
      <c r="GJ508"/>
      <c r="GK508"/>
      <c r="GL508"/>
      <c r="GM508"/>
      <c r="GN508"/>
      <c r="GO508"/>
      <c r="GP508"/>
      <c r="GQ508"/>
      <c r="GR508"/>
      <c r="GS508"/>
      <c r="GT508"/>
      <c r="GU508"/>
      <c r="GV508"/>
      <c r="GW508"/>
      <c r="GX508"/>
      <c r="GY508"/>
      <c r="GZ508"/>
      <c r="HA508"/>
      <c r="HB508"/>
      <c r="HC508"/>
      <c r="HD508"/>
      <c r="HE508"/>
      <c r="HF508"/>
      <c r="HG508"/>
      <c r="HH508"/>
      <c r="HI508"/>
      <c r="HJ508"/>
      <c r="HK508"/>
      <c r="HL508"/>
      <c r="HM508"/>
      <c r="HN508"/>
      <c r="HO508"/>
      <c r="HP508"/>
      <c r="HQ508"/>
      <c r="HR508"/>
      <c r="HS508"/>
      <c r="HT508"/>
      <c r="HU508"/>
      <c r="HV508"/>
      <c r="HW508"/>
      <c r="HX508"/>
      <c r="HY508"/>
      <c r="HZ508"/>
      <c r="IA508"/>
      <c r="IB508"/>
      <c r="IC508"/>
      <c r="ID508"/>
      <c r="IE508"/>
      <c r="IF508"/>
      <c r="IG508"/>
      <c r="IH508"/>
      <c r="II508"/>
      <c r="IJ508"/>
      <c r="IK508"/>
      <c r="IL508"/>
      <c r="IM508"/>
      <c r="IN508"/>
      <c r="IO508"/>
      <c r="IP508"/>
      <c r="IQ508"/>
      <c r="IR508"/>
      <c r="IS508"/>
      <c r="IT508"/>
      <c r="IU508"/>
      <c r="IV508"/>
      <c r="IW508"/>
      <c r="IX508"/>
      <c r="IY508"/>
      <c r="IZ508"/>
      <c r="JA508"/>
      <c r="JB508"/>
      <c r="JC508"/>
      <c r="JD508"/>
      <c r="JE508"/>
      <c r="JF508"/>
      <c r="JG508"/>
      <c r="JH508"/>
      <c r="JI508"/>
      <c r="JJ508"/>
      <c r="JK508"/>
      <c r="JL508"/>
      <c r="JM508"/>
      <c r="JN508"/>
      <c r="JO508"/>
      <c r="JP508"/>
      <c r="JQ508"/>
      <c r="JR508"/>
      <c r="JS508"/>
      <c r="JT508"/>
      <c r="JU508"/>
      <c r="JV508"/>
      <c r="JW508"/>
      <c r="JX508"/>
      <c r="JY508"/>
      <c r="JZ508"/>
      <c r="KA508"/>
      <c r="KB508"/>
      <c r="KC508"/>
      <c r="KD508"/>
      <c r="KE508"/>
      <c r="KF508"/>
      <c r="KG508"/>
      <c r="KH508"/>
      <c r="KI508"/>
      <c r="KJ508"/>
      <c r="KK508"/>
      <c r="KL508"/>
      <c r="KM508"/>
      <c r="KN508"/>
      <c r="KO508"/>
      <c r="KP508"/>
      <c r="KQ508"/>
      <c r="KR508"/>
      <c r="KS508"/>
    </row>
    <row r="509" spans="2:305" hidden="1" x14ac:dyDescent="0.35">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c r="AL509"/>
      <c r="AM509"/>
      <c r="AN509"/>
      <c r="AO509"/>
      <c r="AP509"/>
      <c r="AQ509"/>
      <c r="AR509"/>
      <c r="AS509"/>
      <c r="AT509"/>
      <c r="AU509"/>
      <c r="AV509"/>
      <c r="AW509"/>
      <c r="AX509"/>
      <c r="AY509"/>
      <c r="AZ509"/>
      <c r="BA509"/>
      <c r="BB509"/>
      <c r="BC509"/>
      <c r="BD509"/>
      <c r="BE509"/>
      <c r="BF509"/>
      <c r="BG509"/>
      <c r="BH509"/>
      <c r="BI509"/>
      <c r="BJ509"/>
      <c r="BK509"/>
      <c r="BL509"/>
      <c r="BM509"/>
      <c r="BN509"/>
      <c r="BO509"/>
      <c r="BP509"/>
      <c r="BQ509"/>
      <c r="BR509"/>
      <c r="BS509"/>
      <c r="BT509"/>
      <c r="BU509"/>
      <c r="BV509"/>
      <c r="BW509"/>
      <c r="BX509"/>
      <c r="BY509"/>
      <c r="BZ509"/>
      <c r="CA509"/>
      <c r="CB509"/>
      <c r="CC509"/>
      <c r="CD509"/>
      <c r="CE509"/>
      <c r="CF509"/>
      <c r="CG509"/>
      <c r="CH509"/>
      <c r="CI509"/>
      <c r="CJ509"/>
      <c r="CK509"/>
      <c r="CL509"/>
      <c r="CM509"/>
      <c r="CN509"/>
      <c r="CO509"/>
      <c r="CP509"/>
      <c r="CQ509"/>
      <c r="CR509"/>
      <c r="CS509"/>
      <c r="CT509"/>
      <c r="CU509"/>
      <c r="CV509"/>
      <c r="CW509"/>
      <c r="CX509"/>
      <c r="CY509"/>
      <c r="CZ509"/>
      <c r="DA509"/>
      <c r="DB509"/>
      <c r="DC509"/>
      <c r="DD509"/>
      <c r="DE509"/>
      <c r="DF509"/>
      <c r="DG509"/>
      <c r="DH509"/>
      <c r="DI509"/>
      <c r="DJ509"/>
      <c r="DK509"/>
      <c r="DL509"/>
      <c r="DM509"/>
      <c r="DN509"/>
      <c r="DO509"/>
      <c r="DP509"/>
      <c r="DQ509"/>
      <c r="DR509"/>
      <c r="DS509"/>
      <c r="DT509"/>
      <c r="DU509"/>
      <c r="DV509"/>
      <c r="DW509"/>
      <c r="DX509"/>
      <c r="DY509"/>
      <c r="DZ509"/>
      <c r="EA509"/>
      <c r="EB509"/>
      <c r="EC509"/>
      <c r="ED509"/>
      <c r="EE509"/>
      <c r="EF509"/>
      <c r="EG509"/>
      <c r="EH509"/>
      <c r="EI509"/>
      <c r="EJ509"/>
      <c r="EK509"/>
      <c r="EL509"/>
      <c r="EM509"/>
      <c r="EN509"/>
      <c r="EO509"/>
      <c r="EP509"/>
      <c r="EQ509"/>
      <c r="ER509"/>
      <c r="ES509"/>
      <c r="ET509"/>
      <c r="EU509"/>
      <c r="EV509"/>
      <c r="EW509"/>
      <c r="EX509"/>
      <c r="EY509"/>
      <c r="EZ509"/>
      <c r="FA509"/>
      <c r="FB509"/>
      <c r="FC509"/>
      <c r="FD509"/>
      <c r="FE509"/>
      <c r="FF509"/>
      <c r="FG509"/>
      <c r="FH509"/>
      <c r="FI509"/>
      <c r="FJ509"/>
      <c r="FK509"/>
      <c r="FL509"/>
      <c r="FM509"/>
      <c r="FN509"/>
      <c r="FO509"/>
      <c r="FP509"/>
      <c r="FQ509"/>
      <c r="FR509"/>
      <c r="FS509"/>
      <c r="FT509"/>
      <c r="FU509"/>
      <c r="FV509"/>
      <c r="FW509"/>
      <c r="FX509"/>
      <c r="FY509"/>
      <c r="FZ509"/>
      <c r="GA509"/>
      <c r="GB509"/>
      <c r="GC509"/>
      <c r="GD509"/>
      <c r="GE509"/>
      <c r="GF509"/>
      <c r="GG509"/>
      <c r="GH509"/>
      <c r="GI509"/>
      <c r="GJ509"/>
      <c r="GK509"/>
      <c r="GL509"/>
      <c r="GM509"/>
      <c r="GN509"/>
      <c r="GO509"/>
      <c r="GP509"/>
      <c r="GQ509"/>
      <c r="GR509"/>
      <c r="GS509"/>
      <c r="GT509"/>
      <c r="GU509"/>
      <c r="GV509"/>
      <c r="GW509"/>
      <c r="GX509"/>
      <c r="GY509"/>
      <c r="GZ509"/>
      <c r="HA509"/>
      <c r="HB509"/>
      <c r="HC509"/>
      <c r="HD509"/>
      <c r="HE509"/>
      <c r="HF509"/>
      <c r="HG509"/>
      <c r="HH509"/>
      <c r="HI509"/>
      <c r="HJ509"/>
      <c r="HK509"/>
      <c r="HL509"/>
      <c r="HM509"/>
      <c r="HN509"/>
      <c r="HO509"/>
      <c r="HP509"/>
      <c r="HQ509"/>
      <c r="HR509"/>
      <c r="HS509"/>
      <c r="HT509"/>
      <c r="HU509"/>
      <c r="HV509"/>
      <c r="HW509"/>
      <c r="HX509"/>
      <c r="HY509"/>
      <c r="HZ509"/>
      <c r="IA509"/>
      <c r="IB509"/>
      <c r="IC509"/>
      <c r="ID509"/>
      <c r="IE509"/>
      <c r="IF509"/>
      <c r="IG509"/>
      <c r="IH509"/>
      <c r="II509"/>
      <c r="IJ509"/>
      <c r="IK509"/>
      <c r="IL509"/>
      <c r="IM509"/>
      <c r="IN509"/>
      <c r="IO509"/>
      <c r="IP509"/>
      <c r="IQ509"/>
      <c r="IR509"/>
      <c r="IS509"/>
      <c r="IT509"/>
      <c r="IU509"/>
      <c r="IV509"/>
      <c r="IW509"/>
      <c r="IX509"/>
      <c r="IY509"/>
      <c r="IZ509"/>
      <c r="JA509"/>
      <c r="JB509"/>
      <c r="JC509"/>
      <c r="JD509"/>
      <c r="JE509"/>
      <c r="JF509"/>
      <c r="JG509"/>
      <c r="JH509"/>
      <c r="JI509"/>
      <c r="JJ509"/>
      <c r="JK509"/>
      <c r="JL509"/>
      <c r="JM509"/>
      <c r="JN509"/>
      <c r="JO509"/>
      <c r="JP509"/>
      <c r="JQ509"/>
      <c r="JR509"/>
      <c r="JS509"/>
      <c r="JT509"/>
      <c r="JU509"/>
      <c r="JV509"/>
      <c r="JW509"/>
      <c r="JX509"/>
      <c r="JY509"/>
      <c r="JZ509"/>
      <c r="KA509"/>
      <c r="KB509"/>
      <c r="KC509"/>
      <c r="KD509"/>
      <c r="KE509"/>
      <c r="KF509"/>
      <c r="KG509"/>
      <c r="KH509"/>
      <c r="KI509"/>
      <c r="KJ509"/>
      <c r="KK509"/>
      <c r="KL509"/>
      <c r="KM509"/>
      <c r="KN509"/>
      <c r="KO509"/>
      <c r="KP509"/>
      <c r="KQ509"/>
      <c r="KR509"/>
      <c r="KS509"/>
    </row>
    <row r="510" spans="2:305" hidden="1" x14ac:dyDescent="0.35">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c r="AL510"/>
      <c r="AM510"/>
      <c r="AN510"/>
      <c r="AO510"/>
      <c r="AP510"/>
      <c r="AQ510"/>
      <c r="AR510"/>
      <c r="AS510"/>
      <c r="AT510"/>
      <c r="AU510"/>
      <c r="AV510"/>
      <c r="AW510"/>
      <c r="AX510"/>
      <c r="AY510"/>
      <c r="AZ510"/>
      <c r="BA510"/>
      <c r="BB510"/>
      <c r="BC510"/>
      <c r="BD510"/>
      <c r="BE510"/>
      <c r="BF510"/>
      <c r="BG510"/>
      <c r="BH510"/>
      <c r="BI510"/>
      <c r="BJ510"/>
      <c r="BK510"/>
      <c r="BL510"/>
      <c r="BM510"/>
      <c r="BN510"/>
      <c r="BO510"/>
      <c r="BP510"/>
      <c r="BQ510"/>
      <c r="BR510"/>
      <c r="BS510"/>
      <c r="BT510"/>
      <c r="BU510"/>
      <c r="BV510"/>
      <c r="BW510"/>
      <c r="BX510"/>
      <c r="BY510"/>
      <c r="BZ510"/>
      <c r="CA510"/>
      <c r="CB510"/>
      <c r="CC510"/>
      <c r="CD510"/>
      <c r="CE510"/>
      <c r="CF510"/>
      <c r="CG510"/>
      <c r="CH510"/>
      <c r="CI510"/>
      <c r="CJ510"/>
      <c r="CK510"/>
      <c r="CL510"/>
      <c r="CM510"/>
      <c r="CN510"/>
      <c r="CO510"/>
      <c r="CP510"/>
      <c r="CQ510"/>
      <c r="CR510"/>
      <c r="CS510"/>
      <c r="CT510"/>
      <c r="CU510"/>
      <c r="CV510"/>
      <c r="CW510"/>
      <c r="CX510"/>
      <c r="CY510"/>
      <c r="CZ510"/>
      <c r="DA510"/>
      <c r="DB510"/>
      <c r="DC510"/>
      <c r="DD510"/>
      <c r="DE510"/>
      <c r="DF510"/>
      <c r="DG510"/>
      <c r="DH510"/>
      <c r="DI510"/>
      <c r="DJ510"/>
      <c r="DK510"/>
      <c r="DL510"/>
      <c r="DM510"/>
      <c r="DN510"/>
      <c r="DO510"/>
      <c r="DP510"/>
      <c r="DQ510"/>
      <c r="DR510"/>
      <c r="DS510"/>
      <c r="DT510"/>
      <c r="DU510"/>
      <c r="DV510"/>
      <c r="DW510"/>
      <c r="DX510"/>
      <c r="DY510"/>
      <c r="DZ510"/>
      <c r="EA510"/>
      <c r="EB510"/>
      <c r="EC510"/>
      <c r="ED510"/>
      <c r="EE510"/>
      <c r="EF510"/>
      <c r="EG510"/>
      <c r="EH510"/>
      <c r="EI510"/>
      <c r="EJ510"/>
      <c r="EK510"/>
      <c r="EL510"/>
      <c r="EM510"/>
      <c r="EN510"/>
      <c r="EO510"/>
      <c r="EP510"/>
      <c r="EQ510"/>
      <c r="ER510"/>
      <c r="ES510"/>
      <c r="ET510"/>
      <c r="EU510"/>
      <c r="EV510"/>
      <c r="EW510"/>
      <c r="EX510"/>
      <c r="EY510"/>
      <c r="EZ510"/>
      <c r="FA510"/>
      <c r="FB510"/>
      <c r="FC510"/>
      <c r="FD510"/>
      <c r="FE510"/>
      <c r="FF510"/>
      <c r="FG510"/>
      <c r="FH510"/>
      <c r="FI510"/>
      <c r="FJ510"/>
      <c r="FK510"/>
      <c r="FL510"/>
      <c r="FM510"/>
      <c r="FN510"/>
      <c r="FO510"/>
      <c r="FP510"/>
      <c r="FQ510"/>
      <c r="FR510"/>
      <c r="FS510"/>
      <c r="FT510"/>
      <c r="FU510"/>
      <c r="FV510"/>
      <c r="FW510"/>
      <c r="FX510"/>
      <c r="FY510"/>
      <c r="FZ510"/>
      <c r="GA510"/>
      <c r="GB510"/>
      <c r="GC510"/>
      <c r="GD510"/>
      <c r="GE510"/>
      <c r="GF510"/>
      <c r="GG510"/>
      <c r="GH510"/>
      <c r="GI510"/>
      <c r="GJ510"/>
      <c r="GK510"/>
      <c r="GL510"/>
      <c r="GM510"/>
      <c r="GN510"/>
      <c r="GO510"/>
      <c r="GP510"/>
      <c r="GQ510"/>
      <c r="GR510"/>
      <c r="GS510"/>
      <c r="GT510"/>
      <c r="GU510"/>
      <c r="GV510"/>
      <c r="GW510"/>
      <c r="GX510"/>
      <c r="GY510"/>
      <c r="GZ510"/>
      <c r="HA510"/>
      <c r="HB510"/>
      <c r="HC510"/>
      <c r="HD510"/>
      <c r="HE510"/>
      <c r="HF510"/>
      <c r="HG510"/>
      <c r="HH510"/>
      <c r="HI510"/>
      <c r="HJ510"/>
      <c r="HK510"/>
      <c r="HL510"/>
      <c r="HM510"/>
      <c r="HN510"/>
      <c r="HO510"/>
      <c r="HP510"/>
      <c r="HQ510"/>
      <c r="HR510"/>
      <c r="HS510"/>
      <c r="HT510"/>
      <c r="HU510"/>
      <c r="HV510"/>
      <c r="HW510"/>
      <c r="HX510"/>
      <c r="HY510"/>
      <c r="HZ510"/>
      <c r="IA510"/>
      <c r="IB510"/>
      <c r="IC510"/>
      <c r="ID510"/>
      <c r="IE510"/>
      <c r="IF510"/>
      <c r="IG510"/>
      <c r="IH510"/>
      <c r="II510"/>
      <c r="IJ510"/>
      <c r="IK510"/>
      <c r="IL510"/>
      <c r="IM510"/>
      <c r="IN510"/>
      <c r="IO510"/>
      <c r="IP510"/>
      <c r="IQ510"/>
      <c r="IR510"/>
      <c r="IS510"/>
      <c r="IT510"/>
      <c r="IU510"/>
      <c r="IV510"/>
      <c r="IW510"/>
      <c r="IX510"/>
      <c r="IY510"/>
      <c r="IZ510"/>
      <c r="JA510"/>
      <c r="JB510"/>
      <c r="JC510"/>
      <c r="JD510"/>
      <c r="JE510"/>
      <c r="JF510"/>
      <c r="JG510"/>
      <c r="JH510"/>
      <c r="JI510"/>
      <c r="JJ510"/>
      <c r="JK510"/>
      <c r="JL510"/>
      <c r="JM510"/>
      <c r="JN510"/>
      <c r="JO510"/>
      <c r="JP510"/>
      <c r="JQ510"/>
      <c r="JR510"/>
      <c r="JS510"/>
      <c r="JT510"/>
      <c r="JU510"/>
      <c r="JV510"/>
      <c r="JW510"/>
      <c r="JX510"/>
      <c r="JY510"/>
      <c r="JZ510"/>
      <c r="KA510"/>
      <c r="KB510"/>
      <c r="KC510"/>
      <c r="KD510"/>
      <c r="KE510"/>
      <c r="KF510"/>
      <c r="KG510"/>
      <c r="KH510"/>
      <c r="KI510"/>
      <c r="KJ510"/>
      <c r="KK510"/>
      <c r="KL510"/>
      <c r="KM510"/>
      <c r="KN510"/>
      <c r="KO510"/>
      <c r="KP510"/>
      <c r="KQ510"/>
      <c r="KR510"/>
      <c r="KS510"/>
    </row>
    <row r="511" spans="2:305" hidden="1" x14ac:dyDescent="0.35">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c r="AL511"/>
      <c r="AM511"/>
      <c r="AN511"/>
      <c r="AO511"/>
      <c r="AP511"/>
      <c r="AQ511"/>
      <c r="AR511"/>
      <c r="AS511"/>
      <c r="AT511"/>
      <c r="AU511"/>
      <c r="AV511"/>
      <c r="AW511"/>
      <c r="AX511"/>
      <c r="AY511"/>
      <c r="AZ511"/>
      <c r="BA511"/>
      <c r="BB511"/>
      <c r="BC511"/>
      <c r="BD511"/>
      <c r="BE511"/>
      <c r="BF511"/>
      <c r="BG511"/>
      <c r="BH511"/>
      <c r="BI511"/>
      <c r="BJ511"/>
      <c r="BK511"/>
      <c r="BL511"/>
      <c r="BM511"/>
      <c r="BN511"/>
      <c r="BO511"/>
      <c r="BP511"/>
      <c r="BQ511"/>
      <c r="BR511"/>
      <c r="BS511"/>
      <c r="BT511"/>
      <c r="BU511"/>
      <c r="BV511"/>
      <c r="BW511"/>
      <c r="BX511"/>
      <c r="BY511"/>
      <c r="BZ511"/>
      <c r="CA511"/>
      <c r="CB511"/>
      <c r="CC511"/>
      <c r="CD511"/>
      <c r="CE511"/>
      <c r="CF511"/>
      <c r="CG511"/>
      <c r="CH511"/>
      <c r="CI511"/>
      <c r="CJ511"/>
      <c r="CK511"/>
      <c r="CL511"/>
      <c r="CM511"/>
      <c r="CN511"/>
      <c r="CO511"/>
      <c r="CP511"/>
      <c r="CQ511"/>
      <c r="CR511"/>
      <c r="CS511"/>
      <c r="CT511"/>
      <c r="CU511"/>
      <c r="CV511"/>
      <c r="CW511"/>
      <c r="CX511"/>
      <c r="CY511"/>
      <c r="CZ511"/>
      <c r="DA511"/>
      <c r="DB511"/>
      <c r="DC511"/>
      <c r="DD511"/>
      <c r="DE511"/>
      <c r="DF511"/>
      <c r="DG511"/>
      <c r="DH511"/>
      <c r="DI511"/>
      <c r="DJ511"/>
      <c r="DK511"/>
      <c r="DL511"/>
      <c r="DM511"/>
      <c r="DN511"/>
      <c r="DO511"/>
      <c r="DP511"/>
      <c r="DQ511"/>
      <c r="DR511"/>
      <c r="DS511"/>
      <c r="DT511"/>
      <c r="DU511"/>
      <c r="DV511"/>
      <c r="DW511"/>
      <c r="DX511"/>
      <c r="DY511"/>
      <c r="DZ511"/>
      <c r="EA511"/>
      <c r="EB511"/>
      <c r="EC511"/>
      <c r="ED511"/>
      <c r="EE511"/>
      <c r="EF511"/>
      <c r="EG511"/>
      <c r="EH511"/>
      <c r="EI511"/>
      <c r="EJ511"/>
      <c r="EK511"/>
      <c r="EL511"/>
      <c r="EM511"/>
      <c r="EN511"/>
      <c r="EO511"/>
      <c r="EP511"/>
      <c r="EQ511"/>
      <c r="ER511"/>
      <c r="ES511"/>
      <c r="ET511"/>
      <c r="EU511"/>
      <c r="EV511"/>
      <c r="EW511"/>
      <c r="EX511"/>
      <c r="EY511"/>
      <c r="EZ511"/>
      <c r="FA511"/>
      <c r="FB511"/>
      <c r="FC511"/>
      <c r="FD511"/>
      <c r="FE511"/>
      <c r="FF511"/>
      <c r="FG511"/>
      <c r="FH511"/>
      <c r="FI511"/>
      <c r="FJ511"/>
      <c r="FK511"/>
      <c r="FL511"/>
      <c r="FM511"/>
      <c r="FN511"/>
      <c r="FO511"/>
      <c r="FP511"/>
      <c r="FQ511"/>
      <c r="FR511"/>
      <c r="FS511"/>
      <c r="FT511"/>
      <c r="FU511"/>
      <c r="FV511"/>
      <c r="FW511"/>
      <c r="FX511"/>
      <c r="FY511"/>
      <c r="FZ511"/>
      <c r="GA511"/>
      <c r="GB511"/>
      <c r="GC511"/>
      <c r="GD511"/>
      <c r="GE511"/>
      <c r="GF511"/>
      <c r="GG511"/>
      <c r="GH511"/>
      <c r="GI511"/>
      <c r="GJ511"/>
      <c r="GK511"/>
      <c r="GL511"/>
      <c r="GM511"/>
      <c r="GN511"/>
      <c r="GO511"/>
      <c r="GP511"/>
      <c r="GQ511"/>
      <c r="GR511"/>
      <c r="GS511"/>
      <c r="GT511"/>
      <c r="GU511"/>
      <c r="GV511"/>
      <c r="GW511"/>
      <c r="GX511"/>
      <c r="GY511"/>
      <c r="GZ511"/>
      <c r="HA511"/>
      <c r="HB511"/>
      <c r="HC511"/>
      <c r="HD511"/>
      <c r="HE511"/>
      <c r="HF511"/>
      <c r="HG511"/>
      <c r="HH511"/>
      <c r="HI511"/>
      <c r="HJ511"/>
      <c r="HK511"/>
      <c r="HL511"/>
      <c r="HM511"/>
      <c r="HN511"/>
      <c r="HO511"/>
      <c r="HP511"/>
      <c r="HQ511"/>
      <c r="HR511"/>
      <c r="HS511"/>
      <c r="HT511"/>
      <c r="HU511"/>
      <c r="HV511"/>
      <c r="HW511"/>
      <c r="HX511"/>
      <c r="HY511"/>
      <c r="HZ511"/>
      <c r="IA511"/>
      <c r="IB511"/>
      <c r="IC511"/>
      <c r="ID511"/>
      <c r="IE511"/>
      <c r="IF511"/>
      <c r="IG511"/>
      <c r="IH511"/>
      <c r="II511"/>
      <c r="IJ511"/>
      <c r="IK511"/>
      <c r="IL511"/>
      <c r="IM511"/>
      <c r="IN511"/>
      <c r="IO511"/>
      <c r="IP511"/>
      <c r="IQ511"/>
      <c r="IR511"/>
      <c r="IS511"/>
      <c r="IT511"/>
      <c r="IU511"/>
      <c r="IV511"/>
      <c r="IW511"/>
      <c r="IX511"/>
      <c r="IY511"/>
      <c r="IZ511"/>
      <c r="JA511"/>
      <c r="JB511"/>
      <c r="JC511"/>
      <c r="JD511"/>
      <c r="JE511"/>
      <c r="JF511"/>
      <c r="JG511"/>
      <c r="JH511"/>
      <c r="JI511"/>
      <c r="JJ511"/>
      <c r="JK511"/>
      <c r="JL511"/>
      <c r="JM511"/>
      <c r="JN511"/>
      <c r="JO511"/>
      <c r="JP511"/>
      <c r="JQ511"/>
      <c r="JR511"/>
      <c r="JS511"/>
      <c r="JT511"/>
      <c r="JU511"/>
      <c r="JV511"/>
      <c r="JW511"/>
      <c r="JX511"/>
      <c r="JY511"/>
      <c r="JZ511"/>
      <c r="KA511"/>
      <c r="KB511"/>
      <c r="KC511"/>
      <c r="KD511"/>
      <c r="KE511"/>
      <c r="KF511"/>
      <c r="KG511"/>
      <c r="KH511"/>
      <c r="KI511"/>
      <c r="KJ511"/>
      <c r="KK511"/>
      <c r="KL511"/>
      <c r="KM511"/>
      <c r="KN511"/>
      <c r="KO511"/>
      <c r="KP511"/>
      <c r="KQ511"/>
      <c r="KR511"/>
      <c r="KS511"/>
    </row>
    <row r="512" spans="2:305" hidden="1" x14ac:dyDescent="0.35">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c r="AL512"/>
      <c r="AM512"/>
      <c r="AN512"/>
      <c r="AO512"/>
      <c r="AP512"/>
      <c r="AQ512"/>
      <c r="AR512"/>
      <c r="AS512"/>
      <c r="AT512"/>
      <c r="AU512"/>
      <c r="AV512"/>
      <c r="AW512"/>
      <c r="AX512"/>
      <c r="AY512"/>
      <c r="AZ512"/>
      <c r="BA512"/>
      <c r="BB512"/>
      <c r="BC512"/>
      <c r="BD512"/>
      <c r="BE512"/>
      <c r="BF512"/>
      <c r="BG512"/>
      <c r="BH512"/>
      <c r="BI512"/>
      <c r="BJ512"/>
      <c r="BK512"/>
      <c r="BL512"/>
      <c r="BM512"/>
      <c r="BN512"/>
      <c r="BO512"/>
      <c r="BP512"/>
      <c r="BQ512"/>
      <c r="BR512"/>
      <c r="BS512"/>
      <c r="BT512"/>
      <c r="BU512"/>
      <c r="BV512"/>
      <c r="BW512"/>
      <c r="BX512"/>
      <c r="BY512"/>
      <c r="BZ512"/>
      <c r="CA512"/>
      <c r="CB512"/>
      <c r="CC512"/>
      <c r="CD512"/>
      <c r="CE512"/>
      <c r="CF512"/>
      <c r="CG512"/>
      <c r="CH512"/>
      <c r="CI512"/>
      <c r="CJ512"/>
      <c r="CK512"/>
      <c r="CL512"/>
      <c r="CM512"/>
      <c r="CN512"/>
      <c r="CO512"/>
      <c r="CP512"/>
      <c r="CQ512"/>
      <c r="CR512"/>
      <c r="CS512"/>
      <c r="CT512"/>
      <c r="CU512"/>
      <c r="CV512"/>
      <c r="CW512"/>
      <c r="CX512"/>
      <c r="CY512"/>
      <c r="CZ512"/>
      <c r="DA512"/>
      <c r="DB512"/>
      <c r="DC512"/>
      <c r="DD512"/>
      <c r="DE512"/>
      <c r="DF512"/>
      <c r="DG512"/>
      <c r="DH512"/>
      <c r="DI512"/>
      <c r="DJ512"/>
      <c r="DK512"/>
      <c r="DL512"/>
      <c r="DM512"/>
      <c r="DN512"/>
      <c r="DO512"/>
      <c r="DP512"/>
      <c r="DQ512"/>
      <c r="DR512"/>
      <c r="DS512"/>
      <c r="DT512"/>
      <c r="DU512"/>
      <c r="DV512"/>
      <c r="DW512"/>
      <c r="DX512"/>
      <c r="DY512"/>
      <c r="DZ512"/>
      <c r="EA512"/>
      <c r="EB512"/>
      <c r="EC512"/>
      <c r="ED512"/>
      <c r="EE512"/>
      <c r="EF512"/>
      <c r="EG512"/>
      <c r="EH512"/>
      <c r="EI512"/>
      <c r="EJ512"/>
      <c r="EK512"/>
      <c r="EL512"/>
      <c r="EM512"/>
      <c r="EN512"/>
      <c r="EO512"/>
      <c r="EP512"/>
      <c r="EQ512"/>
      <c r="ER512"/>
      <c r="ES512"/>
      <c r="ET512"/>
      <c r="EU512"/>
      <c r="EV512"/>
      <c r="EW512"/>
      <c r="EX512"/>
      <c r="EY512"/>
      <c r="EZ512"/>
      <c r="FA512"/>
      <c r="FB512"/>
      <c r="FC512"/>
      <c r="FD512"/>
      <c r="FE512"/>
      <c r="FF512"/>
      <c r="FG512"/>
      <c r="FH512"/>
      <c r="FI512"/>
      <c r="FJ512"/>
      <c r="FK512"/>
      <c r="FL512"/>
      <c r="FM512"/>
      <c r="FN512"/>
      <c r="FO512"/>
      <c r="FP512"/>
      <c r="FQ512"/>
      <c r="FR512"/>
      <c r="FS512"/>
      <c r="FT512"/>
      <c r="FU512"/>
      <c r="FV512"/>
      <c r="FW512"/>
      <c r="FX512"/>
      <c r="FY512"/>
      <c r="FZ512"/>
      <c r="GA512"/>
      <c r="GB512"/>
      <c r="GC512"/>
      <c r="GD512"/>
      <c r="GE512"/>
      <c r="GF512"/>
      <c r="GG512"/>
      <c r="GH512"/>
      <c r="GI512"/>
      <c r="GJ512"/>
      <c r="GK512"/>
      <c r="GL512"/>
      <c r="GM512"/>
      <c r="GN512"/>
      <c r="GO512"/>
      <c r="GP512"/>
      <c r="GQ512"/>
      <c r="GR512"/>
      <c r="GS512"/>
      <c r="GT512"/>
      <c r="GU512"/>
      <c r="GV512"/>
      <c r="GW512"/>
      <c r="GX512"/>
      <c r="GY512"/>
      <c r="GZ512"/>
      <c r="HA512"/>
      <c r="HB512"/>
      <c r="HC512"/>
      <c r="HD512"/>
      <c r="HE512"/>
      <c r="HF512"/>
      <c r="HG512"/>
      <c r="HH512"/>
      <c r="HI512"/>
      <c r="HJ512"/>
      <c r="HK512"/>
      <c r="HL512"/>
      <c r="HM512"/>
      <c r="HN512"/>
      <c r="HO512"/>
      <c r="HP512"/>
      <c r="HQ512"/>
      <c r="HR512"/>
      <c r="HS512"/>
      <c r="HT512"/>
      <c r="HU512"/>
      <c r="HV512"/>
      <c r="HW512"/>
      <c r="HX512"/>
      <c r="HY512"/>
      <c r="HZ512"/>
      <c r="IA512"/>
      <c r="IB512"/>
      <c r="IC512"/>
      <c r="ID512"/>
      <c r="IE512"/>
      <c r="IF512"/>
      <c r="IG512"/>
      <c r="IH512"/>
      <c r="II512"/>
      <c r="IJ512"/>
      <c r="IK512"/>
      <c r="IL512"/>
      <c r="IM512"/>
      <c r="IN512"/>
      <c r="IO512"/>
      <c r="IP512"/>
      <c r="IQ512"/>
      <c r="IR512"/>
      <c r="IS512"/>
      <c r="IT512"/>
      <c r="IU512"/>
      <c r="IV512"/>
      <c r="IW512"/>
      <c r="IX512"/>
      <c r="IY512"/>
      <c r="IZ512"/>
      <c r="JA512"/>
      <c r="JB512"/>
      <c r="JC512"/>
      <c r="JD512"/>
      <c r="JE512"/>
      <c r="JF512"/>
      <c r="JG512"/>
      <c r="JH512"/>
      <c r="JI512"/>
      <c r="JJ512"/>
      <c r="JK512"/>
      <c r="JL512"/>
      <c r="JM512"/>
      <c r="JN512"/>
      <c r="JO512"/>
      <c r="JP512"/>
      <c r="JQ512"/>
      <c r="JR512"/>
      <c r="JS512"/>
      <c r="JT512"/>
      <c r="JU512"/>
      <c r="JV512"/>
      <c r="JW512"/>
      <c r="JX512"/>
      <c r="JY512"/>
      <c r="JZ512"/>
      <c r="KA512"/>
      <c r="KB512"/>
      <c r="KC512"/>
      <c r="KD512"/>
      <c r="KE512"/>
      <c r="KF512"/>
      <c r="KG512"/>
      <c r="KH512"/>
      <c r="KI512"/>
      <c r="KJ512"/>
      <c r="KK512"/>
      <c r="KL512"/>
      <c r="KM512"/>
      <c r="KN512"/>
      <c r="KO512"/>
      <c r="KP512"/>
      <c r="KQ512"/>
      <c r="KR512"/>
      <c r="KS512"/>
    </row>
    <row r="513" spans="2:305" hidden="1" x14ac:dyDescent="0.35">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c r="AL513"/>
      <c r="AM513"/>
      <c r="AN513"/>
      <c r="AO513"/>
      <c r="AP513"/>
      <c r="AQ513"/>
      <c r="AR513"/>
      <c r="AS513"/>
      <c r="AT513"/>
      <c r="AU513"/>
      <c r="AV513"/>
      <c r="AW513"/>
      <c r="AX513"/>
      <c r="AY513"/>
      <c r="AZ513"/>
      <c r="BA513"/>
      <c r="BB513"/>
      <c r="BC513"/>
      <c r="BD513"/>
      <c r="BE513"/>
      <c r="BF513"/>
      <c r="BG513"/>
      <c r="BH513"/>
      <c r="BI513"/>
      <c r="BJ513"/>
      <c r="BK513"/>
      <c r="BL513"/>
      <c r="BM513"/>
      <c r="BN513"/>
      <c r="BO513"/>
      <c r="BP513"/>
      <c r="BQ513"/>
      <c r="BR513"/>
      <c r="BS513"/>
      <c r="BT513"/>
      <c r="BU513"/>
      <c r="BV513"/>
      <c r="BW513"/>
      <c r="BX513"/>
      <c r="BY513"/>
      <c r="BZ513"/>
      <c r="CA513"/>
      <c r="CB513"/>
      <c r="CC513"/>
      <c r="CD513"/>
      <c r="CE513"/>
      <c r="CF513"/>
      <c r="CG513"/>
      <c r="CH513"/>
      <c r="CI513"/>
      <c r="CJ513"/>
      <c r="CK513"/>
      <c r="CL513"/>
      <c r="CM513"/>
      <c r="CN513"/>
      <c r="CO513"/>
      <c r="CP513"/>
      <c r="CQ513"/>
      <c r="CR513"/>
      <c r="CS513"/>
      <c r="CT513"/>
      <c r="CU513"/>
      <c r="CV513"/>
      <c r="CW513"/>
      <c r="CX513"/>
      <c r="CY513"/>
      <c r="CZ513"/>
      <c r="DA513"/>
      <c r="DB513"/>
      <c r="DC513"/>
      <c r="DD513"/>
      <c r="DE513"/>
      <c r="DF513"/>
      <c r="DG513"/>
      <c r="DH513"/>
      <c r="DI513"/>
      <c r="DJ513"/>
      <c r="DK513"/>
      <c r="DL513"/>
      <c r="DM513"/>
      <c r="DN513"/>
      <c r="DO513"/>
      <c r="DP513"/>
      <c r="DQ513"/>
      <c r="DR513"/>
      <c r="DS513"/>
      <c r="DT513"/>
      <c r="DU513"/>
      <c r="DV513"/>
      <c r="DW513"/>
      <c r="DX513"/>
      <c r="DY513"/>
      <c r="DZ513"/>
      <c r="EA513"/>
      <c r="EB513"/>
      <c r="EC513"/>
      <c r="ED513"/>
      <c r="EE513"/>
      <c r="EF513"/>
      <c r="EG513"/>
      <c r="EH513"/>
      <c r="EI513"/>
      <c r="EJ513"/>
      <c r="EK513"/>
      <c r="EL513"/>
      <c r="EM513"/>
      <c r="EN513"/>
      <c r="EO513"/>
      <c r="EP513"/>
      <c r="EQ513"/>
      <c r="ER513"/>
      <c r="ES513"/>
      <c r="ET513"/>
      <c r="EU513"/>
      <c r="EV513"/>
      <c r="EW513"/>
      <c r="EX513"/>
      <c r="EY513"/>
      <c r="EZ513"/>
      <c r="FA513"/>
      <c r="FB513"/>
      <c r="FC513"/>
      <c r="FD513"/>
      <c r="FE513"/>
      <c r="FF513"/>
      <c r="FG513"/>
      <c r="FH513"/>
      <c r="FI513"/>
      <c r="FJ513"/>
      <c r="FK513"/>
      <c r="FL513"/>
      <c r="FM513"/>
      <c r="FN513"/>
      <c r="FO513"/>
      <c r="FP513"/>
      <c r="FQ513"/>
      <c r="FR513"/>
      <c r="FS513"/>
      <c r="FT513"/>
      <c r="FU513"/>
      <c r="FV513"/>
      <c r="FW513"/>
      <c r="FX513"/>
      <c r="FY513"/>
      <c r="FZ513"/>
      <c r="GA513"/>
      <c r="GB513"/>
      <c r="GC513"/>
      <c r="GD513"/>
      <c r="GE513"/>
      <c r="GF513"/>
      <c r="GG513"/>
      <c r="GH513"/>
      <c r="GI513"/>
      <c r="GJ513"/>
      <c r="GK513"/>
      <c r="GL513"/>
      <c r="GM513"/>
      <c r="GN513"/>
      <c r="GO513"/>
      <c r="GP513"/>
      <c r="GQ513"/>
      <c r="GR513"/>
      <c r="GS513"/>
      <c r="GT513"/>
      <c r="GU513"/>
      <c r="GV513"/>
      <c r="GW513"/>
      <c r="GX513"/>
      <c r="GY513"/>
      <c r="GZ513"/>
      <c r="HA513"/>
      <c r="HB513"/>
      <c r="HC513"/>
      <c r="HD513"/>
      <c r="HE513"/>
      <c r="HF513"/>
      <c r="HG513"/>
      <c r="HH513"/>
      <c r="HI513"/>
      <c r="HJ513"/>
      <c r="HK513"/>
      <c r="HL513"/>
      <c r="HM513"/>
      <c r="HN513"/>
      <c r="HO513"/>
      <c r="HP513"/>
      <c r="HQ513"/>
      <c r="HR513"/>
      <c r="HS513"/>
      <c r="HT513"/>
      <c r="HU513"/>
      <c r="HV513"/>
      <c r="HW513"/>
      <c r="HX513"/>
      <c r="HY513"/>
      <c r="HZ513"/>
      <c r="IA513"/>
      <c r="IB513"/>
      <c r="IC513"/>
      <c r="ID513"/>
      <c r="IE513"/>
      <c r="IF513"/>
      <c r="IG513"/>
      <c r="IH513"/>
      <c r="II513"/>
      <c r="IJ513"/>
      <c r="IK513"/>
      <c r="IL513"/>
      <c r="IM513"/>
      <c r="IN513"/>
      <c r="IO513"/>
      <c r="IP513"/>
      <c r="IQ513"/>
      <c r="IR513"/>
      <c r="IS513"/>
      <c r="IT513"/>
      <c r="IU513"/>
      <c r="IV513"/>
      <c r="IW513"/>
      <c r="IX513"/>
      <c r="IY513"/>
      <c r="IZ513"/>
      <c r="JA513"/>
      <c r="JB513"/>
      <c r="JC513"/>
      <c r="JD513"/>
      <c r="JE513"/>
      <c r="JF513"/>
      <c r="JG513"/>
      <c r="JH513"/>
      <c r="JI513"/>
      <c r="JJ513"/>
      <c r="JK513"/>
      <c r="JL513"/>
      <c r="JM513"/>
      <c r="JN513"/>
      <c r="JO513"/>
      <c r="JP513"/>
      <c r="JQ513"/>
      <c r="JR513"/>
      <c r="JS513"/>
      <c r="JT513"/>
      <c r="JU513"/>
      <c r="JV513"/>
      <c r="JW513"/>
      <c r="JX513"/>
      <c r="JY513"/>
      <c r="JZ513"/>
      <c r="KA513"/>
      <c r="KB513"/>
      <c r="KC513"/>
      <c r="KD513"/>
      <c r="KE513"/>
      <c r="KF513"/>
      <c r="KG513"/>
      <c r="KH513"/>
      <c r="KI513"/>
      <c r="KJ513"/>
      <c r="KK513"/>
      <c r="KL513"/>
      <c r="KM513"/>
      <c r="KN513"/>
      <c r="KO513"/>
      <c r="KP513"/>
      <c r="KQ513"/>
      <c r="KR513"/>
      <c r="KS513"/>
    </row>
    <row r="514" spans="2:305" hidden="1" x14ac:dyDescent="0.35">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c r="AL514"/>
      <c r="AM514"/>
      <c r="AN514"/>
      <c r="AO514"/>
      <c r="AP514"/>
      <c r="AQ514"/>
      <c r="AR514"/>
      <c r="AS514"/>
      <c r="AT514"/>
      <c r="AU514"/>
      <c r="AV514"/>
      <c r="AW514"/>
      <c r="AX514"/>
      <c r="AY514"/>
      <c r="AZ514"/>
      <c r="BA514"/>
      <c r="BB514"/>
      <c r="BC514"/>
      <c r="BD514"/>
      <c r="BE514"/>
      <c r="BF514"/>
      <c r="BG514"/>
      <c r="BH514"/>
      <c r="BI514"/>
      <c r="BJ514"/>
      <c r="BK514"/>
      <c r="BL514"/>
      <c r="BM514"/>
      <c r="BN514"/>
      <c r="BO514"/>
      <c r="BP514"/>
      <c r="BQ514"/>
      <c r="BR514"/>
      <c r="BS514"/>
      <c r="BT514"/>
      <c r="BU514"/>
      <c r="BV514"/>
      <c r="BW514"/>
      <c r="BX514"/>
      <c r="BY514"/>
      <c r="BZ514"/>
      <c r="CA514"/>
      <c r="CB514"/>
      <c r="CC514"/>
      <c r="CD514"/>
      <c r="CE514"/>
      <c r="CF514"/>
      <c r="CG514"/>
      <c r="CH514"/>
      <c r="CI514"/>
      <c r="CJ514"/>
      <c r="CK514"/>
      <c r="CL514"/>
      <c r="CM514"/>
      <c r="CN514"/>
      <c r="CO514"/>
      <c r="CP514"/>
      <c r="CQ514"/>
      <c r="CR514"/>
      <c r="CS514"/>
      <c r="CT514"/>
      <c r="CU514"/>
      <c r="CV514"/>
      <c r="CW514"/>
      <c r="CX514"/>
      <c r="CY514"/>
      <c r="CZ514"/>
      <c r="DA514"/>
      <c r="DB514"/>
      <c r="DC514"/>
      <c r="DD514"/>
      <c r="DE514"/>
      <c r="DF514"/>
      <c r="DG514"/>
      <c r="DH514"/>
      <c r="DI514"/>
      <c r="DJ514"/>
      <c r="DK514"/>
      <c r="DL514"/>
      <c r="DM514"/>
      <c r="DN514"/>
      <c r="DO514"/>
      <c r="DP514"/>
      <c r="DQ514"/>
      <c r="DR514"/>
      <c r="DS514"/>
      <c r="DT514"/>
      <c r="DU514"/>
      <c r="DV514"/>
      <c r="DW514"/>
      <c r="DX514"/>
      <c r="DY514"/>
      <c r="DZ514"/>
      <c r="EA514"/>
      <c r="EB514"/>
      <c r="EC514"/>
      <c r="ED514"/>
      <c r="EE514"/>
      <c r="EF514"/>
      <c r="EG514"/>
      <c r="EH514"/>
      <c r="EI514"/>
      <c r="EJ514"/>
      <c r="EK514"/>
      <c r="EL514"/>
      <c r="EM514"/>
      <c r="EN514"/>
      <c r="EO514"/>
      <c r="EP514"/>
      <c r="EQ514"/>
      <c r="ER514"/>
      <c r="ES514"/>
      <c r="ET514"/>
      <c r="EU514"/>
      <c r="EV514"/>
      <c r="EW514"/>
      <c r="EX514"/>
      <c r="EY514"/>
      <c r="EZ514"/>
      <c r="FA514"/>
      <c r="FB514"/>
      <c r="FC514"/>
      <c r="FD514"/>
      <c r="FE514"/>
      <c r="FF514"/>
      <c r="FG514"/>
      <c r="FH514"/>
      <c r="FI514"/>
      <c r="FJ514"/>
      <c r="FK514"/>
      <c r="FL514"/>
      <c r="FM514"/>
      <c r="FN514"/>
      <c r="FO514"/>
      <c r="FP514"/>
      <c r="FQ514"/>
      <c r="FR514"/>
      <c r="FS514"/>
      <c r="FT514"/>
      <c r="FU514"/>
      <c r="FV514"/>
      <c r="FW514"/>
      <c r="FX514"/>
      <c r="FY514"/>
      <c r="FZ514"/>
      <c r="GA514"/>
      <c r="GB514"/>
      <c r="GC514"/>
      <c r="GD514"/>
      <c r="GE514"/>
      <c r="GF514"/>
      <c r="GG514"/>
      <c r="GH514"/>
      <c r="GI514"/>
      <c r="GJ514"/>
      <c r="GK514"/>
      <c r="GL514"/>
      <c r="GM514"/>
      <c r="GN514"/>
      <c r="GO514"/>
      <c r="GP514"/>
      <c r="GQ514"/>
      <c r="GR514"/>
      <c r="GS514"/>
      <c r="GT514"/>
      <c r="GU514"/>
      <c r="GV514"/>
      <c r="GW514"/>
      <c r="GX514"/>
      <c r="GY514"/>
      <c r="GZ514"/>
      <c r="HA514"/>
      <c r="HB514"/>
      <c r="HC514"/>
      <c r="HD514"/>
      <c r="HE514"/>
      <c r="HF514"/>
      <c r="HG514"/>
      <c r="HH514"/>
      <c r="HI514"/>
      <c r="HJ514"/>
      <c r="HK514"/>
      <c r="HL514"/>
      <c r="HM514"/>
      <c r="HN514"/>
      <c r="HO514"/>
      <c r="HP514"/>
      <c r="HQ514"/>
      <c r="HR514"/>
      <c r="HS514"/>
      <c r="HT514"/>
      <c r="HU514"/>
      <c r="HV514"/>
      <c r="HW514"/>
      <c r="HX514"/>
      <c r="HY514"/>
      <c r="HZ514"/>
      <c r="IA514"/>
      <c r="IB514"/>
      <c r="IC514"/>
      <c r="ID514"/>
      <c r="IE514"/>
      <c r="IF514"/>
      <c r="IG514"/>
      <c r="IH514"/>
      <c r="II514"/>
      <c r="IJ514"/>
      <c r="IK514"/>
      <c r="IL514"/>
      <c r="IM514"/>
      <c r="IN514"/>
      <c r="IO514"/>
      <c r="IP514"/>
      <c r="IQ514"/>
      <c r="IR514"/>
      <c r="IS514"/>
      <c r="IT514"/>
      <c r="IU514"/>
      <c r="IV514"/>
      <c r="IW514"/>
      <c r="IX514"/>
      <c r="IY514"/>
      <c r="IZ514"/>
      <c r="JA514"/>
      <c r="JB514"/>
      <c r="JC514"/>
      <c r="JD514"/>
      <c r="JE514"/>
      <c r="JF514"/>
      <c r="JG514"/>
      <c r="JH514"/>
      <c r="JI514"/>
      <c r="JJ514"/>
      <c r="JK514"/>
      <c r="JL514"/>
      <c r="JM514"/>
      <c r="JN514"/>
      <c r="JO514"/>
      <c r="JP514"/>
      <c r="JQ514"/>
      <c r="JR514"/>
      <c r="JS514"/>
      <c r="JT514"/>
      <c r="JU514"/>
      <c r="JV514"/>
      <c r="JW514"/>
      <c r="JX514"/>
      <c r="JY514"/>
      <c r="JZ514"/>
      <c r="KA514"/>
      <c r="KB514"/>
      <c r="KC514"/>
      <c r="KD514"/>
      <c r="KE514"/>
      <c r="KF514"/>
      <c r="KG514"/>
      <c r="KH514"/>
      <c r="KI514"/>
      <c r="KJ514"/>
      <c r="KK514"/>
      <c r="KL514"/>
      <c r="KM514"/>
      <c r="KN514"/>
      <c r="KO514"/>
      <c r="KP514"/>
      <c r="KQ514"/>
      <c r="KR514"/>
      <c r="KS514"/>
    </row>
    <row r="515" spans="2:305" hidden="1" x14ac:dyDescent="0.3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c r="AL515"/>
      <c r="AM515"/>
      <c r="AN515"/>
      <c r="AO515"/>
      <c r="AP515"/>
      <c r="AQ515"/>
      <c r="AR515"/>
      <c r="AS515"/>
      <c r="AT515"/>
      <c r="AU515"/>
      <c r="AV515"/>
      <c r="AW515"/>
      <c r="AX515"/>
      <c r="AY515"/>
      <c r="AZ515"/>
      <c r="BA515"/>
      <c r="BB515"/>
      <c r="BC515"/>
      <c r="BD515"/>
      <c r="BE515"/>
      <c r="BF515"/>
      <c r="BG515"/>
      <c r="BH515"/>
      <c r="BI515"/>
      <c r="BJ515"/>
      <c r="BK515"/>
      <c r="BL515"/>
      <c r="BM515"/>
      <c r="BN515"/>
      <c r="BO515"/>
      <c r="BP515"/>
      <c r="BQ515"/>
      <c r="BR515"/>
      <c r="BS515"/>
      <c r="BT515"/>
      <c r="BU515"/>
      <c r="BV515"/>
      <c r="BW515"/>
      <c r="BX515"/>
      <c r="BY515"/>
      <c r="BZ515"/>
      <c r="CA515"/>
      <c r="CB515"/>
      <c r="CC515"/>
      <c r="CD515"/>
      <c r="CE515"/>
      <c r="CF515"/>
      <c r="CG515"/>
      <c r="CH515"/>
      <c r="CI515"/>
      <c r="CJ515"/>
      <c r="CK515"/>
      <c r="CL515"/>
      <c r="CM515"/>
      <c r="CN515"/>
      <c r="CO515"/>
      <c r="CP515"/>
      <c r="CQ515"/>
      <c r="CR515"/>
      <c r="CS515"/>
      <c r="CT515"/>
      <c r="CU515"/>
      <c r="CV515"/>
      <c r="CW515"/>
      <c r="CX515"/>
      <c r="CY515"/>
      <c r="CZ515"/>
      <c r="DA515"/>
      <c r="DB515"/>
      <c r="DC515"/>
      <c r="DD515"/>
      <c r="DE515"/>
      <c r="DF515"/>
      <c r="DG515"/>
      <c r="DH515"/>
      <c r="DI515"/>
      <c r="DJ515"/>
      <c r="DK515"/>
      <c r="DL515"/>
      <c r="DM515"/>
      <c r="DN515"/>
      <c r="DO515"/>
      <c r="DP515"/>
      <c r="DQ515"/>
      <c r="DR515"/>
      <c r="DS515"/>
      <c r="DT515"/>
      <c r="DU515"/>
      <c r="DV515"/>
      <c r="DW515"/>
      <c r="DX515"/>
      <c r="DY515"/>
      <c r="DZ515"/>
      <c r="EA515"/>
      <c r="EB515"/>
      <c r="EC515"/>
      <c r="ED515"/>
      <c r="EE515"/>
      <c r="EF515"/>
      <c r="EG515"/>
      <c r="EH515"/>
      <c r="EI515"/>
      <c r="EJ515"/>
      <c r="EK515"/>
      <c r="EL515"/>
      <c r="EM515"/>
      <c r="EN515"/>
      <c r="EO515"/>
      <c r="EP515"/>
      <c r="EQ515"/>
      <c r="ER515"/>
      <c r="ES515"/>
      <c r="ET515"/>
      <c r="EU515"/>
      <c r="EV515"/>
      <c r="EW515"/>
      <c r="EX515"/>
      <c r="EY515"/>
      <c r="EZ515"/>
      <c r="FA515"/>
      <c r="FB515"/>
      <c r="FC515"/>
      <c r="FD515"/>
      <c r="FE515"/>
      <c r="FF515"/>
      <c r="FG515"/>
      <c r="FH515"/>
      <c r="FI515"/>
      <c r="FJ515"/>
      <c r="FK515"/>
      <c r="FL515"/>
      <c r="FM515"/>
      <c r="FN515"/>
      <c r="FO515"/>
      <c r="FP515"/>
      <c r="FQ515"/>
      <c r="FR515"/>
      <c r="FS515"/>
      <c r="FT515"/>
      <c r="FU515"/>
      <c r="FV515"/>
      <c r="FW515"/>
      <c r="FX515"/>
      <c r="FY515"/>
      <c r="FZ515"/>
      <c r="GA515"/>
      <c r="GB515"/>
      <c r="GC515"/>
      <c r="GD515"/>
      <c r="GE515"/>
      <c r="GF515"/>
      <c r="GG515"/>
      <c r="GH515"/>
      <c r="GI515"/>
      <c r="GJ515"/>
      <c r="GK515"/>
      <c r="GL515"/>
      <c r="GM515"/>
      <c r="GN515"/>
      <c r="GO515"/>
      <c r="GP515"/>
      <c r="GQ515"/>
      <c r="GR515"/>
      <c r="GS515"/>
      <c r="GT515"/>
      <c r="GU515"/>
      <c r="GV515"/>
      <c r="GW515"/>
      <c r="GX515"/>
      <c r="GY515"/>
      <c r="GZ515"/>
      <c r="HA515"/>
      <c r="HB515"/>
      <c r="HC515"/>
      <c r="HD515"/>
      <c r="HE515"/>
      <c r="HF515"/>
      <c r="HG515"/>
      <c r="HH515"/>
      <c r="HI515"/>
      <c r="HJ515"/>
      <c r="HK515"/>
      <c r="HL515"/>
      <c r="HM515"/>
      <c r="HN515"/>
      <c r="HO515"/>
      <c r="HP515"/>
      <c r="HQ515"/>
      <c r="HR515"/>
      <c r="HS515"/>
      <c r="HT515"/>
      <c r="HU515"/>
      <c r="HV515"/>
      <c r="HW515"/>
      <c r="HX515"/>
      <c r="HY515"/>
      <c r="HZ515"/>
      <c r="IA515"/>
      <c r="IB515"/>
      <c r="IC515"/>
      <c r="ID515"/>
      <c r="IE515"/>
      <c r="IF515"/>
      <c r="IG515"/>
      <c r="IH515"/>
      <c r="II515"/>
      <c r="IJ515"/>
      <c r="IK515"/>
      <c r="IL515"/>
      <c r="IM515"/>
      <c r="IN515"/>
      <c r="IO515"/>
      <c r="IP515"/>
      <c r="IQ515"/>
      <c r="IR515"/>
      <c r="IS515"/>
      <c r="IT515"/>
      <c r="IU515"/>
      <c r="IV515"/>
      <c r="IW515"/>
      <c r="IX515"/>
      <c r="IY515"/>
      <c r="IZ515"/>
      <c r="JA515"/>
      <c r="JB515"/>
      <c r="JC515"/>
      <c r="JD515"/>
      <c r="JE515"/>
      <c r="JF515"/>
      <c r="JG515"/>
      <c r="JH515"/>
      <c r="JI515"/>
      <c r="JJ515"/>
      <c r="JK515"/>
      <c r="JL515"/>
      <c r="JM515"/>
      <c r="JN515"/>
      <c r="JO515"/>
      <c r="JP515"/>
      <c r="JQ515"/>
      <c r="JR515"/>
      <c r="JS515"/>
      <c r="JT515"/>
      <c r="JU515"/>
      <c r="JV515"/>
      <c r="JW515"/>
      <c r="JX515"/>
      <c r="JY515"/>
      <c r="JZ515"/>
      <c r="KA515"/>
      <c r="KB515"/>
      <c r="KC515"/>
      <c r="KD515"/>
      <c r="KE515"/>
      <c r="KF515"/>
      <c r="KG515"/>
      <c r="KH515"/>
      <c r="KI515"/>
      <c r="KJ515"/>
      <c r="KK515"/>
      <c r="KL515"/>
      <c r="KM515"/>
      <c r="KN515"/>
      <c r="KO515"/>
      <c r="KP515"/>
      <c r="KQ515"/>
      <c r="KR515"/>
      <c r="KS515"/>
    </row>
    <row r="516" spans="2:305" hidden="1" x14ac:dyDescent="0.35">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c r="AL516"/>
      <c r="AM516"/>
      <c r="AN516"/>
      <c r="AO516"/>
      <c r="AP516"/>
      <c r="AQ516"/>
      <c r="AR516"/>
      <c r="AS516"/>
      <c r="AT516"/>
      <c r="AU516"/>
      <c r="AV516"/>
      <c r="AW516"/>
      <c r="AX516"/>
      <c r="AY516"/>
      <c r="AZ516"/>
      <c r="BA516"/>
      <c r="BB516"/>
      <c r="BC516"/>
      <c r="BD516"/>
      <c r="BE516"/>
      <c r="BF516"/>
      <c r="BG516"/>
      <c r="BH516"/>
      <c r="BI516"/>
      <c r="BJ516"/>
      <c r="BK516"/>
      <c r="BL516"/>
      <c r="BM516"/>
      <c r="BN516"/>
      <c r="BO516"/>
      <c r="BP516"/>
      <c r="BQ516"/>
      <c r="BR516"/>
      <c r="BS516"/>
      <c r="BT516"/>
      <c r="BU516"/>
      <c r="BV516"/>
      <c r="BW516"/>
      <c r="BX516"/>
      <c r="BY516"/>
      <c r="BZ516"/>
      <c r="CA516"/>
      <c r="CB516"/>
      <c r="CC516"/>
      <c r="CD516"/>
      <c r="CE516"/>
      <c r="CF516"/>
      <c r="CG516"/>
      <c r="CH516"/>
      <c r="CI516"/>
      <c r="CJ516"/>
      <c r="CK516"/>
      <c r="CL516"/>
      <c r="CM516"/>
      <c r="CN516"/>
      <c r="CO516"/>
      <c r="CP516"/>
      <c r="CQ516"/>
      <c r="CR516"/>
      <c r="CS516"/>
      <c r="CT516"/>
      <c r="CU516"/>
      <c r="CV516"/>
      <c r="CW516"/>
      <c r="CX516"/>
      <c r="CY516"/>
      <c r="CZ516"/>
      <c r="DA516"/>
      <c r="DB516"/>
      <c r="DC516"/>
      <c r="DD516"/>
      <c r="DE516"/>
      <c r="DF516"/>
      <c r="DG516"/>
      <c r="DH516"/>
      <c r="DI516"/>
      <c r="DJ516"/>
      <c r="DK516"/>
      <c r="DL516"/>
      <c r="DM516"/>
      <c r="DN516"/>
      <c r="DO516"/>
      <c r="DP516"/>
      <c r="DQ516"/>
      <c r="DR516"/>
      <c r="DS516"/>
      <c r="DT516"/>
      <c r="DU516"/>
      <c r="DV516"/>
      <c r="DW516"/>
      <c r="DX516"/>
      <c r="DY516"/>
      <c r="DZ516"/>
      <c r="EA516"/>
      <c r="EB516"/>
      <c r="EC516"/>
      <c r="ED516"/>
      <c r="EE516"/>
      <c r="EF516"/>
      <c r="EG516"/>
      <c r="EH516"/>
      <c r="EI516"/>
      <c r="EJ516"/>
      <c r="EK516"/>
      <c r="EL516"/>
      <c r="EM516"/>
      <c r="EN516"/>
      <c r="EO516"/>
      <c r="EP516"/>
      <c r="EQ516"/>
      <c r="ER516"/>
      <c r="ES516"/>
      <c r="ET516"/>
      <c r="EU516"/>
      <c r="EV516"/>
      <c r="EW516"/>
      <c r="EX516"/>
      <c r="EY516"/>
      <c r="EZ516"/>
      <c r="FA516"/>
      <c r="FB516"/>
      <c r="FC516"/>
      <c r="FD516"/>
      <c r="FE516"/>
      <c r="FF516"/>
      <c r="FG516"/>
      <c r="FH516"/>
      <c r="FI516"/>
      <c r="FJ516"/>
      <c r="FK516"/>
      <c r="FL516"/>
      <c r="FM516"/>
      <c r="FN516"/>
      <c r="FO516"/>
      <c r="FP516"/>
      <c r="FQ516"/>
      <c r="FR516"/>
      <c r="FS516"/>
      <c r="FT516"/>
      <c r="FU516"/>
      <c r="FV516"/>
      <c r="FW516"/>
      <c r="FX516"/>
      <c r="FY516"/>
      <c r="FZ516"/>
      <c r="GA516"/>
      <c r="GB516"/>
      <c r="GC516"/>
      <c r="GD516"/>
      <c r="GE516"/>
      <c r="GF516"/>
      <c r="GG516"/>
      <c r="GH516"/>
      <c r="GI516"/>
      <c r="GJ516"/>
      <c r="GK516"/>
      <c r="GL516"/>
      <c r="GM516"/>
      <c r="GN516"/>
      <c r="GO516"/>
      <c r="GP516"/>
      <c r="GQ516"/>
      <c r="GR516"/>
      <c r="GS516"/>
      <c r="GT516"/>
      <c r="GU516"/>
      <c r="GV516"/>
      <c r="GW516"/>
      <c r="GX516"/>
      <c r="GY516"/>
      <c r="GZ516"/>
      <c r="HA516"/>
      <c r="HB516"/>
      <c r="HC516"/>
      <c r="HD516"/>
      <c r="HE516"/>
      <c r="HF516"/>
      <c r="HG516"/>
      <c r="HH516"/>
      <c r="HI516"/>
      <c r="HJ516"/>
      <c r="HK516"/>
      <c r="HL516"/>
      <c r="HM516"/>
      <c r="HN516"/>
      <c r="HO516"/>
      <c r="HP516"/>
      <c r="HQ516"/>
      <c r="HR516"/>
      <c r="HS516"/>
      <c r="HT516"/>
      <c r="HU516"/>
      <c r="HV516"/>
      <c r="HW516"/>
      <c r="HX516"/>
      <c r="HY516"/>
      <c r="HZ516"/>
      <c r="IA516"/>
      <c r="IB516"/>
      <c r="IC516"/>
      <c r="ID516"/>
      <c r="IE516"/>
      <c r="IF516"/>
      <c r="IG516"/>
      <c r="IH516"/>
      <c r="II516"/>
      <c r="IJ516"/>
      <c r="IK516"/>
      <c r="IL516"/>
      <c r="IM516"/>
      <c r="IN516"/>
      <c r="IO516"/>
      <c r="IP516"/>
      <c r="IQ516"/>
      <c r="IR516"/>
      <c r="IS516"/>
      <c r="IT516"/>
      <c r="IU516"/>
      <c r="IV516"/>
      <c r="IW516"/>
      <c r="IX516"/>
      <c r="IY516"/>
      <c r="IZ516"/>
      <c r="JA516"/>
      <c r="JB516"/>
      <c r="JC516"/>
      <c r="JD516"/>
      <c r="JE516"/>
      <c r="JF516"/>
      <c r="JG516"/>
      <c r="JH516"/>
      <c r="JI516"/>
      <c r="JJ516"/>
      <c r="JK516"/>
      <c r="JL516"/>
      <c r="JM516"/>
      <c r="JN516"/>
      <c r="JO516"/>
      <c r="JP516"/>
      <c r="JQ516"/>
      <c r="JR516"/>
      <c r="JS516"/>
      <c r="JT516"/>
      <c r="JU516"/>
      <c r="JV516"/>
      <c r="JW516"/>
      <c r="JX516"/>
      <c r="JY516"/>
      <c r="JZ516"/>
      <c r="KA516"/>
      <c r="KB516"/>
      <c r="KC516"/>
      <c r="KD516"/>
      <c r="KE516"/>
      <c r="KF516"/>
      <c r="KG516"/>
      <c r="KH516"/>
      <c r="KI516"/>
      <c r="KJ516"/>
      <c r="KK516"/>
      <c r="KL516"/>
      <c r="KM516"/>
      <c r="KN516"/>
      <c r="KO516"/>
      <c r="KP516"/>
      <c r="KQ516"/>
      <c r="KR516"/>
      <c r="KS516"/>
    </row>
    <row r="517" spans="2:305" hidden="1" x14ac:dyDescent="0.35">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c r="AL517"/>
      <c r="AM517"/>
      <c r="AN517"/>
      <c r="AO517"/>
      <c r="AP517"/>
      <c r="AQ517"/>
      <c r="AR517"/>
      <c r="AS517"/>
      <c r="AT517"/>
      <c r="AU517"/>
      <c r="AV517"/>
      <c r="AW517"/>
      <c r="AX517"/>
      <c r="AY517"/>
      <c r="AZ517"/>
      <c r="BA517"/>
      <c r="BB517"/>
      <c r="BC517"/>
      <c r="BD517"/>
      <c r="BE517"/>
      <c r="BF517"/>
      <c r="BG517"/>
      <c r="BH517"/>
      <c r="BI517"/>
      <c r="BJ517"/>
      <c r="BK517"/>
      <c r="BL517"/>
      <c r="BM517"/>
      <c r="BN517"/>
      <c r="BO517"/>
      <c r="BP517"/>
      <c r="BQ517"/>
      <c r="BR517"/>
      <c r="BS517"/>
      <c r="BT517"/>
      <c r="BU517"/>
      <c r="BV517"/>
      <c r="BW517"/>
      <c r="BX517"/>
      <c r="BY517"/>
      <c r="BZ517"/>
      <c r="CA517"/>
      <c r="CB517"/>
      <c r="CC517"/>
      <c r="CD517"/>
      <c r="CE517"/>
      <c r="CF517"/>
      <c r="CG517"/>
      <c r="CH517"/>
      <c r="CI517"/>
      <c r="CJ517"/>
      <c r="CK517"/>
      <c r="CL517"/>
      <c r="CM517"/>
      <c r="CN517"/>
      <c r="CO517"/>
      <c r="CP517"/>
      <c r="CQ517"/>
      <c r="CR517"/>
      <c r="CS517"/>
      <c r="CT517"/>
      <c r="CU517"/>
      <c r="CV517"/>
      <c r="CW517"/>
      <c r="CX517"/>
      <c r="CY517"/>
      <c r="CZ517"/>
      <c r="DA517"/>
      <c r="DB517"/>
      <c r="DC517"/>
      <c r="DD517"/>
      <c r="DE517"/>
      <c r="DF517"/>
      <c r="DG517"/>
      <c r="DH517"/>
      <c r="DI517"/>
      <c r="DJ517"/>
      <c r="DK517"/>
      <c r="DL517"/>
      <c r="DM517"/>
      <c r="DN517"/>
      <c r="DO517"/>
      <c r="DP517"/>
      <c r="DQ517"/>
      <c r="DR517"/>
      <c r="DS517"/>
      <c r="DT517"/>
      <c r="DU517"/>
      <c r="DV517"/>
      <c r="DW517"/>
      <c r="DX517"/>
      <c r="DY517"/>
      <c r="DZ517"/>
      <c r="EA517"/>
      <c r="EB517"/>
      <c r="EC517"/>
      <c r="ED517"/>
      <c r="EE517"/>
      <c r="EF517"/>
      <c r="EG517"/>
      <c r="EH517"/>
      <c r="EI517"/>
      <c r="EJ517"/>
      <c r="EK517"/>
      <c r="EL517"/>
      <c r="EM517"/>
      <c r="EN517"/>
      <c r="EO517"/>
      <c r="EP517"/>
      <c r="EQ517"/>
      <c r="ER517"/>
      <c r="ES517"/>
      <c r="ET517"/>
      <c r="EU517"/>
      <c r="EV517"/>
      <c r="EW517"/>
      <c r="EX517"/>
      <c r="EY517"/>
      <c r="EZ517"/>
      <c r="FA517"/>
      <c r="FB517"/>
      <c r="FC517"/>
      <c r="FD517"/>
      <c r="FE517"/>
      <c r="FF517"/>
      <c r="FG517"/>
      <c r="FH517"/>
      <c r="FI517"/>
      <c r="FJ517"/>
      <c r="FK517"/>
      <c r="FL517"/>
      <c r="FM517"/>
      <c r="FN517"/>
      <c r="FO517"/>
      <c r="FP517"/>
      <c r="FQ517"/>
      <c r="FR517"/>
      <c r="FS517"/>
      <c r="FT517"/>
      <c r="FU517"/>
      <c r="FV517"/>
      <c r="FW517"/>
      <c r="FX517"/>
      <c r="FY517"/>
      <c r="FZ517"/>
      <c r="GA517"/>
      <c r="GB517"/>
      <c r="GC517"/>
      <c r="GD517"/>
      <c r="GE517"/>
      <c r="GF517"/>
      <c r="GG517"/>
      <c r="GH517"/>
      <c r="GI517"/>
      <c r="GJ517"/>
      <c r="GK517"/>
      <c r="GL517"/>
      <c r="GM517"/>
      <c r="GN517"/>
      <c r="GO517"/>
      <c r="GP517"/>
      <c r="GQ517"/>
      <c r="GR517"/>
      <c r="GS517"/>
      <c r="GT517"/>
      <c r="GU517"/>
      <c r="GV517"/>
      <c r="GW517"/>
      <c r="GX517"/>
      <c r="GY517"/>
      <c r="GZ517"/>
      <c r="HA517"/>
      <c r="HB517"/>
      <c r="HC517"/>
      <c r="HD517"/>
      <c r="HE517"/>
      <c r="HF517"/>
      <c r="HG517"/>
      <c r="HH517"/>
      <c r="HI517"/>
      <c r="HJ517"/>
      <c r="HK517"/>
      <c r="HL517"/>
      <c r="HM517"/>
      <c r="HN517"/>
      <c r="HO517"/>
      <c r="HP517"/>
      <c r="HQ517"/>
      <c r="HR517"/>
      <c r="HS517"/>
      <c r="HT517"/>
      <c r="HU517"/>
      <c r="HV517"/>
      <c r="HW517"/>
      <c r="HX517"/>
      <c r="HY517"/>
      <c r="HZ517"/>
      <c r="IA517"/>
      <c r="IB517"/>
      <c r="IC517"/>
      <c r="ID517"/>
      <c r="IE517"/>
      <c r="IF517"/>
      <c r="IG517"/>
      <c r="IH517"/>
      <c r="II517"/>
      <c r="IJ517"/>
      <c r="IK517"/>
      <c r="IL517"/>
      <c r="IM517"/>
      <c r="IN517"/>
      <c r="IO517"/>
      <c r="IP517"/>
      <c r="IQ517"/>
      <c r="IR517"/>
      <c r="IS517"/>
      <c r="IT517"/>
      <c r="IU517"/>
      <c r="IV517"/>
      <c r="IW517"/>
      <c r="IX517"/>
      <c r="IY517"/>
      <c r="IZ517"/>
      <c r="JA517"/>
      <c r="JB517"/>
      <c r="JC517"/>
      <c r="JD517"/>
      <c r="JE517"/>
      <c r="JF517"/>
      <c r="JG517"/>
      <c r="JH517"/>
      <c r="JI517"/>
      <c r="JJ517"/>
      <c r="JK517"/>
      <c r="JL517"/>
      <c r="JM517"/>
      <c r="JN517"/>
      <c r="JO517"/>
      <c r="JP517"/>
      <c r="JQ517"/>
      <c r="JR517"/>
      <c r="JS517"/>
      <c r="JT517"/>
      <c r="JU517"/>
      <c r="JV517"/>
      <c r="JW517"/>
      <c r="JX517"/>
      <c r="JY517"/>
      <c r="JZ517"/>
      <c r="KA517"/>
      <c r="KB517"/>
      <c r="KC517"/>
      <c r="KD517"/>
      <c r="KE517"/>
      <c r="KF517"/>
      <c r="KG517"/>
      <c r="KH517"/>
      <c r="KI517"/>
      <c r="KJ517"/>
      <c r="KK517"/>
      <c r="KL517"/>
      <c r="KM517"/>
      <c r="KN517"/>
      <c r="KO517"/>
      <c r="KP517"/>
      <c r="KQ517"/>
      <c r="KR517"/>
      <c r="KS517"/>
    </row>
    <row r="518" spans="2:305" hidden="1" x14ac:dyDescent="0.35">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c r="AL518"/>
      <c r="AM518"/>
      <c r="AN518"/>
      <c r="AO518"/>
      <c r="AP518"/>
      <c r="AQ518"/>
      <c r="AR518"/>
      <c r="AS518"/>
      <c r="AT518"/>
      <c r="AU518"/>
      <c r="AV518"/>
      <c r="AW518"/>
      <c r="AX518"/>
      <c r="AY518"/>
      <c r="AZ518"/>
      <c r="BA518"/>
      <c r="BB518"/>
      <c r="BC518"/>
      <c r="BD518"/>
      <c r="BE518"/>
      <c r="BF518"/>
      <c r="BG518"/>
      <c r="BH518"/>
      <c r="BI518"/>
      <c r="BJ518"/>
      <c r="BK518"/>
      <c r="BL518"/>
      <c r="BM518"/>
      <c r="BN518"/>
      <c r="BO518"/>
      <c r="BP518"/>
      <c r="BQ518"/>
      <c r="BR518"/>
      <c r="BS518"/>
      <c r="BT518"/>
      <c r="BU518"/>
      <c r="BV518"/>
      <c r="BW518"/>
      <c r="BX518"/>
      <c r="BY518"/>
      <c r="BZ518"/>
      <c r="CA518"/>
      <c r="CB518"/>
      <c r="CC518"/>
      <c r="CD518"/>
      <c r="CE518"/>
      <c r="CF518"/>
      <c r="CG518"/>
      <c r="CH518"/>
      <c r="CI518"/>
      <c r="CJ518"/>
      <c r="CK518"/>
      <c r="CL518"/>
      <c r="CM518"/>
      <c r="CN518"/>
      <c r="CO518"/>
      <c r="CP518"/>
      <c r="CQ518"/>
      <c r="CR518"/>
      <c r="CS518"/>
      <c r="CT518"/>
      <c r="CU518"/>
      <c r="CV518"/>
      <c r="CW518"/>
      <c r="CX518"/>
      <c r="CY518"/>
      <c r="CZ518"/>
      <c r="DA518"/>
      <c r="DB518"/>
      <c r="DC518"/>
      <c r="DD518"/>
      <c r="DE518"/>
      <c r="DF518"/>
      <c r="DG518"/>
      <c r="DH518"/>
      <c r="DI518"/>
      <c r="DJ518"/>
      <c r="DK518"/>
      <c r="DL518"/>
      <c r="DM518"/>
      <c r="DN518"/>
      <c r="DO518"/>
      <c r="DP518"/>
      <c r="DQ518"/>
      <c r="DR518"/>
      <c r="DS518"/>
      <c r="DT518"/>
      <c r="DU518"/>
      <c r="DV518"/>
      <c r="DW518"/>
      <c r="DX518"/>
      <c r="DY518"/>
      <c r="DZ518"/>
      <c r="EA518"/>
      <c r="EB518"/>
      <c r="EC518"/>
      <c r="ED518"/>
      <c r="EE518"/>
      <c r="EF518"/>
      <c r="EG518"/>
      <c r="EH518"/>
      <c r="EI518"/>
      <c r="EJ518"/>
      <c r="EK518"/>
      <c r="EL518"/>
      <c r="EM518"/>
      <c r="EN518"/>
      <c r="EO518"/>
      <c r="EP518"/>
      <c r="EQ518"/>
      <c r="ER518"/>
      <c r="ES518"/>
      <c r="ET518"/>
      <c r="EU518"/>
      <c r="EV518"/>
      <c r="EW518"/>
      <c r="EX518"/>
      <c r="EY518"/>
      <c r="EZ518"/>
      <c r="FA518"/>
      <c r="FB518"/>
      <c r="FC518"/>
      <c r="FD518"/>
      <c r="FE518"/>
      <c r="FF518"/>
      <c r="FG518"/>
      <c r="FH518"/>
      <c r="FI518"/>
      <c r="FJ518"/>
      <c r="FK518"/>
      <c r="FL518"/>
      <c r="FM518"/>
      <c r="FN518"/>
      <c r="FO518"/>
      <c r="FP518"/>
      <c r="FQ518"/>
      <c r="FR518"/>
      <c r="FS518"/>
      <c r="FT518"/>
      <c r="FU518"/>
      <c r="FV518"/>
      <c r="FW518"/>
      <c r="FX518"/>
      <c r="FY518"/>
      <c r="FZ518"/>
      <c r="GA518"/>
      <c r="GB518"/>
      <c r="GC518"/>
      <c r="GD518"/>
      <c r="GE518"/>
      <c r="GF518"/>
      <c r="GG518"/>
      <c r="GH518"/>
      <c r="GI518"/>
      <c r="GJ518"/>
      <c r="GK518"/>
      <c r="GL518"/>
      <c r="GM518"/>
      <c r="GN518"/>
      <c r="GO518"/>
      <c r="GP518"/>
      <c r="GQ518"/>
      <c r="GR518"/>
      <c r="GS518"/>
      <c r="GT518"/>
      <c r="GU518"/>
      <c r="GV518"/>
      <c r="GW518"/>
      <c r="GX518"/>
      <c r="GY518"/>
      <c r="GZ518"/>
      <c r="HA518"/>
      <c r="HB518"/>
      <c r="HC518"/>
      <c r="HD518"/>
      <c r="HE518"/>
      <c r="HF518"/>
      <c r="HG518"/>
      <c r="HH518"/>
      <c r="HI518"/>
      <c r="HJ518"/>
      <c r="HK518"/>
      <c r="HL518"/>
      <c r="HM518"/>
      <c r="HN518"/>
      <c r="HO518"/>
      <c r="HP518"/>
      <c r="HQ518"/>
      <c r="HR518"/>
      <c r="HS518"/>
      <c r="HT518"/>
      <c r="HU518"/>
      <c r="HV518"/>
      <c r="HW518"/>
      <c r="HX518"/>
      <c r="HY518"/>
      <c r="HZ518"/>
      <c r="IA518"/>
      <c r="IB518"/>
      <c r="IC518"/>
      <c r="ID518"/>
      <c r="IE518"/>
      <c r="IF518"/>
      <c r="IG518"/>
      <c r="IH518"/>
      <c r="II518"/>
      <c r="IJ518"/>
      <c r="IK518"/>
      <c r="IL518"/>
      <c r="IM518"/>
      <c r="IN518"/>
      <c r="IO518"/>
      <c r="IP518"/>
      <c r="IQ518"/>
      <c r="IR518"/>
      <c r="IS518"/>
      <c r="IT518"/>
      <c r="IU518"/>
      <c r="IV518"/>
      <c r="IW518"/>
      <c r="IX518"/>
      <c r="IY518"/>
      <c r="IZ518"/>
      <c r="JA518"/>
      <c r="JB518"/>
      <c r="JC518"/>
      <c r="JD518"/>
      <c r="JE518"/>
      <c r="JF518"/>
      <c r="JG518"/>
      <c r="JH518"/>
      <c r="JI518"/>
      <c r="JJ518"/>
      <c r="JK518"/>
      <c r="JL518"/>
      <c r="JM518"/>
      <c r="JN518"/>
      <c r="JO518"/>
      <c r="JP518"/>
      <c r="JQ518"/>
      <c r="JR518"/>
      <c r="JS518"/>
      <c r="JT518"/>
      <c r="JU518"/>
      <c r="JV518"/>
      <c r="JW518"/>
      <c r="JX518"/>
      <c r="JY518"/>
      <c r="JZ518"/>
      <c r="KA518"/>
      <c r="KB518"/>
      <c r="KC518"/>
      <c r="KD518"/>
      <c r="KE518"/>
      <c r="KF518"/>
      <c r="KG518"/>
      <c r="KH518"/>
      <c r="KI518"/>
      <c r="KJ518"/>
      <c r="KK518"/>
      <c r="KL518"/>
      <c r="KM518"/>
      <c r="KN518"/>
      <c r="KO518"/>
      <c r="KP518"/>
      <c r="KQ518"/>
      <c r="KR518"/>
      <c r="KS518"/>
    </row>
    <row r="519" spans="2:305" hidden="1" x14ac:dyDescent="0.35">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c r="AL519"/>
      <c r="AM519"/>
      <c r="AN519"/>
      <c r="AO519"/>
      <c r="AP519"/>
      <c r="AQ519"/>
      <c r="AR519"/>
      <c r="AS519"/>
      <c r="AT519"/>
      <c r="AU519"/>
      <c r="AV519"/>
      <c r="AW519"/>
      <c r="AX519"/>
      <c r="AY519"/>
      <c r="AZ519"/>
      <c r="BA519"/>
      <c r="BB519"/>
      <c r="BC519"/>
      <c r="BD519"/>
      <c r="BE519"/>
      <c r="BF519"/>
      <c r="BG519"/>
      <c r="BH519"/>
      <c r="BI519"/>
      <c r="BJ519"/>
      <c r="BK519"/>
      <c r="BL519"/>
      <c r="BM519"/>
      <c r="BN519"/>
      <c r="BO519"/>
      <c r="BP519"/>
      <c r="BQ519"/>
      <c r="BR519"/>
      <c r="BS519"/>
      <c r="BT519"/>
      <c r="BU519"/>
      <c r="BV519"/>
      <c r="BW519"/>
      <c r="BX519"/>
      <c r="BY519"/>
      <c r="BZ519"/>
      <c r="CA519"/>
      <c r="CB519"/>
      <c r="CC519"/>
      <c r="CD519"/>
      <c r="CE519"/>
      <c r="CF519"/>
      <c r="CG519"/>
      <c r="CH519"/>
      <c r="CI519"/>
      <c r="CJ519"/>
      <c r="CK519"/>
      <c r="CL519"/>
      <c r="CM519"/>
      <c r="CN519"/>
      <c r="CO519"/>
      <c r="CP519"/>
      <c r="CQ519"/>
      <c r="CR519"/>
      <c r="CS519"/>
      <c r="CT519"/>
      <c r="CU519"/>
      <c r="CV519"/>
      <c r="CW519"/>
      <c r="CX519"/>
      <c r="CY519"/>
      <c r="CZ519"/>
      <c r="DA519"/>
      <c r="DB519"/>
      <c r="DC519"/>
      <c r="DD519"/>
      <c r="DE519"/>
      <c r="DF519"/>
      <c r="DG519"/>
      <c r="DH519"/>
      <c r="DI519"/>
      <c r="DJ519"/>
      <c r="DK519"/>
      <c r="DL519"/>
      <c r="DM519"/>
      <c r="DN519"/>
      <c r="DO519"/>
      <c r="DP519"/>
      <c r="DQ519"/>
      <c r="DR519"/>
      <c r="DS519"/>
      <c r="DT519"/>
      <c r="DU519"/>
      <c r="DV519"/>
      <c r="DW519"/>
      <c r="DX519"/>
      <c r="DY519"/>
      <c r="DZ519"/>
      <c r="EA519"/>
      <c r="EB519"/>
      <c r="EC519"/>
      <c r="ED519"/>
      <c r="EE519"/>
      <c r="EF519"/>
      <c r="EG519"/>
      <c r="EH519"/>
      <c r="EI519"/>
      <c r="EJ519"/>
      <c r="EK519"/>
      <c r="EL519"/>
      <c r="EM519"/>
      <c r="EN519"/>
      <c r="EO519"/>
      <c r="EP519"/>
      <c r="EQ519"/>
      <c r="ER519"/>
      <c r="ES519"/>
      <c r="ET519"/>
      <c r="EU519"/>
      <c r="EV519"/>
      <c r="EW519"/>
      <c r="EX519"/>
      <c r="EY519"/>
      <c r="EZ519"/>
      <c r="FA519"/>
      <c r="FB519"/>
      <c r="FC519"/>
      <c r="FD519"/>
      <c r="FE519"/>
      <c r="FF519"/>
      <c r="FG519"/>
      <c r="FH519"/>
      <c r="FI519"/>
      <c r="FJ519"/>
      <c r="FK519"/>
      <c r="FL519"/>
      <c r="FM519"/>
      <c r="FN519"/>
      <c r="FO519"/>
      <c r="FP519"/>
      <c r="FQ519"/>
      <c r="FR519"/>
      <c r="FS519"/>
      <c r="FT519"/>
      <c r="FU519"/>
      <c r="FV519"/>
      <c r="FW519"/>
      <c r="FX519"/>
      <c r="FY519"/>
      <c r="FZ519"/>
      <c r="GA519"/>
      <c r="GB519"/>
      <c r="GC519"/>
      <c r="GD519"/>
      <c r="GE519"/>
      <c r="GF519"/>
      <c r="GG519"/>
      <c r="GH519"/>
      <c r="GI519"/>
      <c r="GJ519"/>
      <c r="GK519"/>
      <c r="GL519"/>
      <c r="GM519"/>
      <c r="GN519"/>
      <c r="GO519"/>
      <c r="GP519"/>
      <c r="GQ519"/>
      <c r="GR519"/>
      <c r="GS519"/>
      <c r="GT519"/>
      <c r="GU519"/>
      <c r="GV519"/>
      <c r="GW519"/>
      <c r="GX519"/>
      <c r="GY519"/>
      <c r="GZ519"/>
      <c r="HA519"/>
      <c r="HB519"/>
      <c r="HC519"/>
      <c r="HD519"/>
      <c r="HE519"/>
      <c r="HF519"/>
      <c r="HG519"/>
      <c r="HH519"/>
      <c r="HI519"/>
      <c r="HJ519"/>
      <c r="HK519"/>
      <c r="HL519"/>
      <c r="HM519"/>
      <c r="HN519"/>
      <c r="HO519"/>
      <c r="HP519"/>
      <c r="HQ519"/>
      <c r="HR519"/>
      <c r="HS519"/>
      <c r="HT519"/>
      <c r="HU519"/>
      <c r="HV519"/>
      <c r="HW519"/>
      <c r="HX519"/>
      <c r="HY519"/>
      <c r="HZ519"/>
      <c r="IA519"/>
      <c r="IB519"/>
      <c r="IC519"/>
      <c r="ID519"/>
      <c r="IE519"/>
      <c r="IF519"/>
      <c r="IG519"/>
      <c r="IH519"/>
      <c r="II519"/>
      <c r="IJ519"/>
      <c r="IK519"/>
      <c r="IL519"/>
      <c r="IM519"/>
      <c r="IN519"/>
      <c r="IO519"/>
      <c r="IP519"/>
      <c r="IQ519"/>
      <c r="IR519"/>
      <c r="IS519"/>
      <c r="IT519"/>
      <c r="IU519"/>
      <c r="IV519"/>
      <c r="IW519"/>
      <c r="IX519"/>
      <c r="IY519"/>
      <c r="IZ519"/>
      <c r="JA519"/>
      <c r="JB519"/>
      <c r="JC519"/>
      <c r="JD519"/>
      <c r="JE519"/>
      <c r="JF519"/>
      <c r="JG519"/>
      <c r="JH519"/>
      <c r="JI519"/>
      <c r="JJ519"/>
      <c r="JK519"/>
      <c r="JL519"/>
      <c r="JM519"/>
      <c r="JN519"/>
      <c r="JO519"/>
      <c r="JP519"/>
      <c r="JQ519"/>
      <c r="JR519"/>
      <c r="JS519"/>
      <c r="JT519"/>
      <c r="JU519"/>
      <c r="JV519"/>
      <c r="JW519"/>
      <c r="JX519"/>
      <c r="JY519"/>
      <c r="JZ519"/>
      <c r="KA519"/>
      <c r="KB519"/>
      <c r="KC519"/>
      <c r="KD519"/>
      <c r="KE519"/>
      <c r="KF519"/>
      <c r="KG519"/>
      <c r="KH519"/>
      <c r="KI519"/>
      <c r="KJ519"/>
      <c r="KK519"/>
      <c r="KL519"/>
      <c r="KM519"/>
      <c r="KN519"/>
      <c r="KO519"/>
      <c r="KP519"/>
      <c r="KQ519"/>
      <c r="KR519"/>
      <c r="KS519"/>
    </row>
    <row r="520" spans="2:305" hidden="1" x14ac:dyDescent="0.35">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c r="AL520"/>
      <c r="AM520"/>
      <c r="AN520"/>
      <c r="AO520"/>
      <c r="AP520"/>
      <c r="AQ520"/>
      <c r="AR520"/>
      <c r="AS520"/>
      <c r="AT520"/>
      <c r="AU520"/>
      <c r="AV520"/>
      <c r="AW520"/>
      <c r="AX520"/>
      <c r="AY520"/>
      <c r="AZ520"/>
      <c r="BA520"/>
      <c r="BB520"/>
      <c r="BC520"/>
      <c r="BD520"/>
      <c r="BE520"/>
      <c r="BF520"/>
      <c r="BG520"/>
      <c r="BH520"/>
      <c r="BI520"/>
      <c r="BJ520"/>
      <c r="BK520"/>
      <c r="BL520"/>
      <c r="BM520"/>
      <c r="BN520"/>
      <c r="BO520"/>
      <c r="BP520"/>
      <c r="BQ520"/>
      <c r="BR520"/>
      <c r="BS520"/>
      <c r="BT520"/>
      <c r="BU520"/>
      <c r="BV520"/>
      <c r="BW520"/>
      <c r="BX520"/>
      <c r="BY520"/>
      <c r="BZ520"/>
      <c r="CA520"/>
      <c r="CB520"/>
      <c r="CC520"/>
      <c r="CD520"/>
      <c r="CE520"/>
      <c r="CF520"/>
      <c r="CG520"/>
      <c r="CH520"/>
      <c r="CI520"/>
      <c r="CJ520"/>
      <c r="CK520"/>
      <c r="CL520"/>
      <c r="CM520"/>
      <c r="CN520"/>
      <c r="CO520"/>
      <c r="CP520"/>
      <c r="CQ520"/>
      <c r="CR520"/>
      <c r="CS520"/>
      <c r="CT520"/>
      <c r="CU520"/>
      <c r="CV520"/>
      <c r="CW520"/>
      <c r="CX520"/>
      <c r="CY520"/>
      <c r="CZ520"/>
      <c r="DA520"/>
      <c r="DB520"/>
      <c r="DC520"/>
      <c r="DD520"/>
      <c r="DE520"/>
      <c r="DF520"/>
      <c r="DG520"/>
      <c r="DH520"/>
      <c r="DI520"/>
      <c r="DJ520"/>
      <c r="DK520"/>
      <c r="DL520"/>
      <c r="DM520"/>
      <c r="DN520"/>
      <c r="DO520"/>
      <c r="DP520"/>
      <c r="DQ520"/>
      <c r="DR520"/>
      <c r="DS520"/>
      <c r="DT520"/>
      <c r="DU520"/>
      <c r="DV520"/>
      <c r="DW520"/>
      <c r="DX520"/>
      <c r="DY520"/>
      <c r="DZ520"/>
      <c r="EA520"/>
      <c r="EB520"/>
      <c r="EC520"/>
      <c r="ED520"/>
      <c r="EE520"/>
      <c r="EF520"/>
      <c r="EG520"/>
      <c r="EH520"/>
      <c r="EI520"/>
      <c r="EJ520"/>
      <c r="EK520"/>
      <c r="EL520"/>
      <c r="EM520"/>
      <c r="EN520"/>
      <c r="EO520"/>
      <c r="EP520"/>
      <c r="EQ520"/>
      <c r="ER520"/>
      <c r="ES520"/>
      <c r="ET520"/>
      <c r="EU520"/>
      <c r="EV520"/>
      <c r="EW520"/>
      <c r="EX520"/>
      <c r="EY520"/>
      <c r="EZ520"/>
      <c r="FA520"/>
      <c r="FB520"/>
      <c r="FC520"/>
      <c r="FD520"/>
      <c r="FE520"/>
      <c r="FF520"/>
      <c r="FG520"/>
      <c r="FH520"/>
      <c r="FI520"/>
      <c r="FJ520"/>
      <c r="FK520"/>
      <c r="FL520"/>
      <c r="FM520"/>
      <c r="FN520"/>
      <c r="FO520"/>
      <c r="FP520"/>
      <c r="FQ520"/>
      <c r="FR520"/>
      <c r="FS520"/>
      <c r="FT520"/>
      <c r="FU520"/>
      <c r="FV520"/>
      <c r="FW520"/>
      <c r="FX520"/>
      <c r="FY520"/>
      <c r="FZ520"/>
      <c r="GA520"/>
      <c r="GB520"/>
      <c r="GC520"/>
      <c r="GD520"/>
      <c r="GE520"/>
      <c r="GF520"/>
      <c r="GG520"/>
      <c r="GH520"/>
      <c r="GI520"/>
      <c r="GJ520"/>
      <c r="GK520"/>
      <c r="GL520"/>
      <c r="GM520"/>
      <c r="GN520"/>
      <c r="GO520"/>
      <c r="GP520"/>
      <c r="GQ520"/>
      <c r="GR520"/>
      <c r="GS520"/>
      <c r="GT520"/>
      <c r="GU520"/>
      <c r="GV520"/>
      <c r="GW520"/>
      <c r="GX520"/>
      <c r="GY520"/>
      <c r="GZ520"/>
      <c r="HA520"/>
      <c r="HB520"/>
      <c r="HC520"/>
      <c r="HD520"/>
      <c r="HE520"/>
      <c r="HF520"/>
      <c r="HG520"/>
      <c r="HH520"/>
      <c r="HI520"/>
      <c r="HJ520"/>
      <c r="HK520"/>
      <c r="HL520"/>
      <c r="HM520"/>
      <c r="HN520"/>
      <c r="HO520"/>
      <c r="HP520"/>
      <c r="HQ520"/>
      <c r="HR520"/>
      <c r="HS520"/>
      <c r="HT520"/>
      <c r="HU520"/>
      <c r="HV520"/>
      <c r="HW520"/>
      <c r="HX520"/>
      <c r="HY520"/>
      <c r="HZ520"/>
      <c r="IA520"/>
      <c r="IB520"/>
      <c r="IC520"/>
      <c r="ID520"/>
      <c r="IE520"/>
      <c r="IF520"/>
      <c r="IG520"/>
      <c r="IH520"/>
      <c r="II520"/>
      <c r="IJ520"/>
      <c r="IK520"/>
      <c r="IL520"/>
      <c r="IM520"/>
      <c r="IN520"/>
      <c r="IO520"/>
      <c r="IP520"/>
      <c r="IQ520"/>
      <c r="IR520"/>
      <c r="IS520"/>
      <c r="IT520"/>
      <c r="IU520"/>
      <c r="IV520"/>
      <c r="IW520"/>
      <c r="IX520"/>
      <c r="IY520"/>
      <c r="IZ520"/>
      <c r="JA520"/>
      <c r="JB520"/>
      <c r="JC520"/>
      <c r="JD520"/>
      <c r="JE520"/>
      <c r="JF520"/>
      <c r="JG520"/>
      <c r="JH520"/>
      <c r="JI520"/>
      <c r="JJ520"/>
      <c r="JK520"/>
      <c r="JL520"/>
      <c r="JM520"/>
      <c r="JN520"/>
      <c r="JO520"/>
      <c r="JP520"/>
      <c r="JQ520"/>
      <c r="JR520"/>
      <c r="JS520"/>
      <c r="JT520"/>
      <c r="JU520"/>
      <c r="JV520"/>
      <c r="JW520"/>
      <c r="JX520"/>
      <c r="JY520"/>
      <c r="JZ520"/>
      <c r="KA520"/>
      <c r="KB520"/>
      <c r="KC520"/>
      <c r="KD520"/>
      <c r="KE520"/>
      <c r="KF520"/>
      <c r="KG520"/>
      <c r="KH520"/>
      <c r="KI520"/>
      <c r="KJ520"/>
      <c r="KK520"/>
      <c r="KL520"/>
      <c r="KM520"/>
      <c r="KN520"/>
      <c r="KO520"/>
      <c r="KP520"/>
      <c r="KQ520"/>
      <c r="KR520"/>
      <c r="KS520"/>
    </row>
    <row r="521" spans="2:305" hidden="1" x14ac:dyDescent="0.35">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c r="AL521"/>
      <c r="AM521"/>
      <c r="AN521"/>
      <c r="AO521"/>
      <c r="AP521"/>
      <c r="AQ521"/>
      <c r="AR521"/>
      <c r="AS521"/>
      <c r="AT521"/>
      <c r="AU521"/>
      <c r="AV521"/>
      <c r="AW521"/>
      <c r="AX521"/>
      <c r="AY521"/>
      <c r="AZ521"/>
      <c r="BA521"/>
      <c r="BB521"/>
      <c r="BC521"/>
      <c r="BD521"/>
      <c r="BE521"/>
      <c r="BF521"/>
      <c r="BG521"/>
      <c r="BH521"/>
      <c r="BI521"/>
      <c r="BJ521"/>
      <c r="BK521"/>
      <c r="BL521"/>
      <c r="BM521"/>
      <c r="BN521"/>
      <c r="BO521"/>
      <c r="BP521"/>
      <c r="BQ521"/>
      <c r="BR521"/>
      <c r="BS521"/>
      <c r="BT521"/>
      <c r="BU521"/>
      <c r="BV521"/>
      <c r="BW521"/>
      <c r="BX521"/>
      <c r="BY521"/>
      <c r="BZ521"/>
      <c r="CA521"/>
      <c r="CB521"/>
      <c r="CC521"/>
      <c r="CD521"/>
      <c r="CE521"/>
      <c r="CF521"/>
      <c r="CG521"/>
      <c r="CH521"/>
      <c r="CI521"/>
      <c r="CJ521"/>
      <c r="CK521"/>
      <c r="CL521"/>
      <c r="CM521"/>
      <c r="CN521"/>
      <c r="CO521"/>
      <c r="CP521"/>
      <c r="CQ521"/>
      <c r="CR521"/>
      <c r="CS521"/>
      <c r="CT521"/>
      <c r="CU521"/>
      <c r="CV521"/>
      <c r="CW521"/>
      <c r="CX521"/>
      <c r="CY521"/>
      <c r="CZ521"/>
      <c r="DA521"/>
      <c r="DB521"/>
      <c r="DC521"/>
      <c r="DD521"/>
      <c r="DE521"/>
      <c r="DF521"/>
      <c r="DG521"/>
      <c r="DH521"/>
      <c r="DI521"/>
      <c r="DJ521"/>
      <c r="DK521"/>
      <c r="DL521"/>
      <c r="DM521"/>
      <c r="DN521"/>
      <c r="DO521"/>
      <c r="DP521"/>
      <c r="DQ521"/>
      <c r="DR521"/>
      <c r="DS521"/>
      <c r="DT521"/>
      <c r="DU521"/>
      <c r="DV521"/>
      <c r="DW521"/>
      <c r="DX521"/>
      <c r="DY521"/>
      <c r="DZ521"/>
      <c r="EA521"/>
      <c r="EB521"/>
      <c r="EC521"/>
      <c r="ED521"/>
      <c r="EE521"/>
      <c r="EF521"/>
      <c r="EG521"/>
      <c r="EH521"/>
      <c r="EI521"/>
      <c r="EJ521"/>
      <c r="EK521"/>
      <c r="EL521"/>
      <c r="EM521"/>
      <c r="EN521"/>
      <c r="EO521"/>
      <c r="EP521"/>
      <c r="EQ521"/>
      <c r="ER521"/>
      <c r="ES521"/>
      <c r="ET521"/>
      <c r="EU521"/>
      <c r="EV521"/>
      <c r="EW521"/>
      <c r="EX521"/>
      <c r="EY521"/>
      <c r="EZ521"/>
      <c r="FA521"/>
      <c r="FB521"/>
      <c r="FC521"/>
      <c r="FD521"/>
      <c r="FE521"/>
      <c r="FF521"/>
      <c r="FG521"/>
      <c r="FH521"/>
      <c r="FI521"/>
      <c r="FJ521"/>
      <c r="FK521"/>
      <c r="FL521"/>
      <c r="FM521"/>
      <c r="FN521"/>
      <c r="FO521"/>
      <c r="FP521"/>
      <c r="FQ521"/>
      <c r="FR521"/>
      <c r="FS521"/>
      <c r="FT521"/>
      <c r="FU521"/>
      <c r="FV521"/>
      <c r="FW521"/>
      <c r="FX521"/>
      <c r="FY521"/>
      <c r="FZ521"/>
      <c r="GA521"/>
      <c r="GB521"/>
      <c r="GC521"/>
      <c r="GD521"/>
      <c r="GE521"/>
      <c r="GF521"/>
      <c r="GG521"/>
      <c r="GH521"/>
      <c r="GI521"/>
      <c r="GJ521"/>
      <c r="GK521"/>
      <c r="GL521"/>
      <c r="GM521"/>
      <c r="GN521"/>
      <c r="GO521"/>
      <c r="GP521"/>
      <c r="GQ521"/>
      <c r="GR521"/>
      <c r="GS521"/>
      <c r="GT521"/>
      <c r="GU521"/>
      <c r="GV521"/>
      <c r="GW521"/>
      <c r="GX521"/>
      <c r="GY521"/>
      <c r="GZ521"/>
      <c r="HA521"/>
      <c r="HB521"/>
      <c r="HC521"/>
      <c r="HD521"/>
      <c r="HE521"/>
      <c r="HF521"/>
      <c r="HG521"/>
      <c r="HH521"/>
      <c r="HI521"/>
      <c r="HJ521"/>
      <c r="HK521"/>
      <c r="HL521"/>
      <c r="HM521"/>
      <c r="HN521"/>
      <c r="HO521"/>
      <c r="HP521"/>
      <c r="HQ521"/>
      <c r="HR521"/>
      <c r="HS521"/>
      <c r="HT521"/>
      <c r="HU521"/>
      <c r="HV521"/>
      <c r="HW521"/>
      <c r="HX521"/>
      <c r="HY521"/>
      <c r="HZ521"/>
      <c r="IA521"/>
      <c r="IB521"/>
      <c r="IC521"/>
      <c r="ID521"/>
      <c r="IE521"/>
      <c r="IF521"/>
      <c r="IG521"/>
      <c r="IH521"/>
      <c r="II521"/>
      <c r="IJ521"/>
      <c r="IK521"/>
      <c r="IL521"/>
      <c r="IM521"/>
      <c r="IN521"/>
      <c r="IO521"/>
      <c r="IP521"/>
      <c r="IQ521"/>
      <c r="IR521"/>
      <c r="IS521"/>
      <c r="IT521"/>
      <c r="IU521"/>
      <c r="IV521"/>
      <c r="IW521"/>
      <c r="IX521"/>
      <c r="IY521"/>
      <c r="IZ521"/>
      <c r="JA521"/>
      <c r="JB521"/>
      <c r="JC521"/>
      <c r="JD521"/>
      <c r="JE521"/>
      <c r="JF521"/>
      <c r="JG521"/>
      <c r="JH521"/>
      <c r="JI521"/>
      <c r="JJ521"/>
      <c r="JK521"/>
      <c r="JL521"/>
      <c r="JM521"/>
      <c r="JN521"/>
      <c r="JO521"/>
      <c r="JP521"/>
      <c r="JQ521"/>
      <c r="JR521"/>
      <c r="JS521"/>
      <c r="JT521"/>
      <c r="JU521"/>
      <c r="JV521"/>
      <c r="JW521"/>
      <c r="JX521"/>
      <c r="JY521"/>
      <c r="JZ521"/>
      <c r="KA521"/>
      <c r="KB521"/>
      <c r="KC521"/>
      <c r="KD521"/>
      <c r="KE521"/>
      <c r="KF521"/>
      <c r="KG521"/>
      <c r="KH521"/>
      <c r="KI521"/>
      <c r="KJ521"/>
      <c r="KK521"/>
      <c r="KL521"/>
      <c r="KM521"/>
      <c r="KN521"/>
      <c r="KO521"/>
      <c r="KP521"/>
      <c r="KQ521"/>
      <c r="KR521"/>
      <c r="KS521"/>
    </row>
    <row r="522" spans="2:305" hidden="1" x14ac:dyDescent="0.35">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c r="AL522"/>
      <c r="AM522"/>
      <c r="AN522"/>
      <c r="AO522"/>
      <c r="AP522"/>
      <c r="AQ522"/>
      <c r="AR522"/>
      <c r="AS522"/>
      <c r="AT522"/>
      <c r="AU522"/>
      <c r="AV522"/>
      <c r="AW522"/>
      <c r="AX522"/>
      <c r="AY522"/>
      <c r="AZ522"/>
      <c r="BA522"/>
      <c r="BB522"/>
      <c r="BC522"/>
      <c r="BD522"/>
      <c r="BE522"/>
      <c r="BF522"/>
      <c r="BG522"/>
      <c r="BH522"/>
      <c r="BI522"/>
      <c r="BJ522"/>
      <c r="BK522"/>
      <c r="BL522"/>
      <c r="BM522"/>
      <c r="BN522"/>
      <c r="BO522"/>
      <c r="BP522"/>
      <c r="BQ522"/>
      <c r="BR522"/>
      <c r="BS522"/>
      <c r="BT522"/>
      <c r="BU522"/>
      <c r="BV522"/>
      <c r="BW522"/>
      <c r="BX522"/>
      <c r="BY522"/>
      <c r="BZ522"/>
      <c r="CA522"/>
      <c r="CB522"/>
      <c r="CC522"/>
      <c r="CD522"/>
      <c r="CE522"/>
      <c r="CF522"/>
      <c r="CG522"/>
      <c r="CH522"/>
      <c r="CI522"/>
      <c r="CJ522"/>
      <c r="CK522"/>
      <c r="CL522"/>
      <c r="CM522"/>
      <c r="CN522"/>
      <c r="CO522"/>
      <c r="CP522"/>
      <c r="CQ522"/>
      <c r="CR522"/>
      <c r="CS522"/>
      <c r="CT522"/>
      <c r="CU522"/>
      <c r="CV522"/>
      <c r="CW522"/>
      <c r="CX522"/>
      <c r="CY522"/>
      <c r="CZ522"/>
      <c r="DA522"/>
      <c r="DB522"/>
      <c r="DC522"/>
      <c r="DD522"/>
      <c r="DE522"/>
      <c r="DF522"/>
      <c r="DG522"/>
      <c r="DH522"/>
      <c r="DI522"/>
      <c r="DJ522"/>
      <c r="DK522"/>
      <c r="DL522"/>
      <c r="DM522"/>
      <c r="DN522"/>
      <c r="DO522"/>
      <c r="DP522"/>
      <c r="DQ522"/>
      <c r="DR522"/>
      <c r="DS522"/>
      <c r="DT522"/>
      <c r="DU522"/>
      <c r="DV522"/>
      <c r="DW522"/>
      <c r="DX522"/>
      <c r="DY522"/>
      <c r="DZ522"/>
      <c r="EA522"/>
      <c r="EB522"/>
      <c r="EC522"/>
      <c r="ED522"/>
      <c r="EE522"/>
      <c r="EF522"/>
      <c r="EG522"/>
      <c r="EH522"/>
      <c r="EI522"/>
      <c r="EJ522"/>
      <c r="EK522"/>
      <c r="EL522"/>
      <c r="EM522"/>
      <c r="EN522"/>
      <c r="EO522"/>
      <c r="EP522"/>
      <c r="EQ522"/>
      <c r="ER522"/>
      <c r="ES522"/>
      <c r="ET522"/>
      <c r="EU522"/>
      <c r="EV522"/>
      <c r="EW522"/>
      <c r="EX522"/>
      <c r="EY522"/>
      <c r="EZ522"/>
      <c r="FA522"/>
      <c r="FB522"/>
      <c r="FC522"/>
      <c r="FD522"/>
      <c r="FE522"/>
      <c r="FF522"/>
      <c r="FG522"/>
      <c r="FH522"/>
      <c r="FI522"/>
      <c r="FJ522"/>
      <c r="FK522"/>
      <c r="FL522"/>
      <c r="FM522"/>
      <c r="FN522"/>
      <c r="FO522"/>
      <c r="FP522"/>
      <c r="FQ522"/>
      <c r="FR522"/>
      <c r="FS522"/>
      <c r="FT522"/>
      <c r="FU522"/>
      <c r="FV522"/>
      <c r="FW522"/>
      <c r="FX522"/>
      <c r="FY522"/>
      <c r="FZ522"/>
      <c r="GA522"/>
      <c r="GB522"/>
      <c r="GC522"/>
      <c r="GD522"/>
      <c r="GE522"/>
      <c r="GF522"/>
      <c r="GG522"/>
      <c r="GH522"/>
      <c r="GI522"/>
      <c r="GJ522"/>
      <c r="GK522"/>
      <c r="GL522"/>
      <c r="GM522"/>
      <c r="GN522"/>
      <c r="GO522"/>
      <c r="GP522"/>
      <c r="GQ522"/>
      <c r="GR522"/>
      <c r="GS522"/>
      <c r="GT522"/>
      <c r="GU522"/>
      <c r="GV522"/>
      <c r="GW522"/>
      <c r="GX522"/>
      <c r="GY522"/>
      <c r="GZ522"/>
      <c r="HA522"/>
      <c r="HB522"/>
      <c r="HC522"/>
      <c r="HD522"/>
      <c r="HE522"/>
      <c r="HF522"/>
      <c r="HG522"/>
      <c r="HH522"/>
      <c r="HI522"/>
      <c r="HJ522"/>
      <c r="HK522"/>
      <c r="HL522"/>
      <c r="HM522"/>
      <c r="HN522"/>
      <c r="HO522"/>
      <c r="HP522"/>
      <c r="HQ522"/>
      <c r="HR522"/>
      <c r="HS522"/>
      <c r="HT522"/>
      <c r="HU522"/>
      <c r="HV522"/>
      <c r="HW522"/>
      <c r="HX522"/>
      <c r="HY522"/>
      <c r="HZ522"/>
      <c r="IA522"/>
      <c r="IB522"/>
      <c r="IC522"/>
      <c r="ID522"/>
      <c r="IE522"/>
      <c r="IF522"/>
      <c r="IG522"/>
      <c r="IH522"/>
      <c r="II522"/>
      <c r="IJ522"/>
      <c r="IK522"/>
      <c r="IL522"/>
      <c r="IM522"/>
      <c r="IN522"/>
      <c r="IO522"/>
      <c r="IP522"/>
      <c r="IQ522"/>
      <c r="IR522"/>
      <c r="IS522"/>
      <c r="IT522"/>
      <c r="IU522"/>
      <c r="IV522"/>
      <c r="IW522"/>
      <c r="IX522"/>
      <c r="IY522"/>
      <c r="IZ522"/>
      <c r="JA522"/>
      <c r="JB522"/>
      <c r="JC522"/>
      <c r="JD522"/>
      <c r="JE522"/>
      <c r="JF522"/>
      <c r="JG522"/>
      <c r="JH522"/>
      <c r="JI522"/>
      <c r="JJ522"/>
      <c r="JK522"/>
      <c r="JL522"/>
      <c r="JM522"/>
      <c r="JN522"/>
      <c r="JO522"/>
      <c r="JP522"/>
      <c r="JQ522"/>
      <c r="JR522"/>
      <c r="JS522"/>
      <c r="JT522"/>
      <c r="JU522"/>
      <c r="JV522"/>
      <c r="JW522"/>
      <c r="JX522"/>
      <c r="JY522"/>
      <c r="JZ522"/>
      <c r="KA522"/>
      <c r="KB522"/>
      <c r="KC522"/>
      <c r="KD522"/>
      <c r="KE522"/>
      <c r="KF522"/>
      <c r="KG522"/>
      <c r="KH522"/>
      <c r="KI522"/>
      <c r="KJ522"/>
      <c r="KK522"/>
      <c r="KL522"/>
      <c r="KM522"/>
      <c r="KN522"/>
      <c r="KO522"/>
      <c r="KP522"/>
      <c r="KQ522"/>
      <c r="KR522"/>
      <c r="KS522"/>
    </row>
    <row r="523" spans="2:305" hidden="1" x14ac:dyDescent="0.35">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c r="AL523"/>
      <c r="AM523"/>
      <c r="AN523"/>
      <c r="AO523"/>
      <c r="AP523"/>
      <c r="AQ523"/>
      <c r="AR523"/>
      <c r="AS523"/>
      <c r="AT523"/>
      <c r="AU523"/>
      <c r="AV523"/>
      <c r="AW523"/>
      <c r="AX523"/>
      <c r="AY523"/>
      <c r="AZ523"/>
      <c r="BA523"/>
      <c r="BB523"/>
      <c r="BC523"/>
      <c r="BD523"/>
      <c r="BE523"/>
      <c r="BF523"/>
      <c r="BG523"/>
      <c r="BH523"/>
      <c r="BI523"/>
      <c r="BJ523"/>
      <c r="BK523"/>
      <c r="BL523"/>
      <c r="BM523"/>
      <c r="BN523"/>
      <c r="BO523"/>
      <c r="BP523"/>
      <c r="BQ523"/>
      <c r="BR523"/>
      <c r="BS523"/>
      <c r="BT523"/>
      <c r="BU523"/>
      <c r="BV523"/>
      <c r="BW523"/>
      <c r="BX523"/>
      <c r="BY523"/>
      <c r="BZ523"/>
      <c r="CA523"/>
      <c r="CB523"/>
      <c r="CC523"/>
      <c r="CD523"/>
      <c r="CE523"/>
      <c r="CF523"/>
      <c r="CG523"/>
      <c r="CH523"/>
      <c r="CI523"/>
      <c r="CJ523"/>
      <c r="CK523"/>
      <c r="CL523"/>
      <c r="CM523"/>
      <c r="CN523"/>
      <c r="CO523"/>
      <c r="CP523"/>
      <c r="CQ523"/>
      <c r="CR523"/>
      <c r="CS523"/>
      <c r="CT523"/>
      <c r="CU523"/>
      <c r="CV523"/>
      <c r="CW523"/>
      <c r="CX523"/>
      <c r="CY523"/>
      <c r="CZ523"/>
      <c r="DA523"/>
      <c r="DB523"/>
      <c r="DC523"/>
      <c r="DD523"/>
      <c r="DE523"/>
      <c r="DF523"/>
      <c r="DG523"/>
      <c r="DH523"/>
      <c r="DI523"/>
      <c r="DJ523"/>
      <c r="DK523"/>
      <c r="DL523"/>
      <c r="DM523"/>
      <c r="DN523"/>
      <c r="DO523"/>
      <c r="DP523"/>
      <c r="DQ523"/>
      <c r="DR523"/>
      <c r="DS523"/>
      <c r="DT523"/>
      <c r="DU523"/>
      <c r="DV523"/>
      <c r="DW523"/>
      <c r="DX523"/>
      <c r="DY523"/>
      <c r="DZ523"/>
      <c r="EA523"/>
      <c r="EB523"/>
      <c r="EC523"/>
      <c r="ED523"/>
      <c r="EE523"/>
      <c r="EF523"/>
      <c r="EG523"/>
      <c r="EH523"/>
      <c r="EI523"/>
      <c r="EJ523"/>
      <c r="EK523"/>
      <c r="EL523"/>
      <c r="EM523"/>
      <c r="EN523"/>
      <c r="EO523"/>
      <c r="EP523"/>
      <c r="EQ523"/>
      <c r="ER523"/>
      <c r="ES523"/>
      <c r="ET523"/>
      <c r="EU523"/>
      <c r="EV523"/>
      <c r="EW523"/>
      <c r="EX523"/>
      <c r="EY523"/>
      <c r="EZ523"/>
      <c r="FA523"/>
      <c r="FB523"/>
      <c r="FC523"/>
      <c r="FD523"/>
      <c r="FE523"/>
      <c r="FF523"/>
      <c r="FG523"/>
      <c r="FH523"/>
      <c r="FI523"/>
      <c r="FJ523"/>
      <c r="FK523"/>
      <c r="FL523"/>
      <c r="FM523"/>
      <c r="FN523"/>
      <c r="FO523"/>
      <c r="FP523"/>
      <c r="FQ523"/>
      <c r="FR523"/>
      <c r="FS523"/>
      <c r="FT523"/>
      <c r="FU523"/>
      <c r="FV523"/>
      <c r="FW523"/>
      <c r="FX523"/>
      <c r="FY523"/>
      <c r="FZ523"/>
      <c r="GA523"/>
      <c r="GB523"/>
      <c r="GC523"/>
      <c r="GD523"/>
      <c r="GE523"/>
      <c r="GF523"/>
      <c r="GG523"/>
      <c r="GH523"/>
      <c r="GI523"/>
      <c r="GJ523"/>
      <c r="GK523"/>
      <c r="GL523"/>
      <c r="GM523"/>
      <c r="GN523"/>
      <c r="GO523"/>
      <c r="GP523"/>
      <c r="GQ523"/>
      <c r="GR523"/>
      <c r="GS523"/>
      <c r="GT523"/>
      <c r="GU523"/>
      <c r="GV523"/>
      <c r="GW523"/>
      <c r="GX523"/>
      <c r="GY523"/>
      <c r="GZ523"/>
      <c r="HA523"/>
      <c r="HB523"/>
      <c r="HC523"/>
      <c r="HD523"/>
      <c r="HE523"/>
      <c r="HF523"/>
      <c r="HG523"/>
      <c r="HH523"/>
      <c r="HI523"/>
      <c r="HJ523"/>
      <c r="HK523"/>
      <c r="HL523"/>
      <c r="HM523"/>
      <c r="HN523"/>
      <c r="HO523"/>
      <c r="HP523"/>
      <c r="HQ523"/>
      <c r="HR523"/>
      <c r="HS523"/>
      <c r="HT523"/>
      <c r="HU523"/>
      <c r="HV523"/>
      <c r="HW523"/>
      <c r="HX523"/>
      <c r="HY523"/>
      <c r="HZ523"/>
      <c r="IA523"/>
      <c r="IB523"/>
      <c r="IC523"/>
      <c r="ID523"/>
      <c r="IE523"/>
      <c r="IF523"/>
      <c r="IG523"/>
      <c r="IH523"/>
      <c r="II523"/>
      <c r="IJ523"/>
      <c r="IK523"/>
      <c r="IL523"/>
      <c r="IM523"/>
      <c r="IN523"/>
      <c r="IO523"/>
      <c r="IP523"/>
      <c r="IQ523"/>
      <c r="IR523"/>
      <c r="IS523"/>
      <c r="IT523"/>
      <c r="IU523"/>
      <c r="IV523"/>
      <c r="IW523"/>
      <c r="IX523"/>
      <c r="IY523"/>
      <c r="IZ523"/>
      <c r="JA523"/>
      <c r="JB523"/>
      <c r="JC523"/>
      <c r="JD523"/>
      <c r="JE523"/>
      <c r="JF523"/>
      <c r="JG523"/>
      <c r="JH523"/>
      <c r="JI523"/>
      <c r="JJ523"/>
      <c r="JK523"/>
      <c r="JL523"/>
      <c r="JM523"/>
      <c r="JN523"/>
      <c r="JO523"/>
      <c r="JP523"/>
      <c r="JQ523"/>
      <c r="JR523"/>
      <c r="JS523"/>
      <c r="JT523"/>
      <c r="JU523"/>
      <c r="JV523"/>
      <c r="JW523"/>
      <c r="JX523"/>
      <c r="JY523"/>
      <c r="JZ523"/>
      <c r="KA523"/>
      <c r="KB523"/>
      <c r="KC523"/>
      <c r="KD523"/>
      <c r="KE523"/>
      <c r="KF523"/>
      <c r="KG523"/>
      <c r="KH523"/>
      <c r="KI523"/>
      <c r="KJ523"/>
      <c r="KK523"/>
      <c r="KL523"/>
      <c r="KM523"/>
      <c r="KN523"/>
      <c r="KO523"/>
      <c r="KP523"/>
      <c r="KQ523"/>
      <c r="KR523"/>
      <c r="KS523"/>
    </row>
    <row r="524" spans="2:305" hidden="1" x14ac:dyDescent="0.35">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c r="AL524"/>
      <c r="AM524"/>
      <c r="AN524"/>
      <c r="AO524"/>
      <c r="AP524"/>
      <c r="AQ524"/>
      <c r="AR524"/>
      <c r="AS524"/>
      <c r="AT524"/>
      <c r="AU524"/>
      <c r="AV524"/>
      <c r="AW524"/>
      <c r="AX524"/>
      <c r="AY524"/>
      <c r="AZ524"/>
      <c r="BA524"/>
      <c r="BB524"/>
      <c r="BC524"/>
      <c r="BD524"/>
      <c r="BE524"/>
      <c r="BF524"/>
      <c r="BG524"/>
      <c r="BH524"/>
      <c r="BI524"/>
      <c r="BJ524"/>
      <c r="BK524"/>
      <c r="BL524"/>
      <c r="BM524"/>
      <c r="BN524"/>
      <c r="BO524"/>
      <c r="BP524"/>
      <c r="BQ524"/>
      <c r="BR524"/>
      <c r="BS524"/>
      <c r="BT524"/>
      <c r="BU524"/>
      <c r="BV524"/>
      <c r="BW524"/>
      <c r="BX524"/>
      <c r="BY524"/>
      <c r="BZ524"/>
      <c r="CA524"/>
      <c r="CB524"/>
      <c r="CC524"/>
      <c r="CD524"/>
      <c r="CE524"/>
      <c r="CF524"/>
      <c r="CG524"/>
      <c r="CH524"/>
      <c r="CI524"/>
      <c r="CJ524"/>
      <c r="CK524"/>
      <c r="CL524"/>
      <c r="CM524"/>
      <c r="CN524"/>
      <c r="CO524"/>
      <c r="CP524"/>
      <c r="CQ524"/>
      <c r="CR524"/>
      <c r="CS524"/>
      <c r="CT524"/>
      <c r="CU524"/>
      <c r="CV524"/>
      <c r="CW524"/>
      <c r="CX524"/>
      <c r="CY524"/>
      <c r="CZ524"/>
      <c r="DA524"/>
      <c r="DB524"/>
      <c r="DC524"/>
      <c r="DD524"/>
      <c r="DE524"/>
      <c r="DF524"/>
      <c r="DG524"/>
      <c r="DH524"/>
      <c r="DI524"/>
      <c r="DJ524"/>
      <c r="DK524"/>
      <c r="DL524"/>
      <c r="DM524"/>
      <c r="DN524"/>
      <c r="DO524"/>
      <c r="DP524"/>
      <c r="DQ524"/>
      <c r="DR524"/>
      <c r="DS524"/>
      <c r="DT524"/>
      <c r="DU524"/>
      <c r="DV524"/>
      <c r="DW524"/>
      <c r="DX524"/>
      <c r="DY524"/>
      <c r="DZ524"/>
      <c r="EA524"/>
      <c r="EB524"/>
      <c r="EC524"/>
      <c r="ED524"/>
      <c r="EE524"/>
      <c r="EF524"/>
      <c r="EG524"/>
      <c r="EH524"/>
      <c r="EI524"/>
      <c r="EJ524"/>
      <c r="EK524"/>
      <c r="EL524"/>
      <c r="EM524"/>
      <c r="EN524"/>
      <c r="EO524"/>
      <c r="EP524"/>
      <c r="EQ524"/>
      <c r="ER524"/>
      <c r="ES524"/>
      <c r="ET524"/>
      <c r="EU524"/>
      <c r="EV524"/>
      <c r="EW524"/>
      <c r="EX524"/>
      <c r="EY524"/>
      <c r="EZ524"/>
      <c r="FA524"/>
      <c r="FB524"/>
      <c r="FC524"/>
      <c r="FD524"/>
      <c r="FE524"/>
      <c r="FF524"/>
      <c r="FG524"/>
      <c r="FH524"/>
      <c r="FI524"/>
      <c r="FJ524"/>
      <c r="FK524"/>
      <c r="FL524"/>
      <c r="FM524"/>
      <c r="FN524"/>
      <c r="FO524"/>
      <c r="FP524"/>
      <c r="FQ524"/>
      <c r="FR524"/>
      <c r="FS524"/>
      <c r="FT524"/>
      <c r="FU524"/>
      <c r="FV524"/>
      <c r="FW524"/>
      <c r="FX524"/>
      <c r="FY524"/>
      <c r="FZ524"/>
      <c r="GA524"/>
      <c r="GB524"/>
      <c r="GC524"/>
      <c r="GD524"/>
      <c r="GE524"/>
      <c r="GF524"/>
      <c r="GG524"/>
      <c r="GH524"/>
      <c r="GI524"/>
      <c r="GJ524"/>
      <c r="GK524"/>
      <c r="GL524"/>
      <c r="GM524"/>
      <c r="GN524"/>
      <c r="GO524"/>
      <c r="GP524"/>
      <c r="GQ524"/>
      <c r="GR524"/>
      <c r="GS524"/>
      <c r="GT524"/>
      <c r="GU524"/>
      <c r="GV524"/>
      <c r="GW524"/>
      <c r="GX524"/>
      <c r="GY524"/>
      <c r="GZ524"/>
      <c r="HA524"/>
      <c r="HB524"/>
      <c r="HC524"/>
      <c r="HD524"/>
      <c r="HE524"/>
      <c r="HF524"/>
      <c r="HG524"/>
      <c r="HH524"/>
      <c r="HI524"/>
      <c r="HJ524"/>
      <c r="HK524"/>
      <c r="HL524"/>
      <c r="HM524"/>
      <c r="HN524"/>
      <c r="HO524"/>
      <c r="HP524"/>
      <c r="HQ524"/>
      <c r="HR524"/>
      <c r="HS524"/>
      <c r="HT524"/>
      <c r="HU524"/>
      <c r="HV524"/>
      <c r="HW524"/>
      <c r="HX524"/>
      <c r="HY524"/>
      <c r="HZ524"/>
      <c r="IA524"/>
      <c r="IB524"/>
      <c r="IC524"/>
      <c r="ID524"/>
      <c r="IE524"/>
      <c r="IF524"/>
      <c r="IG524"/>
      <c r="IH524"/>
      <c r="II524"/>
      <c r="IJ524"/>
      <c r="IK524"/>
      <c r="IL524"/>
      <c r="IM524"/>
      <c r="IN524"/>
      <c r="IO524"/>
      <c r="IP524"/>
      <c r="IQ524"/>
      <c r="IR524"/>
      <c r="IS524"/>
      <c r="IT524"/>
      <c r="IU524"/>
      <c r="IV524"/>
      <c r="IW524"/>
      <c r="IX524"/>
      <c r="IY524"/>
      <c r="IZ524"/>
      <c r="JA524"/>
      <c r="JB524"/>
      <c r="JC524"/>
      <c r="JD524"/>
      <c r="JE524"/>
      <c r="JF524"/>
      <c r="JG524"/>
      <c r="JH524"/>
      <c r="JI524"/>
      <c r="JJ524"/>
      <c r="JK524"/>
      <c r="JL524"/>
      <c r="JM524"/>
      <c r="JN524"/>
      <c r="JO524"/>
      <c r="JP524"/>
      <c r="JQ524"/>
      <c r="JR524"/>
      <c r="JS524"/>
      <c r="JT524"/>
      <c r="JU524"/>
      <c r="JV524"/>
      <c r="JW524"/>
      <c r="JX524"/>
      <c r="JY524"/>
      <c r="JZ524"/>
      <c r="KA524"/>
      <c r="KB524"/>
      <c r="KC524"/>
      <c r="KD524"/>
      <c r="KE524"/>
      <c r="KF524"/>
      <c r="KG524"/>
      <c r="KH524"/>
      <c r="KI524"/>
      <c r="KJ524"/>
      <c r="KK524"/>
      <c r="KL524"/>
      <c r="KM524"/>
      <c r="KN524"/>
      <c r="KO524"/>
      <c r="KP524"/>
      <c r="KQ524"/>
      <c r="KR524"/>
      <c r="KS524"/>
    </row>
    <row r="525" spans="2:305" hidden="1" x14ac:dyDescent="0.3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c r="AL525"/>
      <c r="AM525"/>
      <c r="AN525"/>
      <c r="AO525"/>
      <c r="AP525"/>
      <c r="AQ525"/>
      <c r="AR525"/>
      <c r="AS525"/>
      <c r="AT525"/>
      <c r="AU525"/>
      <c r="AV525"/>
      <c r="AW525"/>
      <c r="AX525"/>
      <c r="AY525"/>
      <c r="AZ525"/>
      <c r="BA525"/>
      <c r="BB525"/>
      <c r="BC525"/>
      <c r="BD525"/>
      <c r="BE525"/>
      <c r="BF525"/>
      <c r="BG525"/>
      <c r="BH525"/>
      <c r="BI525"/>
      <c r="BJ525"/>
      <c r="BK525"/>
      <c r="BL525"/>
      <c r="BM525"/>
      <c r="BN525"/>
      <c r="BO525"/>
      <c r="BP525"/>
      <c r="BQ525"/>
      <c r="BR525"/>
      <c r="BS525"/>
      <c r="BT525"/>
      <c r="BU525"/>
      <c r="BV525"/>
      <c r="BW525"/>
      <c r="BX525"/>
      <c r="BY525"/>
      <c r="BZ525"/>
      <c r="CA525"/>
      <c r="CB525"/>
      <c r="CC525"/>
      <c r="CD525"/>
      <c r="CE525"/>
      <c r="CF525"/>
      <c r="CG525"/>
      <c r="CH525"/>
      <c r="CI525"/>
      <c r="CJ525"/>
      <c r="CK525"/>
      <c r="CL525"/>
      <c r="CM525"/>
      <c r="CN525"/>
      <c r="CO525"/>
      <c r="CP525"/>
      <c r="CQ525"/>
      <c r="CR525"/>
      <c r="CS525"/>
      <c r="CT525"/>
      <c r="CU525"/>
      <c r="CV525"/>
      <c r="CW525"/>
      <c r="CX525"/>
      <c r="CY525"/>
      <c r="CZ525"/>
      <c r="DA525"/>
      <c r="DB525"/>
      <c r="DC525"/>
      <c r="DD525"/>
      <c r="DE525"/>
      <c r="DF525"/>
      <c r="DG525"/>
      <c r="DH525"/>
      <c r="DI525"/>
      <c r="DJ525"/>
      <c r="DK525"/>
      <c r="DL525"/>
      <c r="DM525"/>
      <c r="DN525"/>
      <c r="DO525"/>
      <c r="DP525"/>
      <c r="DQ525"/>
      <c r="DR525"/>
      <c r="DS525"/>
      <c r="DT525"/>
      <c r="DU525"/>
      <c r="DV525"/>
      <c r="DW525"/>
      <c r="DX525"/>
      <c r="DY525"/>
      <c r="DZ525"/>
      <c r="EA525"/>
      <c r="EB525"/>
      <c r="EC525"/>
      <c r="ED525"/>
      <c r="EE525"/>
      <c r="EF525"/>
      <c r="EG525"/>
      <c r="EH525"/>
      <c r="EI525"/>
      <c r="EJ525"/>
      <c r="EK525"/>
      <c r="EL525"/>
      <c r="EM525"/>
      <c r="EN525"/>
      <c r="EO525"/>
      <c r="EP525"/>
      <c r="EQ525"/>
      <c r="ER525"/>
      <c r="ES525"/>
      <c r="ET525"/>
      <c r="EU525"/>
      <c r="EV525"/>
      <c r="EW525"/>
      <c r="EX525"/>
      <c r="EY525"/>
      <c r="EZ525"/>
      <c r="FA525"/>
      <c r="FB525"/>
      <c r="FC525"/>
      <c r="FD525"/>
      <c r="FE525"/>
      <c r="FF525"/>
      <c r="FG525"/>
      <c r="FH525"/>
      <c r="FI525"/>
      <c r="FJ525"/>
      <c r="FK525"/>
      <c r="FL525"/>
      <c r="FM525"/>
      <c r="FN525"/>
      <c r="FO525"/>
      <c r="FP525"/>
      <c r="FQ525"/>
      <c r="FR525"/>
      <c r="FS525"/>
      <c r="FT525"/>
      <c r="FU525"/>
      <c r="FV525"/>
      <c r="FW525"/>
      <c r="FX525"/>
      <c r="FY525"/>
      <c r="FZ525"/>
      <c r="GA525"/>
      <c r="GB525"/>
      <c r="GC525"/>
      <c r="GD525"/>
      <c r="GE525"/>
      <c r="GF525"/>
      <c r="GG525"/>
      <c r="GH525"/>
      <c r="GI525"/>
      <c r="GJ525"/>
      <c r="GK525"/>
      <c r="GL525"/>
      <c r="GM525"/>
      <c r="GN525"/>
      <c r="GO525"/>
      <c r="GP525"/>
      <c r="GQ525"/>
      <c r="GR525"/>
      <c r="GS525"/>
      <c r="GT525"/>
      <c r="GU525"/>
      <c r="GV525"/>
      <c r="GW525"/>
      <c r="GX525"/>
      <c r="GY525"/>
      <c r="GZ525"/>
      <c r="HA525"/>
      <c r="HB525"/>
      <c r="HC525"/>
      <c r="HD525"/>
      <c r="HE525"/>
      <c r="HF525"/>
      <c r="HG525"/>
      <c r="HH525"/>
      <c r="HI525"/>
      <c r="HJ525"/>
      <c r="HK525"/>
      <c r="HL525"/>
      <c r="HM525"/>
      <c r="HN525"/>
      <c r="HO525"/>
      <c r="HP525"/>
      <c r="HQ525"/>
      <c r="HR525"/>
      <c r="HS525"/>
      <c r="HT525"/>
      <c r="HU525"/>
      <c r="HV525"/>
      <c r="HW525"/>
      <c r="HX525"/>
      <c r="HY525"/>
      <c r="HZ525"/>
      <c r="IA525"/>
      <c r="IB525"/>
      <c r="IC525"/>
      <c r="ID525"/>
      <c r="IE525"/>
      <c r="IF525"/>
      <c r="IG525"/>
      <c r="IH525"/>
      <c r="II525"/>
      <c r="IJ525"/>
      <c r="IK525"/>
      <c r="IL525"/>
      <c r="IM525"/>
      <c r="IN525"/>
      <c r="IO525"/>
      <c r="IP525"/>
      <c r="IQ525"/>
      <c r="IR525"/>
      <c r="IS525"/>
      <c r="IT525"/>
      <c r="IU525"/>
      <c r="IV525"/>
      <c r="IW525"/>
      <c r="IX525"/>
      <c r="IY525"/>
      <c r="IZ525"/>
      <c r="JA525"/>
      <c r="JB525"/>
      <c r="JC525"/>
      <c r="JD525"/>
      <c r="JE525"/>
      <c r="JF525"/>
      <c r="JG525"/>
      <c r="JH525"/>
      <c r="JI525"/>
      <c r="JJ525"/>
      <c r="JK525"/>
      <c r="JL525"/>
      <c r="JM525"/>
      <c r="JN525"/>
      <c r="JO525"/>
      <c r="JP525"/>
      <c r="JQ525"/>
      <c r="JR525"/>
      <c r="JS525"/>
      <c r="JT525"/>
      <c r="JU525"/>
      <c r="JV525"/>
      <c r="JW525"/>
      <c r="JX525"/>
      <c r="JY525"/>
      <c r="JZ525"/>
      <c r="KA525"/>
      <c r="KB525"/>
      <c r="KC525"/>
      <c r="KD525"/>
      <c r="KE525"/>
      <c r="KF525"/>
      <c r="KG525"/>
      <c r="KH525"/>
      <c r="KI525"/>
      <c r="KJ525"/>
      <c r="KK525"/>
      <c r="KL525"/>
      <c r="KM525"/>
      <c r="KN525"/>
      <c r="KO525"/>
      <c r="KP525"/>
      <c r="KQ525"/>
      <c r="KR525"/>
      <c r="KS525"/>
    </row>
    <row r="526" spans="2:305" hidden="1" x14ac:dyDescent="0.35">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c r="AL526"/>
      <c r="AM526"/>
      <c r="AN526"/>
      <c r="AO526"/>
      <c r="AP526"/>
      <c r="AQ526"/>
      <c r="AR526"/>
      <c r="AS526"/>
      <c r="AT526"/>
      <c r="AU526"/>
      <c r="AV526"/>
      <c r="AW526"/>
      <c r="AX526"/>
      <c r="AY526"/>
      <c r="AZ526"/>
      <c r="BA526"/>
      <c r="BB526"/>
      <c r="BC526"/>
      <c r="BD526"/>
      <c r="BE526"/>
      <c r="BF526"/>
      <c r="BG526"/>
      <c r="BH526"/>
      <c r="BI526"/>
      <c r="BJ526"/>
      <c r="BK526"/>
      <c r="BL526"/>
      <c r="BM526"/>
      <c r="BN526"/>
      <c r="BO526"/>
      <c r="BP526"/>
      <c r="BQ526"/>
      <c r="BR526"/>
      <c r="BS526"/>
      <c r="BT526"/>
      <c r="BU526"/>
      <c r="BV526"/>
      <c r="BW526"/>
      <c r="BX526"/>
      <c r="BY526"/>
      <c r="BZ526"/>
      <c r="CA526"/>
      <c r="CB526"/>
      <c r="CC526"/>
      <c r="CD526"/>
      <c r="CE526"/>
      <c r="CF526"/>
      <c r="CG526"/>
      <c r="CH526"/>
      <c r="CI526"/>
      <c r="CJ526"/>
      <c r="CK526"/>
      <c r="CL526"/>
      <c r="CM526"/>
      <c r="CN526"/>
      <c r="CO526"/>
      <c r="CP526"/>
      <c r="CQ526"/>
      <c r="CR526"/>
      <c r="CS526"/>
      <c r="CT526"/>
      <c r="CU526"/>
      <c r="CV526"/>
      <c r="CW526"/>
      <c r="CX526"/>
      <c r="CY526"/>
      <c r="CZ526"/>
      <c r="DA526"/>
      <c r="DB526"/>
      <c r="DC526"/>
      <c r="DD526"/>
      <c r="DE526"/>
      <c r="DF526"/>
      <c r="DG526"/>
      <c r="DH526"/>
      <c r="DI526"/>
      <c r="DJ526"/>
      <c r="DK526"/>
      <c r="DL526"/>
      <c r="DM526"/>
      <c r="DN526"/>
      <c r="DO526"/>
      <c r="DP526"/>
      <c r="DQ526"/>
      <c r="DR526"/>
      <c r="DS526"/>
      <c r="DT526"/>
      <c r="DU526"/>
      <c r="DV526"/>
      <c r="DW526"/>
      <c r="DX526"/>
      <c r="DY526"/>
      <c r="DZ526"/>
      <c r="EA526"/>
      <c r="EB526"/>
      <c r="EC526"/>
      <c r="ED526"/>
      <c r="EE526"/>
      <c r="EF526"/>
      <c r="EG526"/>
      <c r="EH526"/>
      <c r="EI526"/>
      <c r="EJ526"/>
      <c r="EK526"/>
      <c r="EL526"/>
      <c r="EM526"/>
      <c r="EN526"/>
      <c r="EO526"/>
      <c r="EP526"/>
      <c r="EQ526"/>
      <c r="ER526"/>
      <c r="ES526"/>
      <c r="ET526"/>
      <c r="EU526"/>
      <c r="EV526"/>
      <c r="EW526"/>
      <c r="EX526"/>
      <c r="EY526"/>
      <c r="EZ526"/>
      <c r="FA526"/>
      <c r="FB526"/>
      <c r="FC526"/>
      <c r="FD526"/>
      <c r="FE526"/>
      <c r="FF526"/>
      <c r="FG526"/>
      <c r="FH526"/>
      <c r="FI526"/>
      <c r="FJ526"/>
      <c r="FK526"/>
      <c r="FL526"/>
      <c r="FM526"/>
      <c r="FN526"/>
      <c r="FO526"/>
      <c r="FP526"/>
      <c r="FQ526"/>
      <c r="FR526"/>
      <c r="FS526"/>
      <c r="FT526"/>
      <c r="FU526"/>
      <c r="FV526"/>
      <c r="FW526"/>
      <c r="FX526"/>
      <c r="FY526"/>
      <c r="FZ526"/>
      <c r="GA526"/>
      <c r="GB526"/>
      <c r="GC526"/>
      <c r="GD526"/>
      <c r="GE526"/>
      <c r="GF526"/>
      <c r="GG526"/>
      <c r="GH526"/>
      <c r="GI526"/>
      <c r="GJ526"/>
      <c r="GK526"/>
      <c r="GL526"/>
      <c r="GM526"/>
      <c r="GN526"/>
      <c r="GO526"/>
      <c r="GP526"/>
      <c r="GQ526"/>
      <c r="GR526"/>
      <c r="GS526"/>
      <c r="GT526"/>
      <c r="GU526"/>
      <c r="GV526"/>
      <c r="GW526"/>
      <c r="GX526"/>
      <c r="GY526"/>
      <c r="GZ526"/>
      <c r="HA526"/>
      <c r="HB526"/>
      <c r="HC526"/>
      <c r="HD526"/>
      <c r="HE526"/>
      <c r="HF526"/>
      <c r="HG526"/>
      <c r="HH526"/>
      <c r="HI526"/>
      <c r="HJ526"/>
      <c r="HK526"/>
      <c r="HL526"/>
      <c r="HM526"/>
      <c r="HN526"/>
      <c r="HO526"/>
      <c r="HP526"/>
      <c r="HQ526"/>
      <c r="HR526"/>
      <c r="HS526"/>
      <c r="HT526"/>
      <c r="HU526"/>
      <c r="HV526"/>
      <c r="HW526"/>
      <c r="HX526"/>
      <c r="HY526"/>
      <c r="HZ526"/>
      <c r="IA526"/>
      <c r="IB526"/>
      <c r="IC526"/>
      <c r="ID526"/>
      <c r="IE526"/>
      <c r="IF526"/>
      <c r="IG526"/>
      <c r="IH526"/>
      <c r="II526"/>
      <c r="IJ526"/>
      <c r="IK526"/>
      <c r="IL526"/>
      <c r="IM526"/>
      <c r="IN526"/>
      <c r="IO526"/>
      <c r="IP526"/>
      <c r="IQ526"/>
      <c r="IR526"/>
      <c r="IS526"/>
      <c r="IT526"/>
      <c r="IU526"/>
      <c r="IV526"/>
      <c r="IW526"/>
      <c r="IX526"/>
      <c r="IY526"/>
      <c r="IZ526"/>
      <c r="JA526"/>
      <c r="JB526"/>
      <c r="JC526"/>
      <c r="JD526"/>
      <c r="JE526"/>
      <c r="JF526"/>
      <c r="JG526"/>
      <c r="JH526"/>
      <c r="JI526"/>
      <c r="JJ526"/>
      <c r="JK526"/>
      <c r="JL526"/>
      <c r="JM526"/>
      <c r="JN526"/>
      <c r="JO526"/>
      <c r="JP526"/>
      <c r="JQ526"/>
      <c r="JR526"/>
      <c r="JS526"/>
      <c r="JT526"/>
      <c r="JU526"/>
      <c r="JV526"/>
      <c r="JW526"/>
      <c r="JX526"/>
      <c r="JY526"/>
      <c r="JZ526"/>
      <c r="KA526"/>
      <c r="KB526"/>
      <c r="KC526"/>
      <c r="KD526"/>
      <c r="KE526"/>
      <c r="KF526"/>
      <c r="KG526"/>
      <c r="KH526"/>
      <c r="KI526"/>
      <c r="KJ526"/>
      <c r="KK526"/>
      <c r="KL526"/>
      <c r="KM526"/>
      <c r="KN526"/>
      <c r="KO526"/>
      <c r="KP526"/>
      <c r="KQ526"/>
      <c r="KR526"/>
      <c r="KS526"/>
    </row>
    <row r="527" spans="2:305" hidden="1" x14ac:dyDescent="0.35">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c r="AL527"/>
      <c r="AM527"/>
      <c r="AN527"/>
      <c r="AO527"/>
      <c r="AP527"/>
      <c r="AQ527"/>
      <c r="AR527"/>
      <c r="AS527"/>
      <c r="AT527"/>
      <c r="AU527"/>
      <c r="AV527"/>
      <c r="AW527"/>
      <c r="AX527"/>
      <c r="AY527"/>
      <c r="AZ527"/>
      <c r="BA527"/>
      <c r="BB527"/>
      <c r="BC527"/>
      <c r="BD527"/>
      <c r="BE527"/>
      <c r="BF527"/>
      <c r="BG527"/>
      <c r="BH527"/>
      <c r="BI527"/>
      <c r="BJ527"/>
      <c r="BK527"/>
      <c r="BL527"/>
      <c r="BM527"/>
      <c r="BN527"/>
      <c r="BO527"/>
      <c r="BP527"/>
      <c r="BQ527"/>
      <c r="BR527"/>
      <c r="BS527"/>
      <c r="BT527"/>
      <c r="BU527"/>
      <c r="BV527"/>
      <c r="BW527"/>
      <c r="BX527"/>
      <c r="BY527"/>
      <c r="BZ527"/>
      <c r="CA527"/>
      <c r="CB527"/>
      <c r="CC527"/>
      <c r="CD527"/>
      <c r="CE527"/>
      <c r="CF527"/>
      <c r="CG527"/>
      <c r="CH527"/>
      <c r="CI527"/>
      <c r="CJ527"/>
      <c r="CK527"/>
      <c r="CL527"/>
      <c r="CM527"/>
      <c r="CN527"/>
      <c r="CO527"/>
      <c r="CP527"/>
      <c r="CQ527"/>
      <c r="CR527"/>
      <c r="CS527"/>
      <c r="CT527"/>
      <c r="CU527"/>
      <c r="CV527"/>
      <c r="CW527"/>
      <c r="CX527"/>
      <c r="CY527"/>
      <c r="CZ527"/>
      <c r="DA527"/>
      <c r="DB527"/>
      <c r="DC527"/>
      <c r="DD527"/>
      <c r="DE527"/>
      <c r="DF527"/>
      <c r="DG527"/>
      <c r="DH527"/>
      <c r="DI527"/>
      <c r="DJ527"/>
      <c r="DK527"/>
      <c r="DL527"/>
      <c r="DM527"/>
      <c r="DN527"/>
      <c r="DO527"/>
      <c r="DP527"/>
      <c r="DQ527"/>
      <c r="DR527"/>
      <c r="DS527"/>
      <c r="DT527"/>
      <c r="DU527"/>
      <c r="DV527"/>
      <c r="DW527"/>
      <c r="DX527"/>
      <c r="DY527"/>
      <c r="DZ527"/>
      <c r="EA527"/>
      <c r="EB527"/>
      <c r="EC527"/>
      <c r="ED527"/>
      <c r="EE527"/>
      <c r="EF527"/>
      <c r="EG527"/>
      <c r="EH527"/>
      <c r="EI527"/>
      <c r="EJ527"/>
      <c r="EK527"/>
      <c r="EL527"/>
      <c r="EM527"/>
      <c r="EN527"/>
      <c r="EO527"/>
      <c r="EP527"/>
      <c r="EQ527"/>
      <c r="ER527"/>
      <c r="ES527"/>
      <c r="ET527"/>
      <c r="EU527"/>
      <c r="EV527"/>
      <c r="EW527"/>
      <c r="EX527"/>
      <c r="EY527"/>
      <c r="EZ527"/>
      <c r="FA527"/>
      <c r="FB527"/>
      <c r="FC527"/>
      <c r="FD527"/>
      <c r="FE527"/>
      <c r="FF527"/>
      <c r="FG527"/>
      <c r="FH527"/>
      <c r="FI527"/>
      <c r="FJ527"/>
      <c r="FK527"/>
      <c r="FL527"/>
      <c r="FM527"/>
      <c r="FN527"/>
      <c r="FO527"/>
      <c r="FP527"/>
      <c r="FQ527"/>
      <c r="FR527"/>
      <c r="FS527"/>
      <c r="FT527"/>
      <c r="FU527"/>
      <c r="FV527"/>
      <c r="FW527"/>
      <c r="FX527"/>
      <c r="FY527"/>
      <c r="FZ527"/>
      <c r="GA527"/>
      <c r="GB527"/>
      <c r="GC527"/>
      <c r="GD527"/>
      <c r="GE527"/>
      <c r="GF527"/>
      <c r="GG527"/>
      <c r="GH527"/>
      <c r="GI527"/>
      <c r="GJ527"/>
      <c r="GK527"/>
      <c r="GL527"/>
      <c r="GM527"/>
      <c r="GN527"/>
      <c r="GO527"/>
      <c r="GP527"/>
      <c r="GQ527"/>
      <c r="GR527"/>
      <c r="GS527"/>
      <c r="GT527"/>
      <c r="GU527"/>
      <c r="GV527"/>
      <c r="GW527"/>
      <c r="GX527"/>
      <c r="GY527"/>
      <c r="GZ527"/>
      <c r="HA527"/>
      <c r="HB527"/>
      <c r="HC527"/>
      <c r="HD527"/>
      <c r="HE527"/>
      <c r="HF527"/>
      <c r="HG527"/>
      <c r="HH527"/>
      <c r="HI527"/>
      <c r="HJ527"/>
      <c r="HK527"/>
      <c r="HL527"/>
      <c r="HM527"/>
      <c r="HN527"/>
      <c r="HO527"/>
      <c r="HP527"/>
      <c r="HQ527"/>
      <c r="HR527"/>
      <c r="HS527"/>
      <c r="HT527"/>
      <c r="HU527"/>
      <c r="HV527"/>
      <c r="HW527"/>
      <c r="HX527"/>
      <c r="HY527"/>
      <c r="HZ527"/>
      <c r="IA527"/>
      <c r="IB527"/>
      <c r="IC527"/>
      <c r="ID527"/>
      <c r="IE527"/>
      <c r="IF527"/>
      <c r="IG527"/>
      <c r="IH527"/>
      <c r="II527"/>
      <c r="IJ527"/>
      <c r="IK527"/>
      <c r="IL527"/>
      <c r="IM527"/>
      <c r="IN527"/>
      <c r="IO527"/>
      <c r="IP527"/>
      <c r="IQ527"/>
      <c r="IR527"/>
      <c r="IS527"/>
      <c r="IT527"/>
      <c r="IU527"/>
      <c r="IV527"/>
      <c r="IW527"/>
      <c r="IX527"/>
      <c r="IY527"/>
      <c r="IZ527"/>
      <c r="JA527"/>
      <c r="JB527"/>
      <c r="JC527"/>
      <c r="JD527"/>
      <c r="JE527"/>
      <c r="JF527"/>
      <c r="JG527"/>
      <c r="JH527"/>
      <c r="JI527"/>
      <c r="JJ527"/>
      <c r="JK527"/>
      <c r="JL527"/>
      <c r="JM527"/>
      <c r="JN527"/>
      <c r="JO527"/>
      <c r="JP527"/>
      <c r="JQ527"/>
      <c r="JR527"/>
      <c r="JS527"/>
      <c r="JT527"/>
      <c r="JU527"/>
      <c r="JV527"/>
      <c r="JW527"/>
      <c r="JX527"/>
      <c r="JY527"/>
      <c r="JZ527"/>
      <c r="KA527"/>
      <c r="KB527"/>
      <c r="KC527"/>
      <c r="KD527"/>
      <c r="KE527"/>
      <c r="KF527"/>
      <c r="KG527"/>
      <c r="KH527"/>
      <c r="KI527"/>
      <c r="KJ527"/>
      <c r="KK527"/>
      <c r="KL527"/>
      <c r="KM527"/>
      <c r="KN527"/>
      <c r="KO527"/>
      <c r="KP527"/>
      <c r="KQ527"/>
      <c r="KR527"/>
      <c r="KS527"/>
    </row>
    <row r="528" spans="2:305" hidden="1" x14ac:dyDescent="0.35">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c r="AL528"/>
      <c r="AM528"/>
      <c r="AN528"/>
      <c r="AO528"/>
      <c r="AP528"/>
      <c r="AQ528"/>
      <c r="AR528"/>
      <c r="AS528"/>
      <c r="AT528"/>
      <c r="AU528"/>
      <c r="AV528"/>
      <c r="AW528"/>
      <c r="AX528"/>
      <c r="AY528"/>
      <c r="AZ528"/>
      <c r="BA528"/>
      <c r="BB528"/>
      <c r="BC528"/>
      <c r="BD528"/>
      <c r="BE528"/>
      <c r="BF528"/>
      <c r="BG528"/>
      <c r="BH528"/>
      <c r="BI528"/>
      <c r="BJ528"/>
      <c r="BK528"/>
      <c r="BL528"/>
      <c r="BM528"/>
      <c r="BN528"/>
      <c r="BO528"/>
      <c r="BP528"/>
      <c r="BQ528"/>
      <c r="BR528"/>
      <c r="BS528"/>
      <c r="BT528"/>
      <c r="BU528"/>
      <c r="BV528"/>
      <c r="BW528"/>
      <c r="BX528"/>
      <c r="BY528"/>
      <c r="BZ528"/>
      <c r="CA528"/>
      <c r="CB528"/>
      <c r="CC528"/>
      <c r="CD528"/>
      <c r="CE528"/>
      <c r="CF528"/>
      <c r="CG528"/>
      <c r="CH528"/>
      <c r="CI528"/>
      <c r="CJ528"/>
      <c r="CK528"/>
      <c r="CL528"/>
      <c r="CM528"/>
      <c r="CN528"/>
      <c r="CO528"/>
      <c r="CP528"/>
      <c r="CQ528"/>
      <c r="CR528"/>
      <c r="CS528"/>
      <c r="CT528"/>
      <c r="CU528"/>
      <c r="CV528"/>
      <c r="CW528"/>
      <c r="CX528"/>
      <c r="CY528"/>
      <c r="CZ528"/>
      <c r="DA528"/>
      <c r="DB528"/>
      <c r="DC528"/>
      <c r="DD528"/>
      <c r="DE528"/>
      <c r="DF528"/>
      <c r="DG528"/>
      <c r="DH528"/>
      <c r="DI528"/>
      <c r="DJ528"/>
      <c r="DK528"/>
      <c r="DL528"/>
      <c r="DM528"/>
      <c r="DN528"/>
      <c r="DO528"/>
      <c r="DP528"/>
      <c r="DQ528"/>
      <c r="DR528"/>
      <c r="DS528"/>
      <c r="DT528"/>
      <c r="DU528"/>
      <c r="DV528"/>
      <c r="DW528"/>
      <c r="DX528"/>
      <c r="DY528"/>
      <c r="DZ528"/>
      <c r="EA528"/>
      <c r="EB528"/>
      <c r="EC528"/>
      <c r="ED528"/>
      <c r="EE528"/>
      <c r="EF528"/>
      <c r="EG528"/>
      <c r="EH528"/>
      <c r="EI528"/>
      <c r="EJ528"/>
      <c r="EK528"/>
      <c r="EL528"/>
      <c r="EM528"/>
      <c r="EN528"/>
      <c r="EO528"/>
      <c r="EP528"/>
      <c r="EQ528"/>
      <c r="ER528"/>
      <c r="ES528"/>
      <c r="ET528"/>
      <c r="EU528"/>
      <c r="EV528"/>
      <c r="EW528"/>
      <c r="EX528"/>
      <c r="EY528"/>
      <c r="EZ528"/>
      <c r="FA528"/>
      <c r="FB528"/>
      <c r="FC528"/>
      <c r="FD528"/>
      <c r="FE528"/>
      <c r="FF528"/>
      <c r="FG528"/>
      <c r="FH528"/>
      <c r="FI528"/>
      <c r="FJ528"/>
      <c r="FK528"/>
      <c r="FL528"/>
      <c r="FM528"/>
      <c r="FN528"/>
      <c r="FO528"/>
      <c r="FP528"/>
      <c r="FQ528"/>
      <c r="FR528"/>
      <c r="FS528"/>
      <c r="FT528"/>
      <c r="FU528"/>
      <c r="FV528"/>
      <c r="FW528"/>
      <c r="FX528"/>
      <c r="FY528"/>
      <c r="FZ528"/>
      <c r="GA528"/>
      <c r="GB528"/>
      <c r="GC528"/>
      <c r="GD528"/>
      <c r="GE528"/>
      <c r="GF528"/>
      <c r="GG528"/>
      <c r="GH528"/>
      <c r="GI528"/>
      <c r="GJ528"/>
      <c r="GK528"/>
      <c r="GL528"/>
      <c r="GM528"/>
      <c r="GN528"/>
      <c r="GO528"/>
      <c r="GP528"/>
      <c r="GQ528"/>
      <c r="GR528"/>
      <c r="GS528"/>
      <c r="GT528"/>
      <c r="GU528"/>
      <c r="GV528"/>
      <c r="GW528"/>
      <c r="GX528"/>
      <c r="GY528"/>
      <c r="GZ528"/>
      <c r="HA528"/>
      <c r="HB528"/>
      <c r="HC528"/>
      <c r="HD528"/>
      <c r="HE528"/>
      <c r="HF528"/>
      <c r="HG528"/>
      <c r="HH528"/>
      <c r="HI528"/>
      <c r="HJ528"/>
      <c r="HK528"/>
      <c r="HL528"/>
      <c r="HM528"/>
      <c r="HN528"/>
      <c r="HO528"/>
      <c r="HP528"/>
      <c r="HQ528"/>
      <c r="HR528"/>
      <c r="HS528"/>
      <c r="HT528"/>
      <c r="HU528"/>
      <c r="HV528"/>
      <c r="HW528"/>
      <c r="HX528"/>
      <c r="HY528"/>
      <c r="HZ528"/>
      <c r="IA528"/>
      <c r="IB528"/>
      <c r="IC528"/>
      <c r="ID528"/>
      <c r="IE528"/>
      <c r="IF528"/>
      <c r="IG528"/>
      <c r="IH528"/>
      <c r="II528"/>
      <c r="IJ528"/>
      <c r="IK528"/>
      <c r="IL528"/>
      <c r="IM528"/>
      <c r="IN528"/>
      <c r="IO528"/>
      <c r="IP528"/>
      <c r="IQ528"/>
      <c r="IR528"/>
      <c r="IS528"/>
      <c r="IT528"/>
      <c r="IU528"/>
      <c r="IV528"/>
      <c r="IW528"/>
      <c r="IX528"/>
      <c r="IY528"/>
      <c r="IZ528"/>
      <c r="JA528"/>
      <c r="JB528"/>
      <c r="JC528"/>
      <c r="JD528"/>
      <c r="JE528"/>
      <c r="JF528"/>
      <c r="JG528"/>
      <c r="JH528"/>
      <c r="JI528"/>
      <c r="JJ528"/>
      <c r="JK528"/>
      <c r="JL528"/>
      <c r="JM528"/>
      <c r="JN528"/>
      <c r="JO528"/>
      <c r="JP528"/>
      <c r="JQ528"/>
      <c r="JR528"/>
      <c r="JS528"/>
      <c r="JT528"/>
      <c r="JU528"/>
      <c r="JV528"/>
      <c r="JW528"/>
      <c r="JX528"/>
      <c r="JY528"/>
      <c r="JZ528"/>
      <c r="KA528"/>
      <c r="KB528"/>
      <c r="KC528"/>
      <c r="KD528"/>
      <c r="KE528"/>
      <c r="KF528"/>
      <c r="KG528"/>
      <c r="KH528"/>
      <c r="KI528"/>
      <c r="KJ528"/>
      <c r="KK528"/>
      <c r="KL528"/>
      <c r="KM528"/>
      <c r="KN528"/>
      <c r="KO528"/>
      <c r="KP528"/>
      <c r="KQ528"/>
      <c r="KR528"/>
      <c r="KS528"/>
    </row>
    <row r="529" spans="2:305" hidden="1" x14ac:dyDescent="0.35">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c r="AL529"/>
      <c r="AM529"/>
      <c r="AN529"/>
      <c r="AO529"/>
      <c r="AP529"/>
      <c r="AQ529"/>
      <c r="AR529"/>
      <c r="AS529"/>
      <c r="AT529"/>
      <c r="AU529"/>
      <c r="AV529"/>
      <c r="AW529"/>
      <c r="AX529"/>
      <c r="AY529"/>
      <c r="AZ529"/>
      <c r="BA529"/>
      <c r="BB529"/>
      <c r="BC529"/>
      <c r="BD529"/>
      <c r="BE529"/>
      <c r="BF529"/>
      <c r="BG529"/>
      <c r="BH529"/>
      <c r="BI529"/>
      <c r="BJ529"/>
      <c r="BK529"/>
      <c r="BL529"/>
      <c r="BM529"/>
      <c r="BN529"/>
      <c r="BO529"/>
      <c r="BP529"/>
      <c r="BQ529"/>
      <c r="BR529"/>
      <c r="BS529"/>
      <c r="BT529"/>
      <c r="BU529"/>
      <c r="BV529"/>
      <c r="BW529"/>
      <c r="BX529"/>
      <c r="BY529"/>
      <c r="BZ529"/>
      <c r="CA529"/>
      <c r="CB529"/>
      <c r="CC529"/>
      <c r="CD529"/>
      <c r="CE529"/>
      <c r="CF529"/>
      <c r="CG529"/>
      <c r="CH529"/>
      <c r="CI529"/>
      <c r="CJ529"/>
      <c r="CK529"/>
      <c r="CL529"/>
      <c r="CM529"/>
      <c r="CN529"/>
      <c r="CO529"/>
      <c r="CP529"/>
      <c r="CQ529"/>
      <c r="CR529"/>
      <c r="CS529"/>
      <c r="CT529"/>
      <c r="CU529"/>
      <c r="CV529"/>
      <c r="CW529"/>
      <c r="CX529"/>
      <c r="CY529"/>
      <c r="CZ529"/>
      <c r="DA529"/>
      <c r="DB529"/>
      <c r="DC529"/>
      <c r="DD529"/>
      <c r="DE529"/>
      <c r="DF529"/>
      <c r="DG529"/>
      <c r="DH529"/>
      <c r="DI529"/>
      <c r="DJ529"/>
      <c r="DK529"/>
      <c r="DL529"/>
      <c r="DM529"/>
      <c r="DN529"/>
      <c r="DO529"/>
      <c r="DP529"/>
      <c r="DQ529"/>
      <c r="DR529"/>
      <c r="DS529"/>
      <c r="DT529"/>
      <c r="DU529"/>
      <c r="DV529"/>
      <c r="DW529"/>
      <c r="DX529"/>
      <c r="DY529"/>
      <c r="DZ529"/>
      <c r="EA529"/>
      <c r="EB529"/>
      <c r="EC529"/>
      <c r="ED529"/>
      <c r="EE529"/>
      <c r="EF529"/>
      <c r="EG529"/>
      <c r="EH529"/>
      <c r="EI529"/>
      <c r="EJ529"/>
      <c r="EK529"/>
      <c r="EL529"/>
      <c r="EM529"/>
      <c r="EN529"/>
      <c r="EO529"/>
      <c r="EP529"/>
      <c r="EQ529"/>
      <c r="ER529"/>
      <c r="ES529"/>
      <c r="ET529"/>
      <c r="EU529"/>
      <c r="EV529"/>
      <c r="EW529"/>
      <c r="EX529"/>
      <c r="EY529"/>
      <c r="EZ529"/>
      <c r="FA529"/>
      <c r="FB529"/>
      <c r="FC529"/>
      <c r="FD529"/>
      <c r="FE529"/>
      <c r="FF529"/>
      <c r="FG529"/>
      <c r="FH529"/>
      <c r="FI529"/>
      <c r="FJ529"/>
      <c r="FK529"/>
      <c r="FL529"/>
      <c r="FM529"/>
      <c r="FN529"/>
      <c r="FO529"/>
      <c r="FP529"/>
      <c r="FQ529"/>
      <c r="FR529"/>
      <c r="FS529"/>
      <c r="FT529"/>
      <c r="FU529"/>
      <c r="FV529"/>
      <c r="FW529"/>
      <c r="FX529"/>
      <c r="FY529"/>
      <c r="FZ529"/>
      <c r="GA529"/>
      <c r="GB529"/>
      <c r="GC529"/>
      <c r="GD529"/>
      <c r="GE529"/>
      <c r="GF529"/>
      <c r="GG529"/>
      <c r="GH529"/>
      <c r="GI529"/>
      <c r="GJ529"/>
      <c r="GK529"/>
      <c r="GL529"/>
      <c r="GM529"/>
      <c r="GN529"/>
      <c r="GO529"/>
      <c r="GP529"/>
      <c r="GQ529"/>
      <c r="GR529"/>
      <c r="GS529"/>
      <c r="GT529"/>
      <c r="GU529"/>
      <c r="GV529"/>
      <c r="GW529"/>
      <c r="GX529"/>
      <c r="GY529"/>
      <c r="GZ529"/>
      <c r="HA529"/>
      <c r="HB529"/>
      <c r="HC529"/>
      <c r="HD529"/>
      <c r="HE529"/>
      <c r="HF529"/>
      <c r="HG529"/>
      <c r="HH529"/>
      <c r="HI529"/>
      <c r="HJ529"/>
      <c r="HK529"/>
      <c r="HL529"/>
      <c r="HM529"/>
      <c r="HN529"/>
      <c r="HO529"/>
      <c r="HP529"/>
      <c r="HQ529"/>
      <c r="HR529"/>
      <c r="HS529"/>
      <c r="HT529"/>
      <c r="HU529"/>
      <c r="HV529"/>
      <c r="HW529"/>
      <c r="HX529"/>
      <c r="HY529"/>
      <c r="HZ529"/>
      <c r="IA529"/>
      <c r="IB529"/>
      <c r="IC529"/>
      <c r="ID529"/>
      <c r="IE529"/>
      <c r="IF529"/>
      <c r="IG529"/>
      <c r="IH529"/>
      <c r="II529"/>
      <c r="IJ529"/>
      <c r="IK529"/>
      <c r="IL529"/>
      <c r="IM529"/>
      <c r="IN529"/>
      <c r="IO529"/>
      <c r="IP529"/>
      <c r="IQ529"/>
      <c r="IR529"/>
      <c r="IS529"/>
      <c r="IT529"/>
      <c r="IU529"/>
      <c r="IV529"/>
      <c r="IW529"/>
      <c r="IX529"/>
      <c r="IY529"/>
      <c r="IZ529"/>
      <c r="JA529"/>
      <c r="JB529"/>
      <c r="JC529"/>
      <c r="JD529"/>
      <c r="JE529"/>
      <c r="JF529"/>
      <c r="JG529"/>
      <c r="JH529"/>
      <c r="JI529"/>
      <c r="JJ529"/>
      <c r="JK529"/>
      <c r="JL529"/>
      <c r="JM529"/>
      <c r="JN529"/>
      <c r="JO529"/>
      <c r="JP529"/>
      <c r="JQ529"/>
      <c r="JR529"/>
      <c r="JS529"/>
      <c r="JT529"/>
      <c r="JU529"/>
      <c r="JV529"/>
      <c r="JW529"/>
      <c r="JX529"/>
      <c r="JY529"/>
      <c r="JZ529"/>
      <c r="KA529"/>
      <c r="KB529"/>
      <c r="KC529"/>
      <c r="KD529"/>
      <c r="KE529"/>
      <c r="KF529"/>
      <c r="KG529"/>
      <c r="KH529"/>
      <c r="KI529"/>
      <c r="KJ529"/>
      <c r="KK529"/>
      <c r="KL529"/>
      <c r="KM529"/>
      <c r="KN529"/>
      <c r="KO529"/>
      <c r="KP529"/>
      <c r="KQ529"/>
      <c r="KR529"/>
      <c r="KS529"/>
    </row>
    <row r="530" spans="2:305" hidden="1" x14ac:dyDescent="0.35">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c r="AL530"/>
      <c r="AM530"/>
      <c r="AN530"/>
      <c r="AO530"/>
      <c r="AP530"/>
      <c r="AQ530"/>
      <c r="AR530"/>
      <c r="AS530"/>
      <c r="AT530"/>
      <c r="AU530"/>
      <c r="AV530"/>
      <c r="AW530"/>
      <c r="AX530"/>
      <c r="AY530"/>
      <c r="AZ530"/>
      <c r="BA530"/>
      <c r="BB530"/>
      <c r="BC530"/>
      <c r="BD530"/>
      <c r="BE530"/>
      <c r="BF530"/>
      <c r="BG530"/>
      <c r="BH530"/>
      <c r="BI530"/>
      <c r="BJ530"/>
      <c r="BK530"/>
      <c r="BL530"/>
      <c r="BM530"/>
      <c r="BN530"/>
      <c r="BO530"/>
      <c r="BP530"/>
      <c r="BQ530"/>
      <c r="BR530"/>
      <c r="BS530"/>
      <c r="BT530"/>
      <c r="BU530"/>
      <c r="BV530"/>
      <c r="BW530"/>
      <c r="BX530"/>
      <c r="BY530"/>
      <c r="BZ530"/>
      <c r="CA530"/>
      <c r="CB530"/>
      <c r="CC530"/>
      <c r="CD530"/>
      <c r="CE530"/>
      <c r="CF530"/>
      <c r="CG530"/>
      <c r="CH530"/>
      <c r="CI530"/>
      <c r="CJ530"/>
      <c r="CK530"/>
      <c r="CL530"/>
      <c r="CM530"/>
      <c r="CN530"/>
      <c r="CO530"/>
      <c r="CP530"/>
      <c r="CQ530"/>
      <c r="CR530"/>
      <c r="CS530"/>
      <c r="CT530"/>
      <c r="CU530"/>
      <c r="CV530"/>
      <c r="CW530"/>
      <c r="CX530"/>
      <c r="CY530"/>
      <c r="CZ530"/>
      <c r="DA530"/>
      <c r="DB530"/>
      <c r="DC530"/>
      <c r="DD530"/>
      <c r="DE530"/>
      <c r="DF530"/>
      <c r="DG530"/>
      <c r="DH530"/>
      <c r="DI530"/>
      <c r="DJ530"/>
      <c r="DK530"/>
      <c r="DL530"/>
      <c r="DM530"/>
      <c r="DN530"/>
      <c r="DO530"/>
      <c r="DP530"/>
      <c r="DQ530"/>
      <c r="DR530"/>
      <c r="DS530"/>
      <c r="DT530"/>
      <c r="DU530"/>
      <c r="DV530"/>
      <c r="DW530"/>
      <c r="DX530"/>
      <c r="DY530"/>
      <c r="DZ530"/>
      <c r="EA530"/>
      <c r="EB530"/>
      <c r="EC530"/>
      <c r="ED530"/>
      <c r="EE530"/>
      <c r="EF530"/>
      <c r="EG530"/>
      <c r="EH530"/>
      <c r="EI530"/>
      <c r="EJ530"/>
      <c r="EK530"/>
      <c r="EL530"/>
      <c r="EM530"/>
      <c r="EN530"/>
      <c r="EO530"/>
      <c r="EP530"/>
      <c r="EQ530"/>
      <c r="ER530"/>
      <c r="ES530"/>
      <c r="ET530"/>
      <c r="EU530"/>
      <c r="EV530"/>
      <c r="EW530"/>
      <c r="EX530"/>
      <c r="EY530"/>
      <c r="EZ530"/>
      <c r="FA530"/>
      <c r="FB530"/>
      <c r="FC530"/>
      <c r="FD530"/>
      <c r="FE530"/>
      <c r="FF530"/>
      <c r="FG530"/>
      <c r="FH530"/>
      <c r="FI530"/>
      <c r="FJ530"/>
      <c r="FK530"/>
      <c r="FL530"/>
      <c r="FM530"/>
      <c r="FN530"/>
      <c r="FO530"/>
      <c r="FP530"/>
      <c r="FQ530"/>
      <c r="FR530"/>
      <c r="FS530"/>
      <c r="FT530"/>
      <c r="FU530"/>
      <c r="FV530"/>
      <c r="FW530"/>
      <c r="FX530"/>
      <c r="FY530"/>
      <c r="FZ530"/>
      <c r="GA530"/>
      <c r="GB530"/>
      <c r="GC530"/>
      <c r="GD530"/>
      <c r="GE530"/>
      <c r="GF530"/>
      <c r="GG530"/>
      <c r="GH530"/>
      <c r="GI530"/>
      <c r="GJ530"/>
      <c r="GK530"/>
      <c r="GL530"/>
      <c r="GM530"/>
      <c r="GN530"/>
      <c r="GO530"/>
      <c r="GP530"/>
      <c r="GQ530"/>
      <c r="GR530"/>
      <c r="GS530"/>
      <c r="GT530"/>
      <c r="GU530"/>
      <c r="GV530"/>
      <c r="GW530"/>
      <c r="GX530"/>
      <c r="GY530"/>
      <c r="GZ530"/>
      <c r="HA530"/>
      <c r="HB530"/>
      <c r="HC530"/>
      <c r="HD530"/>
      <c r="HE530"/>
      <c r="HF530"/>
      <c r="HG530"/>
      <c r="HH530"/>
      <c r="HI530"/>
      <c r="HJ530"/>
      <c r="HK530"/>
      <c r="HL530"/>
      <c r="HM530"/>
      <c r="HN530"/>
      <c r="HO530"/>
      <c r="HP530"/>
      <c r="HQ530"/>
      <c r="HR530"/>
      <c r="HS530"/>
      <c r="HT530"/>
      <c r="HU530"/>
      <c r="HV530"/>
      <c r="HW530"/>
      <c r="HX530"/>
      <c r="HY530"/>
      <c r="HZ530"/>
      <c r="IA530"/>
      <c r="IB530"/>
      <c r="IC530"/>
      <c r="ID530"/>
      <c r="IE530"/>
      <c r="IF530"/>
      <c r="IG530"/>
      <c r="IH530"/>
      <c r="II530"/>
      <c r="IJ530"/>
      <c r="IK530"/>
      <c r="IL530"/>
      <c r="IM530"/>
      <c r="IN530"/>
      <c r="IO530"/>
      <c r="IP530"/>
      <c r="IQ530"/>
      <c r="IR530"/>
      <c r="IS530"/>
      <c r="IT530"/>
      <c r="IU530"/>
      <c r="IV530"/>
      <c r="IW530"/>
      <c r="IX530"/>
      <c r="IY530"/>
      <c r="IZ530"/>
      <c r="JA530"/>
      <c r="JB530"/>
      <c r="JC530"/>
      <c r="JD530"/>
      <c r="JE530"/>
      <c r="JF530"/>
      <c r="JG530"/>
      <c r="JH530"/>
      <c r="JI530"/>
      <c r="JJ530"/>
      <c r="JK530"/>
      <c r="JL530"/>
      <c r="JM530"/>
      <c r="JN530"/>
      <c r="JO530"/>
      <c r="JP530"/>
      <c r="JQ530"/>
      <c r="JR530"/>
      <c r="JS530"/>
      <c r="JT530"/>
      <c r="JU530"/>
      <c r="JV530"/>
      <c r="JW530"/>
      <c r="JX530"/>
      <c r="JY530"/>
      <c r="JZ530"/>
      <c r="KA530"/>
      <c r="KB530"/>
      <c r="KC530"/>
      <c r="KD530"/>
      <c r="KE530"/>
      <c r="KF530"/>
      <c r="KG530"/>
      <c r="KH530"/>
      <c r="KI530"/>
      <c r="KJ530"/>
      <c r="KK530"/>
      <c r="KL530"/>
      <c r="KM530"/>
      <c r="KN530"/>
      <c r="KO530"/>
      <c r="KP530"/>
      <c r="KQ530"/>
      <c r="KR530"/>
      <c r="KS530"/>
    </row>
    <row r="531" spans="2:305" hidden="1" x14ac:dyDescent="0.35">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c r="AL531"/>
      <c r="AM531"/>
      <c r="AN531"/>
      <c r="AO531"/>
      <c r="AP531"/>
      <c r="AQ531"/>
      <c r="AR531"/>
      <c r="AS531"/>
      <c r="AT531"/>
      <c r="AU531"/>
      <c r="AV531"/>
      <c r="AW531"/>
      <c r="AX531"/>
      <c r="AY531"/>
      <c r="AZ531"/>
      <c r="BA531"/>
      <c r="BB531"/>
      <c r="BC531"/>
      <c r="BD531"/>
      <c r="BE531"/>
      <c r="BF531"/>
      <c r="BG531"/>
      <c r="BH531"/>
      <c r="BI531"/>
      <c r="BJ531"/>
      <c r="BK531"/>
      <c r="BL531"/>
      <c r="BM531"/>
      <c r="BN531"/>
      <c r="BO531"/>
      <c r="BP531"/>
      <c r="BQ531"/>
      <c r="BR531"/>
      <c r="BS531"/>
      <c r="BT531"/>
      <c r="BU531"/>
      <c r="BV531"/>
      <c r="BW531"/>
      <c r="BX531"/>
      <c r="BY531"/>
      <c r="BZ531"/>
      <c r="CA531"/>
      <c r="CB531"/>
      <c r="CC531"/>
      <c r="CD531"/>
      <c r="CE531"/>
      <c r="CF531"/>
      <c r="CG531"/>
      <c r="CH531"/>
      <c r="CI531"/>
      <c r="CJ531"/>
      <c r="CK531"/>
      <c r="CL531"/>
      <c r="CM531"/>
      <c r="CN531"/>
      <c r="CO531"/>
      <c r="CP531"/>
      <c r="CQ531"/>
      <c r="CR531"/>
      <c r="CS531"/>
      <c r="CT531"/>
      <c r="CU531"/>
      <c r="CV531"/>
      <c r="CW531"/>
      <c r="CX531"/>
      <c r="CY531"/>
      <c r="CZ531"/>
      <c r="DA531"/>
      <c r="DB531"/>
      <c r="DC531"/>
      <c r="DD531"/>
      <c r="DE531"/>
      <c r="DF531"/>
      <c r="DG531"/>
      <c r="DH531"/>
      <c r="DI531"/>
      <c r="DJ531"/>
      <c r="DK531"/>
      <c r="DL531"/>
      <c r="DM531"/>
      <c r="DN531"/>
      <c r="DO531"/>
      <c r="DP531"/>
      <c r="DQ531"/>
      <c r="DR531"/>
      <c r="DS531"/>
      <c r="DT531"/>
      <c r="DU531"/>
      <c r="DV531"/>
      <c r="DW531"/>
      <c r="DX531"/>
      <c r="DY531"/>
      <c r="DZ531"/>
      <c r="EA531"/>
      <c r="EB531"/>
      <c r="EC531"/>
      <c r="ED531"/>
      <c r="EE531"/>
      <c r="EF531"/>
      <c r="EG531"/>
      <c r="EH531"/>
      <c r="EI531"/>
      <c r="EJ531"/>
      <c r="EK531"/>
      <c r="EL531"/>
      <c r="EM531"/>
      <c r="EN531"/>
      <c r="EO531"/>
      <c r="EP531"/>
      <c r="EQ531"/>
      <c r="ER531"/>
      <c r="ES531"/>
      <c r="ET531"/>
      <c r="EU531"/>
      <c r="EV531"/>
      <c r="EW531"/>
      <c r="EX531"/>
      <c r="EY531"/>
      <c r="EZ531"/>
      <c r="FA531"/>
      <c r="FB531"/>
      <c r="FC531"/>
      <c r="FD531"/>
      <c r="FE531"/>
      <c r="FF531"/>
      <c r="FG531"/>
      <c r="FH531"/>
      <c r="FI531"/>
      <c r="FJ531"/>
      <c r="FK531"/>
      <c r="FL531"/>
      <c r="FM531"/>
      <c r="FN531"/>
      <c r="FO531"/>
      <c r="FP531"/>
      <c r="FQ531"/>
      <c r="FR531"/>
      <c r="FS531"/>
      <c r="FT531"/>
      <c r="FU531"/>
      <c r="FV531"/>
      <c r="FW531"/>
      <c r="FX531"/>
      <c r="FY531"/>
      <c r="FZ531"/>
      <c r="GA531"/>
      <c r="GB531"/>
      <c r="GC531"/>
      <c r="GD531"/>
      <c r="GE531"/>
      <c r="GF531"/>
      <c r="GG531"/>
      <c r="GH531"/>
      <c r="GI531"/>
      <c r="GJ531"/>
      <c r="GK531"/>
      <c r="GL531"/>
      <c r="GM531"/>
      <c r="GN531"/>
      <c r="GO531"/>
      <c r="GP531"/>
      <c r="GQ531"/>
      <c r="GR531"/>
      <c r="GS531"/>
      <c r="GT531"/>
      <c r="GU531"/>
      <c r="GV531"/>
      <c r="GW531"/>
      <c r="GX531"/>
      <c r="GY531"/>
      <c r="GZ531"/>
      <c r="HA531"/>
      <c r="HB531"/>
      <c r="HC531"/>
      <c r="HD531"/>
      <c r="HE531"/>
      <c r="HF531"/>
      <c r="HG531"/>
      <c r="HH531"/>
      <c r="HI531"/>
      <c r="HJ531"/>
      <c r="HK531"/>
      <c r="HL531"/>
      <c r="HM531"/>
      <c r="HN531"/>
      <c r="HO531"/>
      <c r="HP531"/>
      <c r="HQ531"/>
      <c r="HR531"/>
      <c r="HS531"/>
      <c r="HT531"/>
      <c r="HU531"/>
      <c r="HV531"/>
      <c r="HW531"/>
      <c r="HX531"/>
      <c r="HY531"/>
      <c r="HZ531"/>
      <c r="IA531"/>
      <c r="IB531"/>
      <c r="IC531"/>
      <c r="ID531"/>
      <c r="IE531"/>
      <c r="IF531"/>
      <c r="IG531"/>
      <c r="IH531"/>
      <c r="II531"/>
      <c r="IJ531"/>
      <c r="IK531"/>
      <c r="IL531"/>
      <c r="IM531"/>
      <c r="IN531"/>
      <c r="IO531"/>
      <c r="IP531"/>
      <c r="IQ531"/>
      <c r="IR531"/>
      <c r="IS531"/>
      <c r="IT531"/>
      <c r="IU531"/>
      <c r="IV531"/>
      <c r="IW531"/>
      <c r="IX531"/>
      <c r="IY531"/>
      <c r="IZ531"/>
      <c r="JA531"/>
      <c r="JB531"/>
      <c r="JC531"/>
      <c r="JD531"/>
      <c r="JE531"/>
      <c r="JF531"/>
      <c r="JG531"/>
      <c r="JH531"/>
      <c r="JI531"/>
      <c r="JJ531"/>
      <c r="JK531"/>
      <c r="JL531"/>
      <c r="JM531"/>
      <c r="JN531"/>
      <c r="JO531"/>
      <c r="JP531"/>
      <c r="JQ531"/>
      <c r="JR531"/>
      <c r="JS531"/>
      <c r="JT531"/>
      <c r="JU531"/>
      <c r="JV531"/>
      <c r="JW531"/>
      <c r="JX531"/>
      <c r="JY531"/>
      <c r="JZ531"/>
      <c r="KA531"/>
      <c r="KB531"/>
      <c r="KC531"/>
      <c r="KD531"/>
      <c r="KE531"/>
      <c r="KF531"/>
      <c r="KG531"/>
      <c r="KH531"/>
      <c r="KI531"/>
      <c r="KJ531"/>
      <c r="KK531"/>
      <c r="KL531"/>
      <c r="KM531"/>
      <c r="KN531"/>
      <c r="KO531"/>
      <c r="KP531"/>
      <c r="KQ531"/>
      <c r="KR531"/>
      <c r="KS531"/>
    </row>
    <row r="532" spans="2:305" hidden="1" x14ac:dyDescent="0.35">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c r="AL532"/>
      <c r="AM532"/>
      <c r="AN532"/>
      <c r="AO532"/>
      <c r="AP532"/>
      <c r="AQ532"/>
      <c r="AR532"/>
      <c r="AS532"/>
      <c r="AT532"/>
      <c r="AU532"/>
      <c r="AV532"/>
      <c r="AW532"/>
      <c r="AX532"/>
      <c r="AY532"/>
      <c r="AZ532"/>
      <c r="BA532"/>
      <c r="BB532"/>
      <c r="BC532"/>
      <c r="BD532"/>
      <c r="BE532"/>
      <c r="BF532"/>
      <c r="BG532"/>
      <c r="BH532"/>
      <c r="BI532"/>
      <c r="BJ532"/>
      <c r="BK532"/>
      <c r="BL532"/>
      <c r="BM532"/>
      <c r="BN532"/>
      <c r="BO532"/>
      <c r="BP532"/>
      <c r="BQ532"/>
      <c r="BR532"/>
      <c r="BS532"/>
      <c r="BT532"/>
      <c r="BU532"/>
      <c r="BV532"/>
      <c r="BW532"/>
      <c r="BX532"/>
      <c r="BY532"/>
      <c r="BZ532"/>
      <c r="CA532"/>
      <c r="CB532"/>
      <c r="CC532"/>
      <c r="CD532"/>
      <c r="CE532"/>
      <c r="CF532"/>
      <c r="CG532"/>
      <c r="CH532"/>
      <c r="CI532"/>
      <c r="CJ532"/>
      <c r="CK532"/>
      <c r="CL532"/>
      <c r="CM532"/>
      <c r="CN532"/>
      <c r="CO532"/>
      <c r="CP532"/>
      <c r="CQ532"/>
      <c r="CR532"/>
      <c r="CS532"/>
      <c r="CT532"/>
      <c r="CU532"/>
      <c r="CV532"/>
      <c r="CW532"/>
      <c r="CX532"/>
      <c r="CY532"/>
      <c r="CZ532"/>
      <c r="DA532"/>
      <c r="DB532"/>
      <c r="DC532"/>
      <c r="DD532"/>
      <c r="DE532"/>
      <c r="DF532"/>
      <c r="DG532"/>
      <c r="DH532"/>
      <c r="DI532"/>
      <c r="DJ532"/>
      <c r="DK532"/>
      <c r="DL532"/>
      <c r="DM532"/>
      <c r="DN532"/>
      <c r="DO532"/>
      <c r="DP532"/>
      <c r="DQ532"/>
      <c r="DR532"/>
      <c r="DS532"/>
      <c r="DT532"/>
      <c r="DU532"/>
      <c r="DV532"/>
      <c r="DW532"/>
      <c r="DX532"/>
      <c r="DY532"/>
      <c r="DZ532"/>
      <c r="EA532"/>
      <c r="EB532"/>
      <c r="EC532"/>
      <c r="ED532"/>
      <c r="EE532"/>
      <c r="EF532"/>
      <c r="EG532"/>
      <c r="EH532"/>
      <c r="EI532"/>
      <c r="EJ532"/>
      <c r="EK532"/>
      <c r="EL532"/>
      <c r="EM532"/>
      <c r="EN532"/>
      <c r="EO532"/>
      <c r="EP532"/>
      <c r="EQ532"/>
      <c r="ER532"/>
      <c r="ES532"/>
      <c r="ET532"/>
      <c r="EU532"/>
      <c r="EV532"/>
      <c r="EW532"/>
      <c r="EX532"/>
      <c r="EY532"/>
      <c r="EZ532"/>
      <c r="FA532"/>
      <c r="FB532"/>
      <c r="FC532"/>
      <c r="FD532"/>
      <c r="FE532"/>
      <c r="FF532"/>
      <c r="FG532"/>
      <c r="FH532"/>
      <c r="FI532"/>
      <c r="FJ532"/>
      <c r="FK532"/>
      <c r="FL532"/>
      <c r="FM532"/>
      <c r="FN532"/>
      <c r="FO532"/>
      <c r="FP532"/>
      <c r="FQ532"/>
      <c r="FR532"/>
      <c r="FS532"/>
      <c r="FT532"/>
      <c r="FU532"/>
      <c r="FV532"/>
      <c r="FW532"/>
      <c r="FX532"/>
      <c r="FY532"/>
      <c r="FZ532"/>
      <c r="GA532"/>
      <c r="GB532"/>
      <c r="GC532"/>
      <c r="GD532"/>
      <c r="GE532"/>
      <c r="GF532"/>
      <c r="GG532"/>
      <c r="GH532"/>
      <c r="GI532"/>
      <c r="GJ532"/>
      <c r="GK532"/>
      <c r="GL532"/>
      <c r="GM532"/>
      <c r="GN532"/>
      <c r="GO532"/>
      <c r="GP532"/>
      <c r="GQ532"/>
      <c r="GR532"/>
      <c r="GS532"/>
      <c r="GT532"/>
      <c r="GU532"/>
      <c r="GV532"/>
      <c r="GW532"/>
      <c r="GX532"/>
      <c r="GY532"/>
      <c r="GZ532"/>
      <c r="HA532"/>
      <c r="HB532"/>
      <c r="HC532"/>
      <c r="HD532"/>
      <c r="HE532"/>
      <c r="HF532"/>
      <c r="HG532"/>
      <c r="HH532"/>
      <c r="HI532"/>
      <c r="HJ532"/>
      <c r="HK532"/>
      <c r="HL532"/>
      <c r="HM532"/>
      <c r="HN532"/>
      <c r="HO532"/>
      <c r="HP532"/>
      <c r="HQ532"/>
      <c r="HR532"/>
      <c r="HS532"/>
      <c r="HT532"/>
      <c r="HU532"/>
      <c r="HV532"/>
      <c r="HW532"/>
      <c r="HX532"/>
      <c r="HY532"/>
      <c r="HZ532"/>
      <c r="IA532"/>
      <c r="IB532"/>
      <c r="IC532"/>
      <c r="ID532"/>
      <c r="IE532"/>
      <c r="IF532"/>
      <c r="IG532"/>
      <c r="IH532"/>
      <c r="II532"/>
      <c r="IJ532"/>
      <c r="IK532"/>
      <c r="IL532"/>
      <c r="IM532"/>
      <c r="IN532"/>
      <c r="IO532"/>
      <c r="IP532"/>
      <c r="IQ532"/>
      <c r="IR532"/>
      <c r="IS532"/>
      <c r="IT532"/>
      <c r="IU532"/>
      <c r="IV532"/>
      <c r="IW532"/>
      <c r="IX532"/>
      <c r="IY532"/>
      <c r="IZ532"/>
      <c r="JA532"/>
      <c r="JB532"/>
      <c r="JC532"/>
      <c r="JD532"/>
      <c r="JE532"/>
      <c r="JF532"/>
      <c r="JG532"/>
      <c r="JH532"/>
      <c r="JI532"/>
      <c r="JJ532"/>
      <c r="JK532"/>
      <c r="JL532"/>
      <c r="JM532"/>
      <c r="JN532"/>
      <c r="JO532"/>
      <c r="JP532"/>
      <c r="JQ532"/>
      <c r="JR532"/>
      <c r="JS532"/>
      <c r="JT532"/>
      <c r="JU532"/>
      <c r="JV532"/>
      <c r="JW532"/>
      <c r="JX532"/>
      <c r="JY532"/>
      <c r="JZ532"/>
      <c r="KA532"/>
      <c r="KB532"/>
      <c r="KC532"/>
      <c r="KD532"/>
      <c r="KE532"/>
      <c r="KF532"/>
      <c r="KG532"/>
      <c r="KH532"/>
      <c r="KI532"/>
      <c r="KJ532"/>
      <c r="KK532"/>
      <c r="KL532"/>
      <c r="KM532"/>
      <c r="KN532"/>
      <c r="KO532"/>
      <c r="KP532"/>
      <c r="KQ532"/>
      <c r="KR532"/>
      <c r="KS532"/>
    </row>
    <row r="533" spans="2:305" hidden="1" x14ac:dyDescent="0.35">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c r="AN533"/>
      <c r="AO533"/>
      <c r="AP533"/>
      <c r="AQ533"/>
      <c r="AR533"/>
      <c r="AS533"/>
      <c r="AT533"/>
      <c r="AU533"/>
      <c r="AV533"/>
      <c r="AW533"/>
      <c r="AX533"/>
      <c r="AY533"/>
      <c r="AZ533"/>
      <c r="BA533"/>
      <c r="BB533"/>
      <c r="BC533"/>
      <c r="BD533"/>
      <c r="BE533"/>
      <c r="BF533"/>
      <c r="BG533"/>
      <c r="BH533"/>
      <c r="BI533"/>
      <c r="BJ533"/>
      <c r="BK533"/>
      <c r="BL533"/>
      <c r="BM533"/>
      <c r="BN533"/>
      <c r="BO533"/>
      <c r="BP533"/>
      <c r="BQ533"/>
      <c r="BR533"/>
      <c r="BS533"/>
      <c r="BT533"/>
      <c r="BU533"/>
      <c r="BV533"/>
      <c r="BW533"/>
      <c r="BX533"/>
      <c r="BY533"/>
      <c r="BZ533"/>
      <c r="CA533"/>
      <c r="CB533"/>
      <c r="CC533"/>
      <c r="CD533"/>
      <c r="CE533"/>
      <c r="CF533"/>
      <c r="CG533"/>
      <c r="CH533"/>
      <c r="CI533"/>
      <c r="CJ533"/>
      <c r="CK533"/>
      <c r="CL533"/>
      <c r="CM533"/>
      <c r="CN533"/>
      <c r="CO533"/>
      <c r="CP533"/>
      <c r="CQ533"/>
      <c r="CR533"/>
      <c r="CS533"/>
      <c r="CT533"/>
      <c r="CU533"/>
      <c r="CV533"/>
      <c r="CW533"/>
      <c r="CX533"/>
      <c r="CY533"/>
      <c r="CZ533"/>
      <c r="DA533"/>
      <c r="DB533"/>
      <c r="DC533"/>
      <c r="DD533"/>
      <c r="DE533"/>
      <c r="DF533"/>
      <c r="DG533"/>
      <c r="DH533"/>
      <c r="DI533"/>
      <c r="DJ533"/>
      <c r="DK533"/>
      <c r="DL533"/>
      <c r="DM533"/>
      <c r="DN533"/>
      <c r="DO533"/>
      <c r="DP533"/>
      <c r="DQ533"/>
      <c r="DR533"/>
      <c r="DS533"/>
      <c r="DT533"/>
      <c r="DU533"/>
      <c r="DV533"/>
      <c r="DW533"/>
      <c r="DX533"/>
      <c r="DY533"/>
      <c r="DZ533"/>
      <c r="EA533"/>
      <c r="EB533"/>
      <c r="EC533"/>
      <c r="ED533"/>
      <c r="EE533"/>
      <c r="EF533"/>
      <c r="EG533"/>
      <c r="EH533"/>
      <c r="EI533"/>
      <c r="EJ533"/>
      <c r="EK533"/>
      <c r="EL533"/>
      <c r="EM533"/>
      <c r="EN533"/>
      <c r="EO533"/>
      <c r="EP533"/>
      <c r="EQ533"/>
      <c r="ER533"/>
      <c r="ES533"/>
      <c r="ET533"/>
      <c r="EU533"/>
      <c r="EV533"/>
      <c r="EW533"/>
      <c r="EX533"/>
      <c r="EY533"/>
      <c r="EZ533"/>
      <c r="FA533"/>
      <c r="FB533"/>
      <c r="FC533"/>
      <c r="FD533"/>
      <c r="FE533"/>
      <c r="FF533"/>
      <c r="FG533"/>
      <c r="FH533"/>
      <c r="FI533"/>
      <c r="FJ533"/>
      <c r="FK533"/>
      <c r="FL533"/>
      <c r="FM533"/>
      <c r="FN533"/>
      <c r="FO533"/>
      <c r="FP533"/>
      <c r="FQ533"/>
      <c r="FR533"/>
      <c r="FS533"/>
      <c r="FT533"/>
      <c r="FU533"/>
      <c r="FV533"/>
      <c r="FW533"/>
      <c r="FX533"/>
      <c r="FY533"/>
      <c r="FZ533"/>
      <c r="GA533"/>
      <c r="GB533"/>
      <c r="GC533"/>
      <c r="GD533"/>
      <c r="GE533"/>
      <c r="GF533"/>
      <c r="GG533"/>
      <c r="GH533"/>
      <c r="GI533"/>
      <c r="GJ533"/>
      <c r="GK533"/>
      <c r="GL533"/>
      <c r="GM533"/>
      <c r="GN533"/>
      <c r="GO533"/>
      <c r="GP533"/>
      <c r="GQ533"/>
      <c r="GR533"/>
      <c r="GS533"/>
      <c r="GT533"/>
      <c r="GU533"/>
      <c r="GV533"/>
      <c r="GW533"/>
      <c r="GX533"/>
      <c r="GY533"/>
      <c r="GZ533"/>
      <c r="HA533"/>
      <c r="HB533"/>
      <c r="HC533"/>
      <c r="HD533"/>
      <c r="HE533"/>
      <c r="HF533"/>
      <c r="HG533"/>
      <c r="HH533"/>
      <c r="HI533"/>
      <c r="HJ533"/>
      <c r="HK533"/>
      <c r="HL533"/>
      <c r="HM533"/>
      <c r="HN533"/>
      <c r="HO533"/>
      <c r="HP533"/>
      <c r="HQ533"/>
      <c r="HR533"/>
      <c r="HS533"/>
      <c r="HT533"/>
      <c r="HU533"/>
      <c r="HV533"/>
      <c r="HW533"/>
      <c r="HX533"/>
      <c r="HY533"/>
      <c r="HZ533"/>
      <c r="IA533"/>
      <c r="IB533"/>
      <c r="IC533"/>
      <c r="ID533"/>
      <c r="IE533"/>
      <c r="IF533"/>
      <c r="IG533"/>
      <c r="IH533"/>
      <c r="II533"/>
      <c r="IJ533"/>
      <c r="IK533"/>
      <c r="IL533"/>
      <c r="IM533"/>
      <c r="IN533"/>
      <c r="IO533"/>
      <c r="IP533"/>
      <c r="IQ533"/>
      <c r="IR533"/>
      <c r="IS533"/>
      <c r="IT533"/>
      <c r="IU533"/>
      <c r="IV533"/>
      <c r="IW533"/>
      <c r="IX533"/>
      <c r="IY533"/>
      <c r="IZ533"/>
      <c r="JA533"/>
      <c r="JB533"/>
      <c r="JC533"/>
      <c r="JD533"/>
      <c r="JE533"/>
      <c r="JF533"/>
      <c r="JG533"/>
      <c r="JH533"/>
      <c r="JI533"/>
      <c r="JJ533"/>
      <c r="JK533"/>
      <c r="JL533"/>
      <c r="JM533"/>
      <c r="JN533"/>
      <c r="JO533"/>
      <c r="JP533"/>
      <c r="JQ533"/>
      <c r="JR533"/>
      <c r="JS533"/>
      <c r="JT533"/>
      <c r="JU533"/>
      <c r="JV533"/>
      <c r="JW533"/>
      <c r="JX533"/>
      <c r="JY533"/>
      <c r="JZ533"/>
      <c r="KA533"/>
      <c r="KB533"/>
      <c r="KC533"/>
      <c r="KD533"/>
      <c r="KE533"/>
      <c r="KF533"/>
      <c r="KG533"/>
      <c r="KH533"/>
      <c r="KI533"/>
      <c r="KJ533"/>
      <c r="KK533"/>
      <c r="KL533"/>
      <c r="KM533"/>
      <c r="KN533"/>
      <c r="KO533"/>
      <c r="KP533"/>
      <c r="KQ533"/>
      <c r="KR533"/>
      <c r="KS533"/>
    </row>
    <row r="534" spans="2:305" hidden="1" x14ac:dyDescent="0.35">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c r="AN534"/>
      <c r="AO534"/>
      <c r="AP534"/>
      <c r="AQ534"/>
      <c r="AR534"/>
      <c r="AS534"/>
      <c r="AT534"/>
      <c r="AU534"/>
      <c r="AV534"/>
      <c r="AW534"/>
      <c r="AX534"/>
      <c r="AY534"/>
      <c r="AZ534"/>
      <c r="BA534"/>
      <c r="BB534"/>
      <c r="BC534"/>
      <c r="BD534"/>
      <c r="BE534"/>
      <c r="BF534"/>
      <c r="BG534"/>
      <c r="BH534"/>
      <c r="BI534"/>
      <c r="BJ534"/>
      <c r="BK534"/>
      <c r="BL534"/>
      <c r="BM534"/>
      <c r="BN534"/>
      <c r="BO534"/>
      <c r="BP534"/>
      <c r="BQ534"/>
      <c r="BR534"/>
      <c r="BS534"/>
      <c r="BT534"/>
      <c r="BU534"/>
      <c r="BV534"/>
      <c r="BW534"/>
      <c r="BX534"/>
      <c r="BY534"/>
      <c r="BZ534"/>
      <c r="CA534"/>
      <c r="CB534"/>
      <c r="CC534"/>
      <c r="CD534"/>
      <c r="CE534"/>
      <c r="CF534"/>
      <c r="CG534"/>
      <c r="CH534"/>
      <c r="CI534"/>
      <c r="CJ534"/>
      <c r="CK534"/>
      <c r="CL534"/>
      <c r="CM534"/>
      <c r="CN534"/>
      <c r="CO534"/>
      <c r="CP534"/>
      <c r="CQ534"/>
      <c r="CR534"/>
      <c r="CS534"/>
      <c r="CT534"/>
      <c r="CU534"/>
      <c r="CV534"/>
      <c r="CW534"/>
      <c r="CX534"/>
      <c r="CY534"/>
      <c r="CZ534"/>
      <c r="DA534"/>
      <c r="DB534"/>
      <c r="DC534"/>
      <c r="DD534"/>
      <c r="DE534"/>
      <c r="DF534"/>
      <c r="DG534"/>
      <c r="DH534"/>
      <c r="DI534"/>
      <c r="DJ534"/>
      <c r="DK534"/>
      <c r="DL534"/>
      <c r="DM534"/>
      <c r="DN534"/>
      <c r="DO534"/>
      <c r="DP534"/>
      <c r="DQ534"/>
      <c r="DR534"/>
      <c r="DS534"/>
      <c r="DT534"/>
      <c r="DU534"/>
      <c r="DV534"/>
      <c r="DW534"/>
      <c r="DX534"/>
      <c r="DY534"/>
      <c r="DZ534"/>
      <c r="EA534"/>
      <c r="EB534"/>
      <c r="EC534"/>
      <c r="ED534"/>
      <c r="EE534"/>
      <c r="EF534"/>
      <c r="EG534"/>
      <c r="EH534"/>
      <c r="EI534"/>
      <c r="EJ534"/>
      <c r="EK534"/>
      <c r="EL534"/>
      <c r="EM534"/>
      <c r="EN534"/>
      <c r="EO534"/>
      <c r="EP534"/>
      <c r="EQ534"/>
      <c r="ER534"/>
      <c r="ES534"/>
      <c r="ET534"/>
      <c r="EU534"/>
      <c r="EV534"/>
      <c r="EW534"/>
      <c r="EX534"/>
      <c r="EY534"/>
      <c r="EZ534"/>
      <c r="FA534"/>
      <c r="FB534"/>
      <c r="FC534"/>
      <c r="FD534"/>
      <c r="FE534"/>
      <c r="FF534"/>
      <c r="FG534"/>
      <c r="FH534"/>
      <c r="FI534"/>
      <c r="FJ534"/>
      <c r="FK534"/>
      <c r="FL534"/>
      <c r="FM534"/>
      <c r="FN534"/>
      <c r="FO534"/>
      <c r="FP534"/>
      <c r="FQ534"/>
      <c r="FR534"/>
      <c r="FS534"/>
      <c r="FT534"/>
      <c r="FU534"/>
      <c r="FV534"/>
      <c r="FW534"/>
      <c r="FX534"/>
      <c r="FY534"/>
      <c r="FZ534"/>
      <c r="GA534"/>
      <c r="GB534"/>
      <c r="GC534"/>
      <c r="GD534"/>
      <c r="GE534"/>
      <c r="GF534"/>
      <c r="GG534"/>
      <c r="GH534"/>
      <c r="GI534"/>
      <c r="GJ534"/>
      <c r="GK534"/>
      <c r="GL534"/>
      <c r="GM534"/>
      <c r="GN534"/>
      <c r="GO534"/>
      <c r="GP534"/>
      <c r="GQ534"/>
      <c r="GR534"/>
      <c r="GS534"/>
      <c r="GT534"/>
      <c r="GU534"/>
      <c r="GV534"/>
      <c r="GW534"/>
      <c r="GX534"/>
      <c r="GY534"/>
      <c r="GZ534"/>
      <c r="HA534"/>
      <c r="HB534"/>
      <c r="HC534"/>
      <c r="HD534"/>
      <c r="HE534"/>
      <c r="HF534"/>
      <c r="HG534"/>
      <c r="HH534"/>
      <c r="HI534"/>
      <c r="HJ534"/>
      <c r="HK534"/>
      <c r="HL534"/>
      <c r="HM534"/>
      <c r="HN534"/>
      <c r="HO534"/>
      <c r="HP534"/>
      <c r="HQ534"/>
      <c r="HR534"/>
      <c r="HS534"/>
      <c r="HT534"/>
      <c r="HU534"/>
      <c r="HV534"/>
      <c r="HW534"/>
      <c r="HX534"/>
      <c r="HY534"/>
      <c r="HZ534"/>
      <c r="IA534"/>
      <c r="IB534"/>
      <c r="IC534"/>
      <c r="ID534"/>
      <c r="IE534"/>
      <c r="IF534"/>
      <c r="IG534"/>
      <c r="IH534"/>
      <c r="II534"/>
      <c r="IJ534"/>
      <c r="IK534"/>
      <c r="IL534"/>
      <c r="IM534"/>
      <c r="IN534"/>
      <c r="IO534"/>
      <c r="IP534"/>
      <c r="IQ534"/>
      <c r="IR534"/>
      <c r="IS534"/>
      <c r="IT534"/>
      <c r="IU534"/>
      <c r="IV534"/>
      <c r="IW534"/>
      <c r="IX534"/>
      <c r="IY534"/>
      <c r="IZ534"/>
      <c r="JA534"/>
      <c r="JB534"/>
      <c r="JC534"/>
      <c r="JD534"/>
      <c r="JE534"/>
      <c r="JF534"/>
      <c r="JG534"/>
      <c r="JH534"/>
      <c r="JI534"/>
      <c r="JJ534"/>
      <c r="JK534"/>
      <c r="JL534"/>
      <c r="JM534"/>
      <c r="JN534"/>
      <c r="JO534"/>
      <c r="JP534"/>
      <c r="JQ534"/>
      <c r="JR534"/>
      <c r="JS534"/>
      <c r="JT534"/>
      <c r="JU534"/>
      <c r="JV534"/>
      <c r="JW534"/>
      <c r="JX534"/>
      <c r="JY534"/>
      <c r="JZ534"/>
      <c r="KA534"/>
      <c r="KB534"/>
      <c r="KC534"/>
      <c r="KD534"/>
      <c r="KE534"/>
      <c r="KF534"/>
      <c r="KG534"/>
      <c r="KH534"/>
      <c r="KI534"/>
      <c r="KJ534"/>
      <c r="KK534"/>
      <c r="KL534"/>
      <c r="KM534"/>
      <c r="KN534"/>
      <c r="KO534"/>
      <c r="KP534"/>
      <c r="KQ534"/>
      <c r="KR534"/>
      <c r="KS534"/>
    </row>
    <row r="535" spans="2:305" hidden="1" x14ac:dyDescent="0.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c r="AN535"/>
      <c r="AO535"/>
      <c r="AP535"/>
      <c r="AQ535"/>
      <c r="AR535"/>
      <c r="AS535"/>
      <c r="AT535"/>
      <c r="AU535"/>
      <c r="AV535"/>
      <c r="AW535"/>
      <c r="AX535"/>
      <c r="AY535"/>
      <c r="AZ535"/>
      <c r="BA535"/>
      <c r="BB535"/>
      <c r="BC535"/>
      <c r="BD535"/>
      <c r="BE535"/>
      <c r="BF535"/>
      <c r="BG535"/>
      <c r="BH535"/>
      <c r="BI535"/>
      <c r="BJ535"/>
      <c r="BK535"/>
      <c r="BL535"/>
      <c r="BM535"/>
      <c r="BN535"/>
      <c r="BO535"/>
      <c r="BP535"/>
      <c r="BQ535"/>
      <c r="BR535"/>
      <c r="BS535"/>
      <c r="BT535"/>
      <c r="BU535"/>
      <c r="BV535"/>
      <c r="BW535"/>
      <c r="BX535"/>
      <c r="BY535"/>
      <c r="BZ535"/>
      <c r="CA535"/>
      <c r="CB535"/>
      <c r="CC535"/>
      <c r="CD535"/>
      <c r="CE535"/>
      <c r="CF535"/>
      <c r="CG535"/>
      <c r="CH535"/>
      <c r="CI535"/>
      <c r="CJ535"/>
      <c r="CK535"/>
      <c r="CL535"/>
      <c r="CM535"/>
      <c r="CN535"/>
      <c r="CO535"/>
      <c r="CP535"/>
      <c r="CQ535"/>
      <c r="CR535"/>
      <c r="CS535"/>
      <c r="CT535"/>
      <c r="CU535"/>
      <c r="CV535"/>
      <c r="CW535"/>
      <c r="CX535"/>
      <c r="CY535"/>
      <c r="CZ535"/>
      <c r="DA535"/>
      <c r="DB535"/>
      <c r="DC535"/>
      <c r="DD535"/>
      <c r="DE535"/>
      <c r="DF535"/>
      <c r="DG535"/>
      <c r="DH535"/>
      <c r="DI535"/>
      <c r="DJ535"/>
      <c r="DK535"/>
      <c r="DL535"/>
      <c r="DM535"/>
      <c r="DN535"/>
      <c r="DO535"/>
      <c r="DP535"/>
      <c r="DQ535"/>
      <c r="DR535"/>
      <c r="DS535"/>
      <c r="DT535"/>
      <c r="DU535"/>
      <c r="DV535"/>
      <c r="DW535"/>
      <c r="DX535"/>
      <c r="DY535"/>
      <c r="DZ535"/>
      <c r="EA535"/>
      <c r="EB535"/>
      <c r="EC535"/>
      <c r="ED535"/>
      <c r="EE535"/>
      <c r="EF535"/>
      <c r="EG535"/>
      <c r="EH535"/>
      <c r="EI535"/>
      <c r="EJ535"/>
      <c r="EK535"/>
      <c r="EL535"/>
      <c r="EM535"/>
      <c r="EN535"/>
      <c r="EO535"/>
      <c r="EP535"/>
      <c r="EQ535"/>
      <c r="ER535"/>
      <c r="ES535"/>
      <c r="ET535"/>
      <c r="EU535"/>
      <c r="EV535"/>
      <c r="EW535"/>
      <c r="EX535"/>
      <c r="EY535"/>
      <c r="EZ535"/>
      <c r="FA535"/>
      <c r="FB535"/>
      <c r="FC535"/>
      <c r="FD535"/>
      <c r="FE535"/>
      <c r="FF535"/>
      <c r="FG535"/>
      <c r="FH535"/>
      <c r="FI535"/>
      <c r="FJ535"/>
      <c r="FK535"/>
      <c r="FL535"/>
      <c r="FM535"/>
      <c r="FN535"/>
      <c r="FO535"/>
      <c r="FP535"/>
      <c r="FQ535"/>
      <c r="FR535"/>
      <c r="FS535"/>
      <c r="FT535"/>
      <c r="FU535"/>
      <c r="FV535"/>
      <c r="FW535"/>
      <c r="FX535"/>
      <c r="FY535"/>
      <c r="FZ535"/>
      <c r="GA535"/>
      <c r="GB535"/>
      <c r="GC535"/>
      <c r="GD535"/>
      <c r="GE535"/>
      <c r="GF535"/>
      <c r="GG535"/>
      <c r="GH535"/>
      <c r="GI535"/>
      <c r="GJ535"/>
      <c r="GK535"/>
      <c r="GL535"/>
      <c r="GM535"/>
      <c r="GN535"/>
      <c r="GO535"/>
      <c r="GP535"/>
      <c r="GQ535"/>
      <c r="GR535"/>
      <c r="GS535"/>
      <c r="GT535"/>
      <c r="GU535"/>
      <c r="GV535"/>
      <c r="GW535"/>
      <c r="GX535"/>
      <c r="GY535"/>
      <c r="GZ535"/>
      <c r="HA535"/>
      <c r="HB535"/>
      <c r="HC535"/>
      <c r="HD535"/>
      <c r="HE535"/>
      <c r="HF535"/>
      <c r="HG535"/>
      <c r="HH535"/>
      <c r="HI535"/>
      <c r="HJ535"/>
      <c r="HK535"/>
      <c r="HL535"/>
      <c r="HM535"/>
      <c r="HN535"/>
      <c r="HO535"/>
      <c r="HP535"/>
      <c r="HQ535"/>
      <c r="HR535"/>
      <c r="HS535"/>
      <c r="HT535"/>
      <c r="HU535"/>
      <c r="HV535"/>
      <c r="HW535"/>
      <c r="HX535"/>
      <c r="HY535"/>
      <c r="HZ535"/>
      <c r="IA535"/>
      <c r="IB535"/>
      <c r="IC535"/>
      <c r="ID535"/>
      <c r="IE535"/>
      <c r="IF535"/>
      <c r="IG535"/>
      <c r="IH535"/>
      <c r="II535"/>
      <c r="IJ535"/>
      <c r="IK535"/>
      <c r="IL535"/>
      <c r="IM535"/>
      <c r="IN535"/>
      <c r="IO535"/>
      <c r="IP535"/>
      <c r="IQ535"/>
      <c r="IR535"/>
      <c r="IS535"/>
      <c r="IT535"/>
      <c r="IU535"/>
      <c r="IV535"/>
      <c r="IW535"/>
      <c r="IX535"/>
      <c r="IY535"/>
      <c r="IZ535"/>
      <c r="JA535"/>
      <c r="JB535"/>
      <c r="JC535"/>
      <c r="JD535"/>
      <c r="JE535"/>
      <c r="JF535"/>
      <c r="JG535"/>
      <c r="JH535"/>
      <c r="JI535"/>
      <c r="JJ535"/>
      <c r="JK535"/>
      <c r="JL535"/>
      <c r="JM535"/>
      <c r="JN535"/>
      <c r="JO535"/>
      <c r="JP535"/>
      <c r="JQ535"/>
      <c r="JR535"/>
      <c r="JS535"/>
      <c r="JT535"/>
      <c r="JU535"/>
      <c r="JV535"/>
      <c r="JW535"/>
      <c r="JX535"/>
      <c r="JY535"/>
      <c r="JZ535"/>
      <c r="KA535"/>
      <c r="KB535"/>
      <c r="KC535"/>
      <c r="KD535"/>
      <c r="KE535"/>
      <c r="KF535"/>
      <c r="KG535"/>
      <c r="KH535"/>
      <c r="KI535"/>
      <c r="KJ535"/>
      <c r="KK535"/>
      <c r="KL535"/>
      <c r="KM535"/>
      <c r="KN535"/>
      <c r="KO535"/>
      <c r="KP535"/>
      <c r="KQ535"/>
      <c r="KR535"/>
      <c r="KS535"/>
    </row>
    <row r="536" spans="2:305" hidden="1" x14ac:dyDescent="0.35">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c r="AN536"/>
      <c r="AO536"/>
      <c r="AP536"/>
      <c r="AQ536"/>
      <c r="AR536"/>
      <c r="AS536"/>
      <c r="AT536"/>
      <c r="AU536"/>
      <c r="AV536"/>
      <c r="AW536"/>
      <c r="AX536"/>
      <c r="AY536"/>
      <c r="AZ536"/>
      <c r="BA536"/>
      <c r="BB536"/>
      <c r="BC536"/>
      <c r="BD536"/>
      <c r="BE536"/>
      <c r="BF536"/>
      <c r="BG536"/>
      <c r="BH536"/>
      <c r="BI536"/>
      <c r="BJ536"/>
      <c r="BK536"/>
      <c r="BL536"/>
      <c r="BM536"/>
      <c r="BN536"/>
      <c r="BO536"/>
      <c r="BP536"/>
      <c r="BQ536"/>
      <c r="BR536"/>
      <c r="BS536"/>
      <c r="BT536"/>
      <c r="BU536"/>
      <c r="BV536"/>
      <c r="BW536"/>
      <c r="BX536"/>
      <c r="BY536"/>
      <c r="BZ536"/>
      <c r="CA536"/>
      <c r="CB536"/>
      <c r="CC536"/>
      <c r="CD536"/>
      <c r="CE536"/>
      <c r="CF536"/>
      <c r="CG536"/>
      <c r="CH536"/>
      <c r="CI536"/>
      <c r="CJ536"/>
      <c r="CK536"/>
      <c r="CL536"/>
      <c r="CM536"/>
      <c r="CN536"/>
      <c r="CO536"/>
      <c r="CP536"/>
      <c r="CQ536"/>
      <c r="CR536"/>
      <c r="CS536"/>
      <c r="CT536"/>
      <c r="CU536"/>
      <c r="CV536"/>
      <c r="CW536"/>
      <c r="CX536"/>
      <c r="CY536"/>
      <c r="CZ536"/>
      <c r="DA536"/>
      <c r="DB536"/>
      <c r="DC536"/>
      <c r="DD536"/>
      <c r="DE536"/>
      <c r="DF536"/>
      <c r="DG536"/>
      <c r="DH536"/>
      <c r="DI536"/>
      <c r="DJ536"/>
      <c r="DK536"/>
      <c r="DL536"/>
      <c r="DM536"/>
      <c r="DN536"/>
      <c r="DO536"/>
      <c r="DP536"/>
      <c r="DQ536"/>
      <c r="DR536"/>
      <c r="DS536"/>
      <c r="DT536"/>
      <c r="DU536"/>
      <c r="DV536"/>
      <c r="DW536"/>
      <c r="DX536"/>
      <c r="DY536"/>
      <c r="DZ536"/>
      <c r="EA536"/>
      <c r="EB536"/>
      <c r="EC536"/>
      <c r="ED536"/>
      <c r="EE536"/>
      <c r="EF536"/>
      <c r="EG536"/>
      <c r="EH536"/>
      <c r="EI536"/>
      <c r="EJ536"/>
      <c r="EK536"/>
      <c r="EL536"/>
      <c r="EM536"/>
      <c r="EN536"/>
      <c r="EO536"/>
      <c r="EP536"/>
      <c r="EQ536"/>
      <c r="ER536"/>
      <c r="ES536"/>
      <c r="ET536"/>
      <c r="EU536"/>
      <c r="EV536"/>
      <c r="EW536"/>
      <c r="EX536"/>
      <c r="EY536"/>
      <c r="EZ536"/>
      <c r="FA536"/>
      <c r="FB536"/>
      <c r="FC536"/>
      <c r="FD536"/>
      <c r="FE536"/>
      <c r="FF536"/>
      <c r="FG536"/>
      <c r="FH536"/>
      <c r="FI536"/>
      <c r="FJ536"/>
      <c r="FK536"/>
      <c r="FL536"/>
      <c r="FM536"/>
      <c r="FN536"/>
      <c r="FO536"/>
      <c r="FP536"/>
      <c r="FQ536"/>
      <c r="FR536"/>
      <c r="FS536"/>
      <c r="FT536"/>
      <c r="FU536"/>
      <c r="FV536"/>
      <c r="FW536"/>
      <c r="FX536"/>
      <c r="FY536"/>
      <c r="FZ536"/>
      <c r="GA536"/>
      <c r="GB536"/>
      <c r="GC536"/>
      <c r="GD536"/>
      <c r="GE536"/>
      <c r="GF536"/>
      <c r="GG536"/>
      <c r="GH536"/>
      <c r="GI536"/>
      <c r="GJ536"/>
      <c r="GK536"/>
      <c r="GL536"/>
      <c r="GM536"/>
      <c r="GN536"/>
      <c r="GO536"/>
      <c r="GP536"/>
      <c r="GQ536"/>
      <c r="GR536"/>
      <c r="GS536"/>
      <c r="GT536"/>
      <c r="GU536"/>
      <c r="GV536"/>
      <c r="GW536"/>
      <c r="GX536"/>
      <c r="GY536"/>
      <c r="GZ536"/>
      <c r="HA536"/>
      <c r="HB536"/>
      <c r="HC536"/>
      <c r="HD536"/>
      <c r="HE536"/>
      <c r="HF536"/>
      <c r="HG536"/>
      <c r="HH536"/>
      <c r="HI536"/>
      <c r="HJ536"/>
      <c r="HK536"/>
      <c r="HL536"/>
      <c r="HM536"/>
      <c r="HN536"/>
      <c r="HO536"/>
      <c r="HP536"/>
      <c r="HQ536"/>
      <c r="HR536"/>
      <c r="HS536"/>
      <c r="HT536"/>
      <c r="HU536"/>
      <c r="HV536"/>
      <c r="HW536"/>
      <c r="HX536"/>
      <c r="HY536"/>
      <c r="HZ536"/>
      <c r="IA536"/>
      <c r="IB536"/>
      <c r="IC536"/>
      <c r="ID536"/>
      <c r="IE536"/>
      <c r="IF536"/>
      <c r="IG536"/>
      <c r="IH536"/>
      <c r="II536"/>
      <c r="IJ536"/>
      <c r="IK536"/>
      <c r="IL536"/>
      <c r="IM536"/>
      <c r="IN536"/>
      <c r="IO536"/>
      <c r="IP536"/>
      <c r="IQ536"/>
      <c r="IR536"/>
      <c r="IS536"/>
      <c r="IT536"/>
      <c r="IU536"/>
      <c r="IV536"/>
      <c r="IW536"/>
      <c r="IX536"/>
      <c r="IY536"/>
      <c r="IZ536"/>
      <c r="JA536"/>
      <c r="JB536"/>
      <c r="JC536"/>
      <c r="JD536"/>
      <c r="JE536"/>
      <c r="JF536"/>
      <c r="JG536"/>
      <c r="JH536"/>
      <c r="JI536"/>
      <c r="JJ536"/>
      <c r="JK536"/>
      <c r="JL536"/>
      <c r="JM536"/>
      <c r="JN536"/>
      <c r="JO536"/>
      <c r="JP536"/>
      <c r="JQ536"/>
      <c r="JR536"/>
      <c r="JS536"/>
      <c r="JT536"/>
      <c r="JU536"/>
      <c r="JV536"/>
      <c r="JW536"/>
      <c r="JX536"/>
      <c r="JY536"/>
      <c r="JZ536"/>
      <c r="KA536"/>
      <c r="KB536"/>
      <c r="KC536"/>
      <c r="KD536"/>
      <c r="KE536"/>
      <c r="KF536"/>
      <c r="KG536"/>
      <c r="KH536"/>
      <c r="KI536"/>
      <c r="KJ536"/>
      <c r="KK536"/>
      <c r="KL536"/>
      <c r="KM536"/>
      <c r="KN536"/>
      <c r="KO536"/>
      <c r="KP536"/>
      <c r="KQ536"/>
      <c r="KR536"/>
      <c r="KS536"/>
    </row>
    <row r="537" spans="2:305" hidden="1" x14ac:dyDescent="0.35">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c r="AN537"/>
      <c r="AO537"/>
      <c r="AP537"/>
      <c r="AQ537"/>
      <c r="AR537"/>
      <c r="AS537"/>
      <c r="AT537"/>
      <c r="AU537"/>
      <c r="AV537"/>
      <c r="AW537"/>
      <c r="AX537"/>
      <c r="AY537"/>
      <c r="AZ537"/>
      <c r="BA537"/>
      <c r="BB537"/>
      <c r="BC537"/>
      <c r="BD537"/>
      <c r="BE537"/>
      <c r="BF537"/>
      <c r="BG537"/>
      <c r="BH537"/>
      <c r="BI537"/>
      <c r="BJ537"/>
      <c r="BK537"/>
      <c r="BL537"/>
      <c r="BM537"/>
      <c r="BN537"/>
      <c r="BO537"/>
      <c r="BP537"/>
      <c r="BQ537"/>
      <c r="BR537"/>
      <c r="BS537"/>
      <c r="BT537"/>
      <c r="BU537"/>
      <c r="BV537"/>
      <c r="BW537"/>
      <c r="BX537"/>
      <c r="BY537"/>
      <c r="BZ537"/>
      <c r="CA537"/>
      <c r="CB537"/>
      <c r="CC537"/>
      <c r="CD537"/>
      <c r="CE537"/>
      <c r="CF537"/>
      <c r="CG537"/>
      <c r="CH537"/>
      <c r="CI537"/>
      <c r="CJ537"/>
      <c r="CK537"/>
      <c r="CL537"/>
      <c r="CM537"/>
      <c r="CN537"/>
      <c r="CO537"/>
      <c r="CP537"/>
      <c r="CQ537"/>
      <c r="CR537"/>
      <c r="CS537"/>
      <c r="CT537"/>
      <c r="CU537"/>
      <c r="CV537"/>
      <c r="CW537"/>
      <c r="CX537"/>
      <c r="CY537"/>
      <c r="CZ537"/>
      <c r="DA537"/>
      <c r="DB537"/>
      <c r="DC537"/>
      <c r="DD537"/>
      <c r="DE537"/>
      <c r="DF537"/>
      <c r="DG537"/>
      <c r="DH537"/>
      <c r="DI537"/>
      <c r="DJ537"/>
      <c r="DK537"/>
      <c r="DL537"/>
      <c r="DM537"/>
      <c r="DN537"/>
      <c r="DO537"/>
      <c r="DP537"/>
      <c r="DQ537"/>
      <c r="DR537"/>
      <c r="DS537"/>
      <c r="DT537"/>
      <c r="DU537"/>
      <c r="DV537"/>
      <c r="DW537"/>
      <c r="DX537"/>
      <c r="DY537"/>
      <c r="DZ537"/>
      <c r="EA537"/>
      <c r="EB537"/>
      <c r="EC537"/>
      <c r="ED537"/>
      <c r="EE537"/>
      <c r="EF537"/>
      <c r="EG537"/>
      <c r="EH537"/>
      <c r="EI537"/>
      <c r="EJ537"/>
      <c r="EK537"/>
      <c r="EL537"/>
      <c r="EM537"/>
      <c r="EN537"/>
      <c r="EO537"/>
      <c r="EP537"/>
      <c r="EQ537"/>
      <c r="ER537"/>
      <c r="ES537"/>
      <c r="ET537"/>
      <c r="EU537"/>
      <c r="EV537"/>
      <c r="EW537"/>
      <c r="EX537"/>
      <c r="EY537"/>
      <c r="EZ537"/>
      <c r="FA537"/>
      <c r="FB537"/>
      <c r="FC537"/>
      <c r="FD537"/>
      <c r="FE537"/>
      <c r="FF537"/>
      <c r="FG537"/>
      <c r="FH537"/>
      <c r="FI537"/>
      <c r="FJ537"/>
      <c r="FK537"/>
      <c r="FL537"/>
      <c r="FM537"/>
      <c r="FN537"/>
      <c r="FO537"/>
      <c r="FP537"/>
      <c r="FQ537"/>
      <c r="FR537"/>
      <c r="FS537"/>
      <c r="FT537"/>
      <c r="FU537"/>
      <c r="FV537"/>
      <c r="FW537"/>
      <c r="FX537"/>
      <c r="FY537"/>
      <c r="FZ537"/>
      <c r="GA537"/>
      <c r="GB537"/>
      <c r="GC537"/>
      <c r="GD537"/>
      <c r="GE537"/>
      <c r="GF537"/>
      <c r="GG537"/>
      <c r="GH537"/>
      <c r="GI537"/>
      <c r="GJ537"/>
      <c r="GK537"/>
      <c r="GL537"/>
      <c r="GM537"/>
      <c r="GN537"/>
      <c r="GO537"/>
      <c r="GP537"/>
      <c r="GQ537"/>
      <c r="GR537"/>
      <c r="GS537"/>
      <c r="GT537"/>
      <c r="GU537"/>
      <c r="GV537"/>
      <c r="GW537"/>
      <c r="GX537"/>
      <c r="GY537"/>
      <c r="GZ537"/>
      <c r="HA537"/>
      <c r="HB537"/>
      <c r="HC537"/>
      <c r="HD537"/>
      <c r="HE537"/>
      <c r="HF537"/>
      <c r="HG537"/>
      <c r="HH537"/>
      <c r="HI537"/>
      <c r="HJ537"/>
      <c r="HK537"/>
      <c r="HL537"/>
      <c r="HM537"/>
      <c r="HN537"/>
      <c r="HO537"/>
      <c r="HP537"/>
      <c r="HQ537"/>
      <c r="HR537"/>
      <c r="HS537"/>
      <c r="HT537"/>
      <c r="HU537"/>
      <c r="HV537"/>
      <c r="HW537"/>
      <c r="HX537"/>
      <c r="HY537"/>
      <c r="HZ537"/>
      <c r="IA537"/>
      <c r="IB537"/>
      <c r="IC537"/>
      <c r="ID537"/>
      <c r="IE537"/>
      <c r="IF537"/>
      <c r="IG537"/>
      <c r="IH537"/>
      <c r="II537"/>
      <c r="IJ537"/>
      <c r="IK537"/>
      <c r="IL537"/>
      <c r="IM537"/>
      <c r="IN537"/>
      <c r="IO537"/>
      <c r="IP537"/>
      <c r="IQ537"/>
      <c r="IR537"/>
      <c r="IS537"/>
      <c r="IT537"/>
      <c r="IU537"/>
      <c r="IV537"/>
      <c r="IW537"/>
      <c r="IX537"/>
      <c r="IY537"/>
      <c r="IZ537"/>
      <c r="JA537"/>
      <c r="JB537"/>
      <c r="JC537"/>
      <c r="JD537"/>
      <c r="JE537"/>
      <c r="JF537"/>
      <c r="JG537"/>
      <c r="JH537"/>
      <c r="JI537"/>
      <c r="JJ537"/>
      <c r="JK537"/>
      <c r="JL537"/>
      <c r="JM537"/>
      <c r="JN537"/>
      <c r="JO537"/>
      <c r="JP537"/>
      <c r="JQ537"/>
      <c r="JR537"/>
      <c r="JS537"/>
      <c r="JT537"/>
      <c r="JU537"/>
      <c r="JV537"/>
      <c r="JW537"/>
      <c r="JX537"/>
      <c r="JY537"/>
      <c r="JZ537"/>
      <c r="KA537"/>
      <c r="KB537"/>
      <c r="KC537"/>
      <c r="KD537"/>
      <c r="KE537"/>
      <c r="KF537"/>
      <c r="KG537"/>
      <c r="KH537"/>
      <c r="KI537"/>
      <c r="KJ537"/>
      <c r="KK537"/>
      <c r="KL537"/>
      <c r="KM537"/>
      <c r="KN537"/>
      <c r="KO537"/>
      <c r="KP537"/>
      <c r="KQ537"/>
      <c r="KR537"/>
      <c r="KS537"/>
    </row>
    <row r="538" spans="2:305" hidden="1" x14ac:dyDescent="0.35">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c r="AN538"/>
      <c r="AO538"/>
      <c r="AP538"/>
      <c r="AQ538"/>
      <c r="AR538"/>
      <c r="AS538"/>
      <c r="AT538"/>
      <c r="AU538"/>
      <c r="AV538"/>
      <c r="AW538"/>
      <c r="AX538"/>
      <c r="AY538"/>
      <c r="AZ538"/>
      <c r="BA538"/>
      <c r="BB538"/>
      <c r="BC538"/>
      <c r="BD538"/>
      <c r="BE538"/>
      <c r="BF538"/>
      <c r="BG538"/>
      <c r="BH538"/>
      <c r="BI538"/>
      <c r="BJ538"/>
      <c r="BK538"/>
      <c r="BL538"/>
      <c r="BM538"/>
      <c r="BN538"/>
      <c r="BO538"/>
      <c r="BP538"/>
      <c r="BQ538"/>
      <c r="BR538"/>
      <c r="BS538"/>
      <c r="BT538"/>
      <c r="BU538"/>
      <c r="BV538"/>
      <c r="BW538"/>
      <c r="BX538"/>
      <c r="BY538"/>
      <c r="BZ538"/>
      <c r="CA538"/>
      <c r="CB538"/>
      <c r="CC538"/>
      <c r="CD538"/>
      <c r="CE538"/>
      <c r="CF538"/>
      <c r="CG538"/>
      <c r="CH538"/>
      <c r="CI538"/>
      <c r="CJ538"/>
      <c r="CK538"/>
      <c r="CL538"/>
      <c r="CM538"/>
      <c r="CN538"/>
      <c r="CO538"/>
      <c r="CP538"/>
      <c r="CQ538"/>
      <c r="CR538"/>
      <c r="CS538"/>
      <c r="CT538"/>
      <c r="CU538"/>
      <c r="CV538"/>
      <c r="CW538"/>
      <c r="CX538"/>
      <c r="CY538"/>
      <c r="CZ538"/>
      <c r="DA538"/>
      <c r="DB538"/>
      <c r="DC538"/>
      <c r="DD538"/>
      <c r="DE538"/>
      <c r="DF538"/>
      <c r="DG538"/>
      <c r="DH538"/>
      <c r="DI538"/>
      <c r="DJ538"/>
      <c r="DK538"/>
      <c r="DL538"/>
      <c r="DM538"/>
      <c r="DN538"/>
      <c r="DO538"/>
      <c r="DP538"/>
      <c r="DQ538"/>
      <c r="DR538"/>
      <c r="DS538"/>
      <c r="DT538"/>
      <c r="DU538"/>
      <c r="DV538"/>
      <c r="DW538"/>
      <c r="DX538"/>
      <c r="DY538"/>
      <c r="DZ538"/>
      <c r="EA538"/>
      <c r="EB538"/>
      <c r="EC538"/>
      <c r="ED538"/>
      <c r="EE538"/>
      <c r="EF538"/>
      <c r="EG538"/>
      <c r="EH538"/>
      <c r="EI538"/>
      <c r="EJ538"/>
      <c r="EK538"/>
      <c r="EL538"/>
      <c r="EM538"/>
      <c r="EN538"/>
      <c r="EO538"/>
      <c r="EP538"/>
      <c r="EQ538"/>
      <c r="ER538"/>
      <c r="ES538"/>
      <c r="ET538"/>
      <c r="EU538"/>
      <c r="EV538"/>
      <c r="EW538"/>
      <c r="EX538"/>
      <c r="EY538"/>
      <c r="EZ538"/>
      <c r="FA538"/>
      <c r="FB538"/>
      <c r="FC538"/>
      <c r="FD538"/>
      <c r="FE538"/>
      <c r="FF538"/>
      <c r="FG538"/>
      <c r="FH538"/>
      <c r="FI538"/>
      <c r="FJ538"/>
      <c r="FK538"/>
      <c r="FL538"/>
      <c r="FM538"/>
      <c r="FN538"/>
      <c r="FO538"/>
      <c r="FP538"/>
      <c r="FQ538"/>
      <c r="FR538"/>
      <c r="FS538"/>
      <c r="FT538"/>
      <c r="FU538"/>
      <c r="FV538"/>
      <c r="FW538"/>
      <c r="FX538"/>
      <c r="FY538"/>
      <c r="FZ538"/>
      <c r="GA538"/>
      <c r="GB538"/>
      <c r="GC538"/>
      <c r="GD538"/>
      <c r="GE538"/>
      <c r="GF538"/>
      <c r="GG538"/>
      <c r="GH538"/>
      <c r="GI538"/>
      <c r="GJ538"/>
      <c r="GK538"/>
      <c r="GL538"/>
      <c r="GM538"/>
      <c r="GN538"/>
      <c r="GO538"/>
      <c r="GP538"/>
      <c r="GQ538"/>
      <c r="GR538"/>
      <c r="GS538"/>
      <c r="GT538"/>
      <c r="GU538"/>
      <c r="GV538"/>
      <c r="GW538"/>
      <c r="GX538"/>
      <c r="GY538"/>
      <c r="GZ538"/>
      <c r="HA538"/>
      <c r="HB538"/>
      <c r="HC538"/>
      <c r="HD538"/>
      <c r="HE538"/>
      <c r="HF538"/>
      <c r="HG538"/>
      <c r="HH538"/>
      <c r="HI538"/>
      <c r="HJ538"/>
      <c r="HK538"/>
      <c r="HL538"/>
      <c r="HM538"/>
      <c r="HN538"/>
      <c r="HO538"/>
      <c r="HP538"/>
      <c r="HQ538"/>
      <c r="HR538"/>
      <c r="HS538"/>
      <c r="HT538"/>
      <c r="HU538"/>
      <c r="HV538"/>
      <c r="HW538"/>
      <c r="HX538"/>
      <c r="HY538"/>
      <c r="HZ538"/>
      <c r="IA538"/>
      <c r="IB538"/>
      <c r="IC538"/>
      <c r="ID538"/>
      <c r="IE538"/>
      <c r="IF538"/>
      <c r="IG538"/>
      <c r="IH538"/>
      <c r="II538"/>
      <c r="IJ538"/>
      <c r="IK538"/>
      <c r="IL538"/>
      <c r="IM538"/>
      <c r="IN538"/>
      <c r="IO538"/>
      <c r="IP538"/>
      <c r="IQ538"/>
      <c r="IR538"/>
      <c r="IS538"/>
      <c r="IT538"/>
      <c r="IU538"/>
      <c r="IV538"/>
      <c r="IW538"/>
      <c r="IX538"/>
      <c r="IY538"/>
      <c r="IZ538"/>
      <c r="JA538"/>
      <c r="JB538"/>
      <c r="JC538"/>
      <c r="JD538"/>
      <c r="JE538"/>
      <c r="JF538"/>
      <c r="JG538"/>
      <c r="JH538"/>
      <c r="JI538"/>
      <c r="JJ538"/>
      <c r="JK538"/>
      <c r="JL538"/>
      <c r="JM538"/>
      <c r="JN538"/>
      <c r="JO538"/>
      <c r="JP538"/>
      <c r="JQ538"/>
      <c r="JR538"/>
      <c r="JS538"/>
      <c r="JT538"/>
      <c r="JU538"/>
      <c r="JV538"/>
      <c r="JW538"/>
      <c r="JX538"/>
      <c r="JY538"/>
      <c r="JZ538"/>
      <c r="KA538"/>
      <c r="KB538"/>
      <c r="KC538"/>
      <c r="KD538"/>
      <c r="KE538"/>
      <c r="KF538"/>
      <c r="KG538"/>
      <c r="KH538"/>
      <c r="KI538"/>
      <c r="KJ538"/>
      <c r="KK538"/>
      <c r="KL538"/>
      <c r="KM538"/>
      <c r="KN538"/>
      <c r="KO538"/>
      <c r="KP538"/>
      <c r="KQ538"/>
      <c r="KR538"/>
      <c r="KS538"/>
    </row>
    <row r="539" spans="2:305" hidden="1" x14ac:dyDescent="0.35">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c r="AN539"/>
      <c r="AO539"/>
      <c r="AP539"/>
      <c r="AQ539"/>
      <c r="AR539"/>
      <c r="AS539"/>
      <c r="AT539"/>
      <c r="AU539"/>
      <c r="AV539"/>
      <c r="AW539"/>
      <c r="AX539"/>
      <c r="AY539"/>
      <c r="AZ539"/>
      <c r="BA539"/>
      <c r="BB539"/>
      <c r="BC539"/>
      <c r="BD539"/>
      <c r="BE539"/>
      <c r="BF539"/>
      <c r="BG539"/>
      <c r="BH539"/>
      <c r="BI539"/>
      <c r="BJ539"/>
      <c r="BK539"/>
      <c r="BL539"/>
      <c r="BM539"/>
      <c r="BN539"/>
      <c r="BO539"/>
      <c r="BP539"/>
      <c r="BQ539"/>
      <c r="BR539"/>
      <c r="BS539"/>
      <c r="BT539"/>
      <c r="BU539"/>
      <c r="BV539"/>
      <c r="BW539"/>
      <c r="BX539"/>
      <c r="BY539"/>
      <c r="BZ539"/>
      <c r="CA539"/>
      <c r="CB539"/>
      <c r="CC539"/>
      <c r="CD539"/>
      <c r="CE539"/>
      <c r="CF539"/>
      <c r="CG539"/>
      <c r="CH539"/>
      <c r="CI539"/>
      <c r="CJ539"/>
      <c r="CK539"/>
      <c r="CL539"/>
      <c r="CM539"/>
      <c r="CN539"/>
      <c r="CO539"/>
      <c r="CP539"/>
      <c r="CQ539"/>
      <c r="CR539"/>
      <c r="CS539"/>
      <c r="CT539"/>
      <c r="CU539"/>
      <c r="CV539"/>
      <c r="CW539"/>
      <c r="CX539"/>
      <c r="CY539"/>
      <c r="CZ539"/>
      <c r="DA539"/>
      <c r="DB539"/>
      <c r="DC539"/>
      <c r="DD539"/>
      <c r="DE539"/>
      <c r="DF539"/>
      <c r="DG539"/>
      <c r="DH539"/>
      <c r="DI539"/>
      <c r="DJ539"/>
      <c r="DK539"/>
      <c r="DL539"/>
      <c r="DM539"/>
      <c r="DN539"/>
      <c r="DO539"/>
      <c r="DP539"/>
      <c r="DQ539"/>
      <c r="DR539"/>
      <c r="DS539"/>
      <c r="DT539"/>
      <c r="DU539"/>
      <c r="DV539"/>
      <c r="DW539"/>
      <c r="DX539"/>
      <c r="DY539"/>
      <c r="DZ539"/>
      <c r="EA539"/>
      <c r="EB539"/>
      <c r="EC539"/>
      <c r="ED539"/>
      <c r="EE539"/>
      <c r="EF539"/>
      <c r="EG539"/>
      <c r="EH539"/>
      <c r="EI539"/>
      <c r="EJ539"/>
      <c r="EK539"/>
      <c r="EL539"/>
      <c r="EM539"/>
      <c r="EN539"/>
      <c r="EO539"/>
      <c r="EP539"/>
      <c r="EQ539"/>
      <c r="ER539"/>
      <c r="ES539"/>
      <c r="ET539"/>
      <c r="EU539"/>
      <c r="EV539"/>
      <c r="EW539"/>
      <c r="EX539"/>
      <c r="EY539"/>
      <c r="EZ539"/>
      <c r="FA539"/>
      <c r="FB539"/>
      <c r="FC539"/>
      <c r="FD539"/>
      <c r="FE539"/>
      <c r="FF539"/>
      <c r="FG539"/>
      <c r="FH539"/>
      <c r="FI539"/>
      <c r="FJ539"/>
      <c r="FK539"/>
      <c r="FL539"/>
      <c r="FM539"/>
      <c r="FN539"/>
      <c r="FO539"/>
      <c r="FP539"/>
      <c r="FQ539"/>
      <c r="FR539"/>
      <c r="FS539"/>
      <c r="FT539"/>
      <c r="FU539"/>
      <c r="FV539"/>
      <c r="FW539"/>
      <c r="FX539"/>
      <c r="FY539"/>
      <c r="FZ539"/>
      <c r="GA539"/>
      <c r="GB539"/>
      <c r="GC539"/>
      <c r="GD539"/>
      <c r="GE539"/>
      <c r="GF539"/>
      <c r="GG539"/>
      <c r="GH539"/>
      <c r="GI539"/>
      <c r="GJ539"/>
      <c r="GK539"/>
      <c r="GL539"/>
      <c r="GM539"/>
      <c r="GN539"/>
      <c r="GO539"/>
      <c r="GP539"/>
      <c r="GQ539"/>
      <c r="GR539"/>
      <c r="GS539"/>
      <c r="GT539"/>
      <c r="GU539"/>
      <c r="GV539"/>
      <c r="GW539"/>
      <c r="GX539"/>
      <c r="GY539"/>
      <c r="GZ539"/>
      <c r="HA539"/>
      <c r="HB539"/>
      <c r="HC539"/>
      <c r="HD539"/>
      <c r="HE539"/>
      <c r="HF539"/>
      <c r="HG539"/>
      <c r="HH539"/>
      <c r="HI539"/>
      <c r="HJ539"/>
      <c r="HK539"/>
      <c r="HL539"/>
      <c r="HM539"/>
      <c r="HN539"/>
      <c r="HO539"/>
      <c r="HP539"/>
      <c r="HQ539"/>
      <c r="HR539"/>
      <c r="HS539"/>
      <c r="HT539"/>
      <c r="HU539"/>
      <c r="HV539"/>
      <c r="HW539"/>
      <c r="HX539"/>
      <c r="HY539"/>
      <c r="HZ539"/>
      <c r="IA539"/>
      <c r="IB539"/>
      <c r="IC539"/>
      <c r="ID539"/>
      <c r="IE539"/>
      <c r="IF539"/>
      <c r="IG539"/>
      <c r="IH539"/>
      <c r="II539"/>
      <c r="IJ539"/>
      <c r="IK539"/>
      <c r="IL539"/>
      <c r="IM539"/>
      <c r="IN539"/>
      <c r="IO539"/>
      <c r="IP539"/>
      <c r="IQ539"/>
      <c r="IR539"/>
      <c r="IS539"/>
      <c r="IT539"/>
      <c r="IU539"/>
      <c r="IV539"/>
      <c r="IW539"/>
      <c r="IX539"/>
      <c r="IY539"/>
      <c r="IZ539"/>
      <c r="JA539"/>
      <c r="JB539"/>
      <c r="JC539"/>
      <c r="JD539"/>
      <c r="JE539"/>
      <c r="JF539"/>
      <c r="JG539"/>
      <c r="JH539"/>
      <c r="JI539"/>
      <c r="JJ539"/>
      <c r="JK539"/>
      <c r="JL539"/>
      <c r="JM539"/>
      <c r="JN539"/>
      <c r="JO539"/>
      <c r="JP539"/>
      <c r="JQ539"/>
      <c r="JR539"/>
      <c r="JS539"/>
      <c r="JT539"/>
      <c r="JU539"/>
      <c r="JV539"/>
      <c r="JW539"/>
      <c r="JX539"/>
      <c r="JY539"/>
      <c r="JZ539"/>
      <c r="KA539"/>
      <c r="KB539"/>
      <c r="KC539"/>
      <c r="KD539"/>
      <c r="KE539"/>
      <c r="KF539"/>
      <c r="KG539"/>
      <c r="KH539"/>
      <c r="KI539"/>
      <c r="KJ539"/>
      <c r="KK539"/>
      <c r="KL539"/>
      <c r="KM539"/>
      <c r="KN539"/>
      <c r="KO539"/>
      <c r="KP539"/>
      <c r="KQ539"/>
      <c r="KR539"/>
      <c r="KS539"/>
    </row>
    <row r="540" spans="2:305" hidden="1" x14ac:dyDescent="0.35">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c r="AN540"/>
      <c r="AO540"/>
      <c r="AP540"/>
      <c r="AQ540"/>
      <c r="AR540"/>
      <c r="AS540"/>
      <c r="AT540"/>
      <c r="AU540"/>
      <c r="AV540"/>
      <c r="AW540"/>
      <c r="AX540"/>
      <c r="AY540"/>
      <c r="AZ540"/>
      <c r="BA540"/>
      <c r="BB540"/>
      <c r="BC540"/>
      <c r="BD540"/>
      <c r="BE540"/>
      <c r="BF540"/>
      <c r="BG540"/>
      <c r="BH540"/>
      <c r="BI540"/>
      <c r="BJ540"/>
      <c r="BK540"/>
      <c r="BL540"/>
      <c r="BM540"/>
      <c r="BN540"/>
      <c r="BO540"/>
      <c r="BP540"/>
      <c r="BQ540"/>
      <c r="BR540"/>
      <c r="BS540"/>
      <c r="BT540"/>
      <c r="BU540"/>
      <c r="BV540"/>
      <c r="BW540"/>
      <c r="BX540"/>
      <c r="BY540"/>
      <c r="BZ540"/>
      <c r="CA540"/>
      <c r="CB540"/>
      <c r="CC540"/>
      <c r="CD540"/>
      <c r="CE540"/>
      <c r="CF540"/>
      <c r="CG540"/>
      <c r="CH540"/>
      <c r="CI540"/>
      <c r="CJ540"/>
      <c r="CK540"/>
      <c r="CL540"/>
      <c r="CM540"/>
      <c r="CN540"/>
      <c r="CO540"/>
      <c r="CP540"/>
      <c r="CQ540"/>
      <c r="CR540"/>
      <c r="CS540"/>
      <c r="CT540"/>
      <c r="CU540"/>
      <c r="CV540"/>
      <c r="CW540"/>
      <c r="CX540"/>
      <c r="CY540"/>
      <c r="CZ540"/>
      <c r="DA540"/>
      <c r="DB540"/>
      <c r="DC540"/>
      <c r="DD540"/>
      <c r="DE540"/>
      <c r="DF540"/>
      <c r="DG540"/>
      <c r="DH540"/>
      <c r="DI540"/>
      <c r="DJ540"/>
      <c r="DK540"/>
      <c r="DL540"/>
      <c r="DM540"/>
      <c r="DN540"/>
      <c r="DO540"/>
      <c r="DP540"/>
      <c r="DQ540"/>
      <c r="DR540"/>
      <c r="DS540"/>
      <c r="DT540"/>
      <c r="DU540"/>
      <c r="DV540"/>
      <c r="DW540"/>
      <c r="DX540"/>
      <c r="DY540"/>
      <c r="DZ540"/>
      <c r="EA540"/>
      <c r="EB540"/>
      <c r="EC540"/>
      <c r="ED540"/>
      <c r="EE540"/>
      <c r="EF540"/>
      <c r="EG540"/>
      <c r="EH540"/>
      <c r="EI540"/>
      <c r="EJ540"/>
      <c r="EK540"/>
      <c r="EL540"/>
      <c r="EM540"/>
      <c r="EN540"/>
      <c r="EO540"/>
      <c r="EP540"/>
      <c r="EQ540"/>
      <c r="ER540"/>
      <c r="ES540"/>
      <c r="ET540"/>
      <c r="EU540"/>
      <c r="EV540"/>
      <c r="EW540"/>
      <c r="EX540"/>
      <c r="EY540"/>
      <c r="EZ540"/>
      <c r="FA540"/>
      <c r="FB540"/>
      <c r="FC540"/>
      <c r="FD540"/>
      <c r="FE540"/>
      <c r="FF540"/>
      <c r="FG540"/>
      <c r="FH540"/>
      <c r="FI540"/>
      <c r="FJ540"/>
      <c r="FK540"/>
      <c r="FL540"/>
      <c r="FM540"/>
      <c r="FN540"/>
      <c r="FO540"/>
      <c r="FP540"/>
      <c r="FQ540"/>
      <c r="FR540"/>
      <c r="FS540"/>
      <c r="FT540"/>
      <c r="FU540"/>
      <c r="FV540"/>
      <c r="FW540"/>
      <c r="FX540"/>
      <c r="FY540"/>
      <c r="FZ540"/>
      <c r="GA540"/>
      <c r="GB540"/>
      <c r="GC540"/>
      <c r="GD540"/>
      <c r="GE540"/>
      <c r="GF540"/>
      <c r="GG540"/>
      <c r="GH540"/>
      <c r="GI540"/>
      <c r="GJ540"/>
      <c r="GK540"/>
      <c r="GL540"/>
      <c r="GM540"/>
      <c r="GN540"/>
      <c r="GO540"/>
      <c r="GP540"/>
      <c r="GQ540"/>
      <c r="GR540"/>
      <c r="GS540"/>
      <c r="GT540"/>
      <c r="GU540"/>
      <c r="GV540"/>
      <c r="GW540"/>
      <c r="GX540"/>
      <c r="GY540"/>
      <c r="GZ540"/>
      <c r="HA540"/>
      <c r="HB540"/>
      <c r="HC540"/>
      <c r="HD540"/>
      <c r="HE540"/>
      <c r="HF540"/>
      <c r="HG540"/>
      <c r="HH540"/>
      <c r="HI540"/>
      <c r="HJ540"/>
      <c r="HK540"/>
      <c r="HL540"/>
      <c r="HM540"/>
      <c r="HN540"/>
      <c r="HO540"/>
      <c r="HP540"/>
      <c r="HQ540"/>
      <c r="HR540"/>
      <c r="HS540"/>
      <c r="HT540"/>
      <c r="HU540"/>
      <c r="HV540"/>
      <c r="HW540"/>
      <c r="HX540"/>
      <c r="HY540"/>
      <c r="HZ540"/>
      <c r="IA540"/>
      <c r="IB540"/>
      <c r="IC540"/>
      <c r="ID540"/>
      <c r="IE540"/>
      <c r="IF540"/>
      <c r="IG540"/>
      <c r="IH540"/>
      <c r="II540"/>
      <c r="IJ540"/>
      <c r="IK540"/>
      <c r="IL540"/>
      <c r="IM540"/>
      <c r="IN540"/>
      <c r="IO540"/>
      <c r="IP540"/>
      <c r="IQ540"/>
      <c r="IR540"/>
      <c r="IS540"/>
      <c r="IT540"/>
      <c r="IU540"/>
      <c r="IV540"/>
      <c r="IW540"/>
      <c r="IX540"/>
      <c r="IY540"/>
      <c r="IZ540"/>
      <c r="JA540"/>
      <c r="JB540"/>
      <c r="JC540"/>
      <c r="JD540"/>
      <c r="JE540"/>
      <c r="JF540"/>
      <c r="JG540"/>
      <c r="JH540"/>
      <c r="JI540"/>
      <c r="JJ540"/>
      <c r="JK540"/>
      <c r="JL540"/>
      <c r="JM540"/>
      <c r="JN540"/>
      <c r="JO540"/>
      <c r="JP540"/>
      <c r="JQ540"/>
      <c r="JR540"/>
      <c r="JS540"/>
      <c r="JT540"/>
      <c r="JU540"/>
      <c r="JV540"/>
      <c r="JW540"/>
      <c r="JX540"/>
      <c r="JY540"/>
      <c r="JZ540"/>
      <c r="KA540"/>
      <c r="KB540"/>
      <c r="KC540"/>
      <c r="KD540"/>
      <c r="KE540"/>
      <c r="KF540"/>
      <c r="KG540"/>
      <c r="KH540"/>
      <c r="KI540"/>
      <c r="KJ540"/>
      <c r="KK540"/>
      <c r="KL540"/>
      <c r="KM540"/>
      <c r="KN540"/>
      <c r="KO540"/>
      <c r="KP540"/>
      <c r="KQ540"/>
      <c r="KR540"/>
      <c r="KS540"/>
    </row>
    <row r="541" spans="2:305" hidden="1" x14ac:dyDescent="0.35">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c r="AN541"/>
      <c r="AO541"/>
      <c r="AP541"/>
      <c r="AQ541"/>
      <c r="AR541"/>
      <c r="AS541"/>
      <c r="AT541"/>
      <c r="AU541"/>
      <c r="AV541"/>
      <c r="AW541"/>
      <c r="AX541"/>
      <c r="AY541"/>
      <c r="AZ541"/>
      <c r="BA541"/>
      <c r="BB541"/>
      <c r="BC541"/>
      <c r="BD541"/>
      <c r="BE541"/>
      <c r="BF541"/>
      <c r="BG541"/>
      <c r="BH541"/>
      <c r="BI541"/>
      <c r="BJ541"/>
      <c r="BK541"/>
      <c r="BL541"/>
      <c r="BM541"/>
      <c r="BN541"/>
      <c r="BO541"/>
      <c r="BP541"/>
      <c r="BQ541"/>
      <c r="BR541"/>
      <c r="BS541"/>
      <c r="BT541"/>
      <c r="BU541"/>
      <c r="BV541"/>
      <c r="BW541"/>
      <c r="BX541"/>
      <c r="BY541"/>
      <c r="BZ541"/>
      <c r="CA541"/>
      <c r="CB541"/>
      <c r="CC541"/>
      <c r="CD541"/>
      <c r="CE541"/>
      <c r="CF541"/>
      <c r="CG541"/>
      <c r="CH541"/>
      <c r="CI541"/>
      <c r="CJ541"/>
      <c r="CK541"/>
      <c r="CL541"/>
      <c r="CM541"/>
      <c r="CN541"/>
      <c r="CO541"/>
      <c r="CP541"/>
      <c r="CQ541"/>
      <c r="CR541"/>
      <c r="CS541"/>
      <c r="CT541"/>
      <c r="CU541"/>
      <c r="CV541"/>
      <c r="CW541"/>
      <c r="CX541"/>
      <c r="CY541"/>
      <c r="CZ541"/>
      <c r="DA541"/>
      <c r="DB541"/>
      <c r="DC541"/>
      <c r="DD541"/>
      <c r="DE541"/>
      <c r="DF541"/>
      <c r="DG541"/>
      <c r="DH541"/>
      <c r="DI541"/>
      <c r="DJ541"/>
      <c r="DK541"/>
      <c r="DL541"/>
      <c r="DM541"/>
      <c r="DN541"/>
      <c r="DO541"/>
      <c r="DP541"/>
      <c r="DQ541"/>
      <c r="DR541"/>
      <c r="DS541"/>
      <c r="DT541"/>
      <c r="DU541"/>
      <c r="DV541"/>
      <c r="DW541"/>
      <c r="DX541"/>
      <c r="DY541"/>
      <c r="DZ541"/>
      <c r="EA541"/>
      <c r="EB541"/>
      <c r="EC541"/>
      <c r="ED541"/>
      <c r="EE541"/>
      <c r="EF541"/>
      <c r="EG541"/>
      <c r="EH541"/>
      <c r="EI541"/>
      <c r="EJ541"/>
      <c r="EK541"/>
      <c r="EL541"/>
      <c r="EM541"/>
      <c r="EN541"/>
      <c r="EO541"/>
      <c r="EP541"/>
      <c r="EQ541"/>
      <c r="ER541"/>
      <c r="ES541"/>
      <c r="ET541"/>
      <c r="EU541"/>
      <c r="EV541"/>
      <c r="EW541"/>
      <c r="EX541"/>
      <c r="EY541"/>
      <c r="EZ541"/>
      <c r="FA541"/>
      <c r="FB541"/>
      <c r="FC541"/>
      <c r="FD541"/>
      <c r="FE541"/>
      <c r="FF541"/>
      <c r="FG541"/>
      <c r="FH541"/>
      <c r="FI541"/>
      <c r="FJ541"/>
      <c r="FK541"/>
      <c r="FL541"/>
      <c r="FM541"/>
      <c r="FN541"/>
      <c r="FO541"/>
      <c r="FP541"/>
      <c r="FQ541"/>
      <c r="FR541"/>
      <c r="FS541"/>
      <c r="FT541"/>
      <c r="FU541"/>
      <c r="FV541"/>
      <c r="FW541"/>
      <c r="FX541"/>
      <c r="FY541"/>
      <c r="FZ541"/>
      <c r="GA541"/>
      <c r="GB541"/>
      <c r="GC541"/>
      <c r="GD541"/>
      <c r="GE541"/>
      <c r="GF541"/>
      <c r="GG541"/>
      <c r="GH541"/>
      <c r="GI541"/>
      <c r="GJ541"/>
      <c r="GK541"/>
      <c r="GL541"/>
      <c r="GM541"/>
      <c r="GN541"/>
      <c r="GO541"/>
      <c r="GP541"/>
      <c r="GQ541"/>
      <c r="GR541"/>
      <c r="GS541"/>
      <c r="GT541"/>
      <c r="GU541"/>
      <c r="GV541"/>
      <c r="GW541"/>
      <c r="GX541"/>
      <c r="GY541"/>
      <c r="GZ541"/>
      <c r="HA541"/>
      <c r="HB541"/>
      <c r="HC541"/>
      <c r="HD541"/>
      <c r="HE541"/>
      <c r="HF541"/>
      <c r="HG541"/>
      <c r="HH541"/>
      <c r="HI541"/>
      <c r="HJ541"/>
      <c r="HK541"/>
      <c r="HL541"/>
      <c r="HM541"/>
      <c r="HN541"/>
      <c r="HO541"/>
      <c r="HP541"/>
      <c r="HQ541"/>
      <c r="HR541"/>
      <c r="HS541"/>
      <c r="HT541"/>
      <c r="HU541"/>
      <c r="HV541"/>
      <c r="HW541"/>
      <c r="HX541"/>
      <c r="HY541"/>
      <c r="HZ541"/>
      <c r="IA541"/>
      <c r="IB541"/>
      <c r="IC541"/>
      <c r="ID541"/>
      <c r="IE541"/>
      <c r="IF541"/>
      <c r="IG541"/>
      <c r="IH541"/>
      <c r="II541"/>
      <c r="IJ541"/>
      <c r="IK541"/>
      <c r="IL541"/>
      <c r="IM541"/>
      <c r="IN541"/>
      <c r="IO541"/>
      <c r="IP541"/>
      <c r="IQ541"/>
      <c r="IR541"/>
      <c r="IS541"/>
      <c r="IT541"/>
      <c r="IU541"/>
      <c r="IV541"/>
      <c r="IW541"/>
      <c r="IX541"/>
      <c r="IY541"/>
      <c r="IZ541"/>
      <c r="JA541"/>
      <c r="JB541"/>
      <c r="JC541"/>
      <c r="JD541"/>
      <c r="JE541"/>
      <c r="JF541"/>
      <c r="JG541"/>
      <c r="JH541"/>
      <c r="JI541"/>
      <c r="JJ541"/>
      <c r="JK541"/>
      <c r="JL541"/>
      <c r="JM541"/>
      <c r="JN541"/>
      <c r="JO541"/>
      <c r="JP541"/>
      <c r="JQ541"/>
      <c r="JR541"/>
      <c r="JS541"/>
      <c r="JT541"/>
      <c r="JU541"/>
      <c r="JV541"/>
      <c r="JW541"/>
      <c r="JX541"/>
      <c r="JY541"/>
      <c r="JZ541"/>
      <c r="KA541"/>
      <c r="KB541"/>
      <c r="KC541"/>
      <c r="KD541"/>
      <c r="KE541"/>
      <c r="KF541"/>
      <c r="KG541"/>
      <c r="KH541"/>
      <c r="KI541"/>
      <c r="KJ541"/>
      <c r="KK541"/>
      <c r="KL541"/>
      <c r="KM541"/>
      <c r="KN541"/>
      <c r="KO541"/>
      <c r="KP541"/>
      <c r="KQ541"/>
      <c r="KR541"/>
      <c r="KS541"/>
    </row>
    <row r="542" spans="2:305" hidden="1" x14ac:dyDescent="0.35">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c r="AN542"/>
      <c r="AO542"/>
      <c r="AP542"/>
      <c r="AQ542"/>
      <c r="AR542"/>
      <c r="AS542"/>
      <c r="AT542"/>
      <c r="AU542"/>
      <c r="AV542"/>
      <c r="AW542"/>
      <c r="AX542"/>
      <c r="AY542"/>
      <c r="AZ542"/>
      <c r="BA542"/>
      <c r="BB542"/>
      <c r="BC542"/>
      <c r="BD542"/>
      <c r="BE542"/>
      <c r="BF542"/>
      <c r="BG542"/>
      <c r="BH542"/>
      <c r="BI542"/>
      <c r="BJ542"/>
      <c r="BK542"/>
      <c r="BL542"/>
      <c r="BM542"/>
      <c r="BN542"/>
      <c r="BO542"/>
      <c r="BP542"/>
      <c r="BQ542"/>
      <c r="BR542"/>
      <c r="BS542"/>
      <c r="BT542"/>
      <c r="BU542"/>
      <c r="BV542"/>
      <c r="BW542"/>
      <c r="BX542"/>
      <c r="BY542"/>
      <c r="BZ542"/>
      <c r="CA542"/>
      <c r="CB542"/>
      <c r="CC542"/>
      <c r="CD542"/>
      <c r="CE542"/>
      <c r="CF542"/>
      <c r="CG542"/>
      <c r="CH542"/>
      <c r="CI542"/>
      <c r="CJ542"/>
      <c r="CK542"/>
      <c r="CL542"/>
      <c r="CM542"/>
      <c r="CN542"/>
      <c r="CO542"/>
      <c r="CP542"/>
      <c r="CQ542"/>
      <c r="CR542"/>
      <c r="CS542"/>
      <c r="CT542"/>
      <c r="CU542"/>
      <c r="CV542"/>
      <c r="CW542"/>
      <c r="CX542"/>
      <c r="CY542"/>
      <c r="CZ542"/>
      <c r="DA542"/>
      <c r="DB542"/>
      <c r="DC542"/>
      <c r="DD542"/>
      <c r="DE542"/>
      <c r="DF542"/>
      <c r="DG542"/>
      <c r="DH542"/>
      <c r="DI542"/>
      <c r="DJ542"/>
      <c r="DK542"/>
      <c r="DL542"/>
      <c r="DM542"/>
      <c r="DN542"/>
      <c r="DO542"/>
      <c r="DP542"/>
      <c r="DQ542"/>
      <c r="DR542"/>
      <c r="DS542"/>
      <c r="DT542"/>
      <c r="DU542"/>
      <c r="DV542"/>
      <c r="DW542"/>
      <c r="DX542"/>
      <c r="DY542"/>
      <c r="DZ542"/>
      <c r="EA542"/>
      <c r="EB542"/>
      <c r="EC542"/>
      <c r="ED542"/>
      <c r="EE542"/>
      <c r="EF542"/>
      <c r="EG542"/>
      <c r="EH542"/>
      <c r="EI542"/>
      <c r="EJ542"/>
      <c r="EK542"/>
      <c r="EL542"/>
      <c r="EM542"/>
      <c r="EN542"/>
      <c r="EO542"/>
      <c r="EP542"/>
      <c r="EQ542"/>
      <c r="ER542"/>
      <c r="ES542"/>
      <c r="ET542"/>
      <c r="EU542"/>
      <c r="EV542"/>
      <c r="EW542"/>
      <c r="EX542"/>
      <c r="EY542"/>
      <c r="EZ542"/>
      <c r="FA542"/>
      <c r="FB542"/>
      <c r="FC542"/>
      <c r="FD542"/>
      <c r="FE542"/>
      <c r="FF542"/>
      <c r="FG542"/>
      <c r="FH542"/>
      <c r="FI542"/>
      <c r="FJ542"/>
      <c r="FK542"/>
      <c r="FL542"/>
      <c r="FM542"/>
      <c r="FN542"/>
      <c r="FO542"/>
      <c r="FP542"/>
      <c r="FQ542"/>
      <c r="FR542"/>
      <c r="FS542"/>
      <c r="FT542"/>
      <c r="FU542"/>
      <c r="FV542"/>
      <c r="FW542"/>
      <c r="FX542"/>
      <c r="FY542"/>
      <c r="FZ542"/>
      <c r="GA542"/>
      <c r="GB542"/>
      <c r="GC542"/>
      <c r="GD542"/>
      <c r="GE542"/>
      <c r="GF542"/>
      <c r="GG542"/>
      <c r="GH542"/>
      <c r="GI542"/>
      <c r="GJ542"/>
      <c r="GK542"/>
      <c r="GL542"/>
      <c r="GM542"/>
      <c r="GN542"/>
      <c r="GO542"/>
      <c r="GP542"/>
      <c r="GQ542"/>
      <c r="GR542"/>
      <c r="GS542"/>
      <c r="GT542"/>
      <c r="GU542"/>
      <c r="GV542"/>
      <c r="GW542"/>
      <c r="GX542"/>
      <c r="GY542"/>
      <c r="GZ542"/>
      <c r="HA542"/>
      <c r="HB542"/>
      <c r="HC542"/>
      <c r="HD542"/>
      <c r="HE542"/>
      <c r="HF542"/>
      <c r="HG542"/>
      <c r="HH542"/>
      <c r="HI542"/>
      <c r="HJ542"/>
      <c r="HK542"/>
      <c r="HL542"/>
      <c r="HM542"/>
      <c r="HN542"/>
      <c r="HO542"/>
      <c r="HP542"/>
      <c r="HQ542"/>
      <c r="HR542"/>
      <c r="HS542"/>
      <c r="HT542"/>
      <c r="HU542"/>
      <c r="HV542"/>
      <c r="HW542"/>
      <c r="HX542"/>
      <c r="HY542"/>
      <c r="HZ542"/>
      <c r="IA542"/>
      <c r="IB542"/>
      <c r="IC542"/>
      <c r="ID542"/>
      <c r="IE542"/>
      <c r="IF542"/>
      <c r="IG542"/>
      <c r="IH542"/>
      <c r="II542"/>
      <c r="IJ542"/>
      <c r="IK542"/>
      <c r="IL542"/>
      <c r="IM542"/>
      <c r="IN542"/>
      <c r="IO542"/>
      <c r="IP542"/>
      <c r="IQ542"/>
      <c r="IR542"/>
      <c r="IS542"/>
      <c r="IT542"/>
      <c r="IU542"/>
      <c r="IV542"/>
      <c r="IW542"/>
      <c r="IX542"/>
      <c r="IY542"/>
      <c r="IZ542"/>
      <c r="JA542"/>
      <c r="JB542"/>
      <c r="JC542"/>
      <c r="JD542"/>
      <c r="JE542"/>
      <c r="JF542"/>
      <c r="JG542"/>
      <c r="JH542"/>
      <c r="JI542"/>
      <c r="JJ542"/>
      <c r="JK542"/>
      <c r="JL542"/>
      <c r="JM542"/>
      <c r="JN542"/>
      <c r="JO542"/>
      <c r="JP542"/>
      <c r="JQ542"/>
      <c r="JR542"/>
      <c r="JS542"/>
      <c r="JT542"/>
      <c r="JU542"/>
      <c r="JV542"/>
      <c r="JW542"/>
      <c r="JX542"/>
      <c r="JY542"/>
      <c r="JZ542"/>
      <c r="KA542"/>
      <c r="KB542"/>
      <c r="KC542"/>
      <c r="KD542"/>
      <c r="KE542"/>
      <c r="KF542"/>
      <c r="KG542"/>
      <c r="KH542"/>
      <c r="KI542"/>
      <c r="KJ542"/>
      <c r="KK542"/>
      <c r="KL542"/>
      <c r="KM542"/>
      <c r="KN542"/>
      <c r="KO542"/>
      <c r="KP542"/>
      <c r="KQ542"/>
      <c r="KR542"/>
      <c r="KS542"/>
    </row>
    <row r="543" spans="2:305" hidden="1" x14ac:dyDescent="0.35">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c r="AN543"/>
      <c r="AO543"/>
      <c r="AP543"/>
      <c r="AQ543"/>
      <c r="AR543"/>
      <c r="AS543"/>
      <c r="AT543"/>
      <c r="AU543"/>
      <c r="AV543"/>
      <c r="AW543"/>
      <c r="AX543"/>
      <c r="AY543"/>
      <c r="AZ543"/>
      <c r="BA543"/>
      <c r="BB543"/>
      <c r="BC543"/>
      <c r="BD543"/>
      <c r="BE543"/>
      <c r="BF543"/>
      <c r="BG543"/>
      <c r="BH543"/>
      <c r="BI543"/>
      <c r="BJ543"/>
      <c r="BK543"/>
      <c r="BL543"/>
      <c r="BM543"/>
      <c r="BN543"/>
      <c r="BO543"/>
      <c r="BP543"/>
      <c r="BQ543"/>
      <c r="BR543"/>
      <c r="BS543"/>
      <c r="BT543"/>
      <c r="BU543"/>
      <c r="BV543"/>
      <c r="BW543"/>
      <c r="BX543"/>
      <c r="BY543"/>
      <c r="BZ543"/>
      <c r="CA543"/>
      <c r="CB543"/>
      <c r="CC543"/>
      <c r="CD543"/>
      <c r="CE543"/>
      <c r="CF543"/>
      <c r="CG543"/>
      <c r="CH543"/>
      <c r="CI543"/>
      <c r="CJ543"/>
      <c r="CK543"/>
      <c r="CL543"/>
      <c r="CM543"/>
      <c r="CN543"/>
      <c r="CO543"/>
      <c r="CP543"/>
      <c r="CQ543"/>
      <c r="CR543"/>
      <c r="CS543"/>
      <c r="CT543"/>
      <c r="CU543"/>
      <c r="CV543"/>
      <c r="CW543"/>
      <c r="CX543"/>
      <c r="CY543"/>
      <c r="CZ543"/>
      <c r="DA543"/>
      <c r="DB543"/>
      <c r="DC543"/>
      <c r="DD543"/>
      <c r="DE543"/>
      <c r="DF543"/>
      <c r="DG543"/>
      <c r="DH543"/>
      <c r="DI543"/>
      <c r="DJ543"/>
      <c r="DK543"/>
      <c r="DL543"/>
      <c r="DM543"/>
      <c r="DN543"/>
      <c r="DO543"/>
      <c r="DP543"/>
      <c r="DQ543"/>
      <c r="DR543"/>
      <c r="DS543"/>
      <c r="DT543"/>
      <c r="DU543"/>
      <c r="DV543"/>
      <c r="DW543"/>
      <c r="DX543"/>
      <c r="DY543"/>
      <c r="DZ543"/>
      <c r="EA543"/>
      <c r="EB543"/>
      <c r="EC543"/>
      <c r="ED543"/>
      <c r="EE543"/>
      <c r="EF543"/>
      <c r="EG543"/>
      <c r="EH543"/>
      <c r="EI543"/>
      <c r="EJ543"/>
      <c r="EK543"/>
      <c r="EL543"/>
      <c r="EM543"/>
      <c r="EN543"/>
      <c r="EO543"/>
      <c r="EP543"/>
      <c r="EQ543"/>
      <c r="ER543"/>
      <c r="ES543"/>
      <c r="ET543"/>
      <c r="EU543"/>
      <c r="EV543"/>
      <c r="EW543"/>
      <c r="EX543"/>
      <c r="EY543"/>
      <c r="EZ543"/>
      <c r="FA543"/>
      <c r="FB543"/>
      <c r="FC543"/>
      <c r="FD543"/>
      <c r="FE543"/>
      <c r="FF543"/>
      <c r="FG543"/>
      <c r="FH543"/>
      <c r="FI543"/>
      <c r="FJ543"/>
      <c r="FK543"/>
      <c r="FL543"/>
      <c r="FM543"/>
      <c r="FN543"/>
      <c r="FO543"/>
      <c r="FP543"/>
      <c r="FQ543"/>
      <c r="FR543"/>
      <c r="FS543"/>
      <c r="FT543"/>
      <c r="FU543"/>
      <c r="FV543"/>
      <c r="FW543"/>
      <c r="FX543"/>
      <c r="FY543"/>
      <c r="FZ543"/>
      <c r="GA543"/>
      <c r="GB543"/>
      <c r="GC543"/>
      <c r="GD543"/>
      <c r="GE543"/>
      <c r="GF543"/>
      <c r="GG543"/>
      <c r="GH543"/>
      <c r="GI543"/>
      <c r="GJ543"/>
      <c r="GK543"/>
      <c r="GL543"/>
      <c r="GM543"/>
      <c r="GN543"/>
      <c r="GO543"/>
      <c r="GP543"/>
      <c r="GQ543"/>
      <c r="GR543"/>
      <c r="GS543"/>
      <c r="GT543"/>
      <c r="GU543"/>
      <c r="GV543"/>
      <c r="GW543"/>
      <c r="GX543"/>
      <c r="GY543"/>
      <c r="GZ543"/>
      <c r="HA543"/>
      <c r="HB543"/>
      <c r="HC543"/>
      <c r="HD543"/>
      <c r="HE543"/>
      <c r="HF543"/>
      <c r="HG543"/>
      <c r="HH543"/>
      <c r="HI543"/>
      <c r="HJ543"/>
      <c r="HK543"/>
      <c r="HL543"/>
      <c r="HM543"/>
      <c r="HN543"/>
      <c r="HO543"/>
      <c r="HP543"/>
      <c r="HQ543"/>
      <c r="HR543"/>
      <c r="HS543"/>
      <c r="HT543"/>
      <c r="HU543"/>
      <c r="HV543"/>
      <c r="HW543"/>
      <c r="HX543"/>
      <c r="HY543"/>
      <c r="HZ543"/>
      <c r="IA543"/>
      <c r="IB543"/>
      <c r="IC543"/>
      <c r="ID543"/>
      <c r="IE543"/>
      <c r="IF543"/>
      <c r="IG543"/>
      <c r="IH543"/>
      <c r="II543"/>
      <c r="IJ543"/>
      <c r="IK543"/>
      <c r="IL543"/>
      <c r="IM543"/>
      <c r="IN543"/>
      <c r="IO543"/>
      <c r="IP543"/>
      <c r="IQ543"/>
      <c r="IR543"/>
      <c r="IS543"/>
      <c r="IT543"/>
      <c r="IU543"/>
      <c r="IV543"/>
      <c r="IW543"/>
      <c r="IX543"/>
      <c r="IY543"/>
      <c r="IZ543"/>
      <c r="JA543"/>
      <c r="JB543"/>
      <c r="JC543"/>
      <c r="JD543"/>
      <c r="JE543"/>
      <c r="JF543"/>
      <c r="JG543"/>
      <c r="JH543"/>
      <c r="JI543"/>
      <c r="JJ543"/>
      <c r="JK543"/>
      <c r="JL543"/>
      <c r="JM543"/>
      <c r="JN543"/>
      <c r="JO543"/>
      <c r="JP543"/>
      <c r="JQ543"/>
      <c r="JR543"/>
      <c r="JS543"/>
      <c r="JT543"/>
      <c r="JU543"/>
      <c r="JV543"/>
      <c r="JW543"/>
      <c r="JX543"/>
      <c r="JY543"/>
      <c r="JZ543"/>
      <c r="KA543"/>
      <c r="KB543"/>
      <c r="KC543"/>
      <c r="KD543"/>
      <c r="KE543"/>
      <c r="KF543"/>
      <c r="KG543"/>
      <c r="KH543"/>
      <c r="KI543"/>
      <c r="KJ543"/>
      <c r="KK543"/>
      <c r="KL543"/>
      <c r="KM543"/>
      <c r="KN543"/>
      <c r="KO543"/>
      <c r="KP543"/>
      <c r="KQ543"/>
      <c r="KR543"/>
      <c r="KS543"/>
    </row>
    <row r="544" spans="2:305" hidden="1" x14ac:dyDescent="0.35">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c r="AN544"/>
      <c r="AO544"/>
      <c r="AP544"/>
      <c r="AQ544"/>
      <c r="AR544"/>
      <c r="AS544"/>
      <c r="AT544"/>
      <c r="AU544"/>
      <c r="AV544"/>
      <c r="AW544"/>
      <c r="AX544"/>
      <c r="AY544"/>
      <c r="AZ544"/>
      <c r="BA544"/>
      <c r="BB544"/>
      <c r="BC544"/>
      <c r="BD544"/>
      <c r="BE544"/>
      <c r="BF544"/>
      <c r="BG544"/>
      <c r="BH544"/>
      <c r="BI544"/>
      <c r="BJ544"/>
      <c r="BK544"/>
      <c r="BL544"/>
      <c r="BM544"/>
      <c r="BN544"/>
      <c r="BO544"/>
      <c r="BP544"/>
      <c r="BQ544"/>
      <c r="BR544"/>
      <c r="BS544"/>
      <c r="BT544"/>
      <c r="BU544"/>
      <c r="BV544"/>
      <c r="BW544"/>
      <c r="BX544"/>
      <c r="BY544"/>
      <c r="BZ544"/>
      <c r="CA544"/>
      <c r="CB544"/>
      <c r="CC544"/>
      <c r="CD544"/>
      <c r="CE544"/>
      <c r="CF544"/>
      <c r="CG544"/>
      <c r="CH544"/>
      <c r="CI544"/>
      <c r="CJ544"/>
      <c r="CK544"/>
      <c r="CL544"/>
      <c r="CM544"/>
      <c r="CN544"/>
      <c r="CO544"/>
      <c r="CP544"/>
      <c r="CQ544"/>
      <c r="CR544"/>
      <c r="CS544"/>
      <c r="CT544"/>
      <c r="CU544"/>
      <c r="CV544"/>
      <c r="CW544"/>
      <c r="CX544"/>
      <c r="CY544"/>
      <c r="CZ544"/>
      <c r="DA544"/>
      <c r="DB544"/>
      <c r="DC544"/>
      <c r="DD544"/>
      <c r="DE544"/>
      <c r="DF544"/>
      <c r="DG544"/>
      <c r="DH544"/>
      <c r="DI544"/>
      <c r="DJ544"/>
      <c r="DK544"/>
      <c r="DL544"/>
      <c r="DM544"/>
      <c r="DN544"/>
      <c r="DO544"/>
      <c r="DP544"/>
      <c r="DQ544"/>
      <c r="DR544"/>
      <c r="DS544"/>
      <c r="DT544"/>
      <c r="DU544"/>
      <c r="DV544"/>
      <c r="DW544"/>
      <c r="DX544"/>
      <c r="DY544"/>
      <c r="DZ544"/>
      <c r="EA544"/>
      <c r="EB544"/>
      <c r="EC544"/>
      <c r="ED544"/>
      <c r="EE544"/>
      <c r="EF544"/>
      <c r="EG544"/>
      <c r="EH544"/>
      <c r="EI544"/>
      <c r="EJ544"/>
      <c r="EK544"/>
      <c r="EL544"/>
      <c r="EM544"/>
      <c r="EN544"/>
      <c r="EO544"/>
      <c r="EP544"/>
      <c r="EQ544"/>
      <c r="ER544"/>
      <c r="ES544"/>
      <c r="ET544"/>
      <c r="EU544"/>
      <c r="EV544"/>
      <c r="EW544"/>
      <c r="EX544"/>
      <c r="EY544"/>
      <c r="EZ544"/>
      <c r="FA544"/>
      <c r="FB544"/>
      <c r="FC544"/>
      <c r="FD544"/>
      <c r="FE544"/>
      <c r="FF544"/>
      <c r="FG544"/>
      <c r="FH544"/>
      <c r="FI544"/>
      <c r="FJ544"/>
      <c r="FK544"/>
      <c r="FL544"/>
      <c r="FM544"/>
      <c r="FN544"/>
      <c r="FO544"/>
      <c r="FP544"/>
      <c r="FQ544"/>
      <c r="FR544"/>
      <c r="FS544"/>
      <c r="FT544"/>
      <c r="FU544"/>
      <c r="FV544"/>
      <c r="FW544"/>
      <c r="FX544"/>
      <c r="FY544"/>
      <c r="FZ544"/>
      <c r="GA544"/>
      <c r="GB544"/>
      <c r="GC544"/>
      <c r="GD544"/>
      <c r="GE544"/>
      <c r="GF544"/>
      <c r="GG544"/>
      <c r="GH544"/>
      <c r="GI544"/>
      <c r="GJ544"/>
      <c r="GK544"/>
      <c r="GL544"/>
      <c r="GM544"/>
      <c r="GN544"/>
      <c r="GO544"/>
      <c r="GP544"/>
      <c r="GQ544"/>
      <c r="GR544"/>
      <c r="GS544"/>
      <c r="GT544"/>
      <c r="GU544"/>
      <c r="GV544"/>
      <c r="GW544"/>
      <c r="GX544"/>
      <c r="GY544"/>
      <c r="GZ544"/>
      <c r="HA544"/>
      <c r="HB544"/>
      <c r="HC544"/>
      <c r="HD544"/>
      <c r="HE544"/>
      <c r="HF544"/>
      <c r="HG544"/>
      <c r="HH544"/>
      <c r="HI544"/>
      <c r="HJ544"/>
      <c r="HK544"/>
      <c r="HL544"/>
      <c r="HM544"/>
      <c r="HN544"/>
      <c r="HO544"/>
      <c r="HP544"/>
      <c r="HQ544"/>
      <c r="HR544"/>
      <c r="HS544"/>
      <c r="HT544"/>
      <c r="HU544"/>
      <c r="HV544"/>
      <c r="HW544"/>
      <c r="HX544"/>
      <c r="HY544"/>
      <c r="HZ544"/>
      <c r="IA544"/>
      <c r="IB544"/>
      <c r="IC544"/>
      <c r="ID544"/>
      <c r="IE544"/>
      <c r="IF544"/>
      <c r="IG544"/>
      <c r="IH544"/>
      <c r="II544"/>
      <c r="IJ544"/>
      <c r="IK544"/>
      <c r="IL544"/>
      <c r="IM544"/>
      <c r="IN544"/>
      <c r="IO544"/>
      <c r="IP544"/>
      <c r="IQ544"/>
      <c r="IR544"/>
      <c r="IS544"/>
      <c r="IT544"/>
      <c r="IU544"/>
      <c r="IV544"/>
      <c r="IW544"/>
      <c r="IX544"/>
      <c r="IY544"/>
      <c r="IZ544"/>
      <c r="JA544"/>
      <c r="JB544"/>
      <c r="JC544"/>
      <c r="JD544"/>
      <c r="JE544"/>
      <c r="JF544"/>
      <c r="JG544"/>
      <c r="JH544"/>
      <c r="JI544"/>
      <c r="JJ544"/>
      <c r="JK544"/>
      <c r="JL544"/>
      <c r="JM544"/>
      <c r="JN544"/>
      <c r="JO544"/>
      <c r="JP544"/>
      <c r="JQ544"/>
      <c r="JR544"/>
      <c r="JS544"/>
      <c r="JT544"/>
      <c r="JU544"/>
      <c r="JV544"/>
      <c r="JW544"/>
      <c r="JX544"/>
      <c r="JY544"/>
      <c r="JZ544"/>
      <c r="KA544"/>
      <c r="KB544"/>
      <c r="KC544"/>
      <c r="KD544"/>
      <c r="KE544"/>
      <c r="KF544"/>
      <c r="KG544"/>
      <c r="KH544"/>
      <c r="KI544"/>
      <c r="KJ544"/>
      <c r="KK544"/>
      <c r="KL544"/>
      <c r="KM544"/>
      <c r="KN544"/>
      <c r="KO544"/>
      <c r="KP544"/>
      <c r="KQ544"/>
      <c r="KR544"/>
      <c r="KS544"/>
    </row>
    <row r="545" spans="2:305" hidden="1" x14ac:dyDescent="0.3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c r="AN545"/>
      <c r="AO545"/>
      <c r="AP545"/>
      <c r="AQ545"/>
      <c r="AR545"/>
      <c r="AS545"/>
      <c r="AT545"/>
      <c r="AU545"/>
      <c r="AV545"/>
      <c r="AW545"/>
      <c r="AX545"/>
      <c r="AY545"/>
      <c r="AZ545"/>
      <c r="BA545"/>
      <c r="BB545"/>
      <c r="BC545"/>
      <c r="BD545"/>
      <c r="BE545"/>
      <c r="BF545"/>
      <c r="BG545"/>
      <c r="BH545"/>
      <c r="BI545"/>
      <c r="BJ545"/>
      <c r="BK545"/>
      <c r="BL545"/>
      <c r="BM545"/>
      <c r="BN545"/>
      <c r="BO545"/>
      <c r="BP545"/>
      <c r="BQ545"/>
      <c r="BR545"/>
      <c r="BS545"/>
      <c r="BT545"/>
      <c r="BU545"/>
      <c r="BV545"/>
      <c r="BW545"/>
      <c r="BX545"/>
      <c r="BY545"/>
      <c r="BZ545"/>
      <c r="CA545"/>
      <c r="CB545"/>
      <c r="CC545"/>
      <c r="CD545"/>
      <c r="CE545"/>
      <c r="CF545"/>
      <c r="CG545"/>
      <c r="CH545"/>
      <c r="CI545"/>
      <c r="CJ545"/>
      <c r="CK545"/>
      <c r="CL545"/>
      <c r="CM545"/>
      <c r="CN545"/>
      <c r="CO545"/>
      <c r="CP545"/>
      <c r="CQ545"/>
      <c r="CR545"/>
      <c r="CS545"/>
      <c r="CT545"/>
      <c r="CU545"/>
      <c r="CV545"/>
      <c r="CW545"/>
      <c r="CX545"/>
      <c r="CY545"/>
      <c r="CZ545"/>
      <c r="DA545"/>
      <c r="DB545"/>
      <c r="DC545"/>
      <c r="DD545"/>
      <c r="DE545"/>
      <c r="DF545"/>
      <c r="DG545"/>
      <c r="DH545"/>
      <c r="DI545"/>
      <c r="DJ545"/>
      <c r="DK545"/>
      <c r="DL545"/>
      <c r="DM545"/>
      <c r="DN545"/>
      <c r="DO545"/>
      <c r="DP545"/>
      <c r="DQ545"/>
      <c r="DR545"/>
      <c r="DS545"/>
      <c r="DT545"/>
      <c r="DU545"/>
      <c r="DV545"/>
      <c r="DW545"/>
      <c r="DX545"/>
      <c r="DY545"/>
      <c r="DZ545"/>
      <c r="EA545"/>
      <c r="EB545"/>
      <c r="EC545"/>
      <c r="ED545"/>
      <c r="EE545"/>
      <c r="EF545"/>
      <c r="EG545"/>
      <c r="EH545"/>
      <c r="EI545"/>
      <c r="EJ545"/>
      <c r="EK545"/>
      <c r="EL545"/>
      <c r="EM545"/>
      <c r="EN545"/>
      <c r="EO545"/>
      <c r="EP545"/>
      <c r="EQ545"/>
      <c r="ER545"/>
      <c r="ES545"/>
      <c r="ET545"/>
      <c r="EU545"/>
      <c r="EV545"/>
      <c r="EW545"/>
      <c r="EX545"/>
      <c r="EY545"/>
      <c r="EZ545"/>
      <c r="FA545"/>
      <c r="FB545"/>
      <c r="FC545"/>
      <c r="FD545"/>
      <c r="FE545"/>
      <c r="FF545"/>
      <c r="FG545"/>
      <c r="FH545"/>
      <c r="FI545"/>
      <c r="FJ545"/>
      <c r="FK545"/>
      <c r="FL545"/>
      <c r="FM545"/>
      <c r="FN545"/>
      <c r="FO545"/>
      <c r="FP545"/>
      <c r="FQ545"/>
      <c r="FR545"/>
      <c r="FS545"/>
      <c r="FT545"/>
      <c r="FU545"/>
      <c r="FV545"/>
      <c r="FW545"/>
      <c r="FX545"/>
      <c r="FY545"/>
      <c r="FZ545"/>
      <c r="GA545"/>
      <c r="GB545"/>
      <c r="GC545"/>
      <c r="GD545"/>
      <c r="GE545"/>
      <c r="GF545"/>
      <c r="GG545"/>
      <c r="GH545"/>
      <c r="GI545"/>
      <c r="GJ545"/>
      <c r="GK545"/>
      <c r="GL545"/>
      <c r="GM545"/>
      <c r="GN545"/>
      <c r="GO545"/>
      <c r="GP545"/>
      <c r="GQ545"/>
      <c r="GR545"/>
      <c r="GS545"/>
      <c r="GT545"/>
      <c r="GU545"/>
      <c r="GV545"/>
      <c r="GW545"/>
      <c r="GX545"/>
      <c r="GY545"/>
      <c r="GZ545"/>
      <c r="HA545"/>
      <c r="HB545"/>
      <c r="HC545"/>
      <c r="HD545"/>
      <c r="HE545"/>
      <c r="HF545"/>
      <c r="HG545"/>
      <c r="HH545"/>
      <c r="HI545"/>
      <c r="HJ545"/>
      <c r="HK545"/>
      <c r="HL545"/>
      <c r="HM545"/>
      <c r="HN545"/>
      <c r="HO545"/>
      <c r="HP545"/>
      <c r="HQ545"/>
      <c r="HR545"/>
      <c r="HS545"/>
      <c r="HT545"/>
      <c r="HU545"/>
      <c r="HV545"/>
      <c r="HW545"/>
      <c r="HX545"/>
      <c r="HY545"/>
      <c r="HZ545"/>
      <c r="IA545"/>
      <c r="IB545"/>
      <c r="IC545"/>
      <c r="ID545"/>
      <c r="IE545"/>
      <c r="IF545"/>
      <c r="IG545"/>
      <c r="IH545"/>
      <c r="II545"/>
      <c r="IJ545"/>
      <c r="IK545"/>
      <c r="IL545"/>
      <c r="IM545"/>
      <c r="IN545"/>
      <c r="IO545"/>
      <c r="IP545"/>
      <c r="IQ545"/>
      <c r="IR545"/>
      <c r="IS545"/>
      <c r="IT545"/>
      <c r="IU545"/>
      <c r="IV545"/>
      <c r="IW545"/>
      <c r="IX545"/>
      <c r="IY545"/>
      <c r="IZ545"/>
      <c r="JA545"/>
      <c r="JB545"/>
      <c r="JC545"/>
      <c r="JD545"/>
      <c r="JE545"/>
      <c r="JF545"/>
      <c r="JG545"/>
      <c r="JH545"/>
      <c r="JI545"/>
      <c r="JJ545"/>
      <c r="JK545"/>
      <c r="JL545"/>
      <c r="JM545"/>
      <c r="JN545"/>
      <c r="JO545"/>
      <c r="JP545"/>
      <c r="JQ545"/>
      <c r="JR545"/>
      <c r="JS545"/>
      <c r="JT545"/>
      <c r="JU545"/>
      <c r="JV545"/>
      <c r="JW545"/>
      <c r="JX545"/>
      <c r="JY545"/>
      <c r="JZ545"/>
      <c r="KA545"/>
      <c r="KB545"/>
      <c r="KC545"/>
      <c r="KD545"/>
      <c r="KE545"/>
      <c r="KF545"/>
      <c r="KG545"/>
      <c r="KH545"/>
      <c r="KI545"/>
      <c r="KJ545"/>
      <c r="KK545"/>
      <c r="KL545"/>
      <c r="KM545"/>
      <c r="KN545"/>
      <c r="KO545"/>
      <c r="KP545"/>
      <c r="KQ545"/>
      <c r="KR545"/>
      <c r="KS545"/>
    </row>
    <row r="546" spans="2:305" hidden="1" x14ac:dyDescent="0.35">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c r="AN546"/>
      <c r="AO546"/>
      <c r="AP546"/>
      <c r="AQ546"/>
      <c r="AR546"/>
      <c r="AS546"/>
      <c r="AT546"/>
      <c r="AU546"/>
      <c r="AV546"/>
      <c r="AW546"/>
      <c r="AX546"/>
      <c r="AY546"/>
      <c r="AZ546"/>
      <c r="BA546"/>
      <c r="BB546"/>
      <c r="BC546"/>
      <c r="BD546"/>
      <c r="BE546"/>
      <c r="BF546"/>
      <c r="BG546"/>
      <c r="BH546"/>
      <c r="BI546"/>
      <c r="BJ546"/>
      <c r="BK546"/>
      <c r="BL546"/>
      <c r="BM546"/>
      <c r="BN546"/>
      <c r="BO546"/>
      <c r="BP546"/>
      <c r="BQ546"/>
      <c r="BR546"/>
      <c r="BS546"/>
      <c r="BT546"/>
      <c r="BU546"/>
      <c r="BV546"/>
      <c r="BW546"/>
      <c r="BX546"/>
      <c r="BY546"/>
      <c r="BZ546"/>
      <c r="CA546"/>
      <c r="CB546"/>
      <c r="CC546"/>
      <c r="CD546"/>
      <c r="CE546"/>
      <c r="CF546"/>
      <c r="CG546"/>
      <c r="CH546"/>
      <c r="CI546"/>
      <c r="CJ546"/>
      <c r="CK546"/>
      <c r="CL546"/>
      <c r="CM546"/>
      <c r="CN546"/>
      <c r="CO546"/>
      <c r="CP546"/>
      <c r="CQ546"/>
      <c r="CR546"/>
      <c r="CS546"/>
      <c r="CT546"/>
      <c r="CU546"/>
      <c r="CV546"/>
      <c r="CW546"/>
      <c r="CX546"/>
      <c r="CY546"/>
      <c r="CZ546"/>
      <c r="DA546"/>
      <c r="DB546"/>
      <c r="DC546"/>
      <c r="DD546"/>
      <c r="DE546"/>
      <c r="DF546"/>
      <c r="DG546"/>
      <c r="DH546"/>
      <c r="DI546"/>
      <c r="DJ546"/>
      <c r="DK546"/>
      <c r="DL546"/>
      <c r="DM546"/>
      <c r="DN546"/>
      <c r="DO546"/>
      <c r="DP546"/>
      <c r="DQ546"/>
      <c r="DR546"/>
      <c r="DS546"/>
      <c r="DT546"/>
      <c r="DU546"/>
      <c r="DV546"/>
      <c r="DW546"/>
      <c r="DX546"/>
      <c r="DY546"/>
      <c r="DZ546"/>
      <c r="EA546"/>
      <c r="EB546"/>
      <c r="EC546"/>
      <c r="ED546"/>
      <c r="EE546"/>
      <c r="EF546"/>
      <c r="EG546"/>
      <c r="EH546"/>
      <c r="EI546"/>
      <c r="EJ546"/>
      <c r="EK546"/>
      <c r="EL546"/>
      <c r="EM546"/>
      <c r="EN546"/>
      <c r="EO546"/>
      <c r="EP546"/>
      <c r="EQ546"/>
      <c r="ER546"/>
      <c r="ES546"/>
      <c r="ET546"/>
      <c r="EU546"/>
      <c r="EV546"/>
      <c r="EW546"/>
      <c r="EX546"/>
      <c r="EY546"/>
      <c r="EZ546"/>
      <c r="FA546"/>
      <c r="FB546"/>
      <c r="FC546"/>
      <c r="FD546"/>
      <c r="FE546"/>
      <c r="FF546"/>
      <c r="FG546"/>
      <c r="FH546"/>
      <c r="FI546"/>
      <c r="FJ546"/>
      <c r="FK546"/>
      <c r="FL546"/>
      <c r="FM546"/>
      <c r="FN546"/>
      <c r="FO546"/>
      <c r="FP546"/>
      <c r="FQ546"/>
      <c r="FR546"/>
      <c r="FS546"/>
      <c r="FT546"/>
      <c r="FU546"/>
      <c r="FV546"/>
      <c r="FW546"/>
      <c r="FX546"/>
      <c r="FY546"/>
      <c r="FZ546"/>
      <c r="GA546"/>
      <c r="GB546"/>
      <c r="GC546"/>
      <c r="GD546"/>
      <c r="GE546"/>
      <c r="GF546"/>
      <c r="GG546"/>
      <c r="GH546"/>
      <c r="GI546"/>
      <c r="GJ546"/>
      <c r="GK546"/>
      <c r="GL546"/>
      <c r="GM546"/>
      <c r="GN546"/>
      <c r="GO546"/>
      <c r="GP546"/>
      <c r="GQ546"/>
      <c r="GR546"/>
      <c r="GS546"/>
      <c r="GT546"/>
      <c r="GU546"/>
      <c r="GV546"/>
      <c r="GW546"/>
      <c r="GX546"/>
      <c r="GY546"/>
      <c r="GZ546"/>
      <c r="HA546"/>
      <c r="HB546"/>
      <c r="HC546"/>
      <c r="HD546"/>
      <c r="HE546"/>
      <c r="HF546"/>
      <c r="HG546"/>
      <c r="HH546"/>
      <c r="HI546"/>
      <c r="HJ546"/>
      <c r="HK546"/>
      <c r="HL546"/>
      <c r="HM546"/>
      <c r="HN546"/>
      <c r="HO546"/>
      <c r="HP546"/>
      <c r="HQ546"/>
      <c r="HR546"/>
      <c r="HS546"/>
      <c r="HT546"/>
      <c r="HU546"/>
      <c r="HV546"/>
      <c r="HW546"/>
      <c r="HX546"/>
      <c r="HY546"/>
      <c r="HZ546"/>
      <c r="IA546"/>
      <c r="IB546"/>
      <c r="IC546"/>
      <c r="ID546"/>
      <c r="IE546"/>
      <c r="IF546"/>
      <c r="IG546"/>
      <c r="IH546"/>
      <c r="II546"/>
      <c r="IJ546"/>
      <c r="IK546"/>
      <c r="IL546"/>
      <c r="IM546"/>
      <c r="IN546"/>
      <c r="IO546"/>
      <c r="IP546"/>
      <c r="IQ546"/>
      <c r="IR546"/>
      <c r="IS546"/>
      <c r="IT546"/>
      <c r="IU546"/>
      <c r="IV546"/>
      <c r="IW546"/>
      <c r="IX546"/>
      <c r="IY546"/>
      <c r="IZ546"/>
      <c r="JA546"/>
      <c r="JB546"/>
      <c r="JC546"/>
      <c r="JD546"/>
      <c r="JE546"/>
      <c r="JF546"/>
      <c r="JG546"/>
      <c r="JH546"/>
      <c r="JI546"/>
      <c r="JJ546"/>
      <c r="JK546"/>
      <c r="JL546"/>
      <c r="JM546"/>
      <c r="JN546"/>
      <c r="JO546"/>
      <c r="JP546"/>
      <c r="JQ546"/>
      <c r="JR546"/>
      <c r="JS546"/>
      <c r="JT546"/>
      <c r="JU546"/>
      <c r="JV546"/>
      <c r="JW546"/>
      <c r="JX546"/>
      <c r="JY546"/>
      <c r="JZ546"/>
      <c r="KA546"/>
      <c r="KB546"/>
      <c r="KC546"/>
      <c r="KD546"/>
      <c r="KE546"/>
      <c r="KF546"/>
      <c r="KG546"/>
      <c r="KH546"/>
      <c r="KI546"/>
      <c r="KJ546"/>
      <c r="KK546"/>
      <c r="KL546"/>
      <c r="KM546"/>
      <c r="KN546"/>
      <c r="KO546"/>
      <c r="KP546"/>
      <c r="KQ546"/>
      <c r="KR546"/>
      <c r="KS546"/>
    </row>
    <row r="547" spans="2:305" hidden="1" x14ac:dyDescent="0.35">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c r="AN547"/>
      <c r="AO547"/>
      <c r="AP547"/>
      <c r="AQ547"/>
      <c r="AR547"/>
      <c r="AS547"/>
      <c r="AT547"/>
      <c r="AU547"/>
      <c r="AV547"/>
      <c r="AW547"/>
      <c r="AX547"/>
      <c r="AY547"/>
      <c r="AZ547"/>
      <c r="BA547"/>
      <c r="BB547"/>
      <c r="BC547"/>
      <c r="BD547"/>
      <c r="BE547"/>
      <c r="BF547"/>
      <c r="BG547"/>
      <c r="BH547"/>
      <c r="BI547"/>
      <c r="BJ547"/>
      <c r="BK547"/>
      <c r="BL547"/>
      <c r="BM547"/>
      <c r="BN547"/>
      <c r="BO547"/>
      <c r="BP547"/>
      <c r="BQ547"/>
      <c r="BR547"/>
      <c r="BS547"/>
      <c r="BT547"/>
      <c r="BU547"/>
      <c r="BV547"/>
      <c r="BW547"/>
      <c r="BX547"/>
      <c r="BY547"/>
      <c r="BZ547"/>
      <c r="CA547"/>
      <c r="CB547"/>
      <c r="CC547"/>
      <c r="CD547"/>
      <c r="CE547"/>
      <c r="CF547"/>
      <c r="CG547"/>
      <c r="CH547"/>
      <c r="CI547"/>
      <c r="CJ547"/>
      <c r="CK547"/>
      <c r="CL547"/>
      <c r="CM547"/>
      <c r="CN547"/>
      <c r="CO547"/>
      <c r="CP547"/>
      <c r="CQ547"/>
      <c r="CR547"/>
      <c r="CS547"/>
      <c r="CT547"/>
      <c r="CU547"/>
      <c r="CV547"/>
      <c r="CW547"/>
      <c r="CX547"/>
      <c r="CY547"/>
      <c r="CZ547"/>
      <c r="DA547"/>
      <c r="DB547"/>
      <c r="DC547"/>
      <c r="DD547"/>
      <c r="DE547"/>
      <c r="DF547"/>
      <c r="DG547"/>
      <c r="DH547"/>
      <c r="DI547"/>
      <c r="DJ547"/>
      <c r="DK547"/>
      <c r="DL547"/>
      <c r="DM547"/>
      <c r="DN547"/>
      <c r="DO547"/>
      <c r="DP547"/>
      <c r="DQ547"/>
      <c r="DR547"/>
      <c r="DS547"/>
      <c r="DT547"/>
      <c r="DU547"/>
      <c r="DV547"/>
      <c r="DW547"/>
      <c r="DX547"/>
      <c r="DY547"/>
      <c r="DZ547"/>
      <c r="EA547"/>
      <c r="EB547"/>
      <c r="EC547"/>
      <c r="ED547"/>
      <c r="EE547"/>
      <c r="EF547"/>
      <c r="EG547"/>
      <c r="EH547"/>
      <c r="EI547"/>
      <c r="EJ547"/>
      <c r="EK547"/>
      <c r="EL547"/>
      <c r="EM547"/>
      <c r="EN547"/>
      <c r="EO547"/>
      <c r="EP547"/>
      <c r="EQ547"/>
      <c r="ER547"/>
      <c r="ES547"/>
      <c r="ET547"/>
      <c r="EU547"/>
      <c r="EV547"/>
      <c r="EW547"/>
      <c r="EX547"/>
      <c r="EY547"/>
      <c r="EZ547"/>
      <c r="FA547"/>
      <c r="FB547"/>
      <c r="FC547"/>
      <c r="FD547"/>
      <c r="FE547"/>
      <c r="FF547"/>
      <c r="FG547"/>
      <c r="FH547"/>
      <c r="FI547"/>
      <c r="FJ547"/>
      <c r="FK547"/>
      <c r="FL547"/>
      <c r="FM547"/>
      <c r="FN547"/>
      <c r="FO547"/>
      <c r="FP547"/>
      <c r="FQ547"/>
      <c r="FR547"/>
      <c r="FS547"/>
      <c r="FT547"/>
      <c r="FU547"/>
      <c r="FV547"/>
      <c r="FW547"/>
      <c r="FX547"/>
      <c r="FY547"/>
      <c r="FZ547"/>
      <c r="GA547"/>
      <c r="GB547"/>
      <c r="GC547"/>
      <c r="GD547"/>
      <c r="GE547"/>
      <c r="GF547"/>
      <c r="GG547"/>
      <c r="GH547"/>
      <c r="GI547"/>
      <c r="GJ547"/>
      <c r="GK547"/>
      <c r="GL547"/>
      <c r="GM547"/>
      <c r="GN547"/>
      <c r="GO547"/>
      <c r="GP547"/>
      <c r="GQ547"/>
      <c r="GR547"/>
      <c r="GS547"/>
      <c r="GT547"/>
      <c r="GU547"/>
      <c r="GV547"/>
      <c r="GW547"/>
      <c r="GX547"/>
      <c r="GY547"/>
      <c r="GZ547"/>
      <c r="HA547"/>
      <c r="HB547"/>
      <c r="HC547"/>
      <c r="HD547"/>
      <c r="HE547"/>
      <c r="HF547"/>
      <c r="HG547"/>
      <c r="HH547"/>
      <c r="HI547"/>
      <c r="HJ547"/>
      <c r="HK547"/>
      <c r="HL547"/>
      <c r="HM547"/>
      <c r="HN547"/>
      <c r="HO547"/>
      <c r="HP547"/>
      <c r="HQ547"/>
      <c r="HR547"/>
      <c r="HS547"/>
      <c r="HT547"/>
      <c r="HU547"/>
      <c r="HV547"/>
      <c r="HW547"/>
      <c r="HX547"/>
      <c r="HY547"/>
      <c r="HZ547"/>
      <c r="IA547"/>
      <c r="IB547"/>
      <c r="IC547"/>
      <c r="ID547"/>
      <c r="IE547"/>
      <c r="IF547"/>
      <c r="IG547"/>
      <c r="IH547"/>
      <c r="II547"/>
      <c r="IJ547"/>
      <c r="IK547"/>
      <c r="IL547"/>
      <c r="IM547"/>
      <c r="IN547"/>
      <c r="IO547"/>
      <c r="IP547"/>
      <c r="IQ547"/>
      <c r="IR547"/>
      <c r="IS547"/>
      <c r="IT547"/>
      <c r="IU547"/>
      <c r="IV547"/>
      <c r="IW547"/>
      <c r="IX547"/>
      <c r="IY547"/>
      <c r="IZ547"/>
      <c r="JA547"/>
      <c r="JB547"/>
      <c r="JC547"/>
      <c r="JD547"/>
      <c r="JE547"/>
      <c r="JF547"/>
      <c r="JG547"/>
      <c r="JH547"/>
      <c r="JI547"/>
      <c r="JJ547"/>
      <c r="JK547"/>
      <c r="JL547"/>
      <c r="JM547"/>
      <c r="JN547"/>
      <c r="JO547"/>
      <c r="JP547"/>
      <c r="JQ547"/>
      <c r="JR547"/>
      <c r="JS547"/>
      <c r="JT547"/>
      <c r="JU547"/>
      <c r="JV547"/>
      <c r="JW547"/>
      <c r="JX547"/>
      <c r="JY547"/>
      <c r="JZ547"/>
      <c r="KA547"/>
      <c r="KB547"/>
      <c r="KC547"/>
      <c r="KD547"/>
      <c r="KE547"/>
      <c r="KF547"/>
      <c r="KG547"/>
      <c r="KH547"/>
      <c r="KI547"/>
      <c r="KJ547"/>
      <c r="KK547"/>
      <c r="KL547"/>
      <c r="KM547"/>
      <c r="KN547"/>
      <c r="KO547"/>
      <c r="KP547"/>
      <c r="KQ547"/>
      <c r="KR547"/>
      <c r="KS547"/>
    </row>
    <row r="548" spans="2:305" hidden="1" x14ac:dyDescent="0.35">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c r="AN548"/>
      <c r="AO548"/>
      <c r="AP548"/>
      <c r="AQ548"/>
      <c r="AR548"/>
      <c r="AS548"/>
      <c r="AT548"/>
      <c r="AU548"/>
      <c r="AV548"/>
      <c r="AW548"/>
      <c r="AX548"/>
      <c r="AY548"/>
      <c r="AZ548"/>
      <c r="BA548"/>
      <c r="BB548"/>
      <c r="BC548"/>
      <c r="BD548"/>
      <c r="BE548"/>
      <c r="BF548"/>
      <c r="BG548"/>
      <c r="BH548"/>
      <c r="BI548"/>
      <c r="BJ548"/>
      <c r="BK548"/>
      <c r="BL548"/>
      <c r="BM548"/>
      <c r="BN548"/>
      <c r="BO548"/>
      <c r="BP548"/>
      <c r="BQ548"/>
      <c r="BR548"/>
      <c r="BS548"/>
      <c r="BT548"/>
      <c r="BU548"/>
      <c r="BV548"/>
      <c r="BW548"/>
      <c r="BX548"/>
      <c r="BY548"/>
      <c r="BZ548"/>
      <c r="CA548"/>
      <c r="CB548"/>
      <c r="CC548"/>
      <c r="CD548"/>
      <c r="CE548"/>
      <c r="CF548"/>
      <c r="CG548"/>
      <c r="CH548"/>
      <c r="CI548"/>
      <c r="CJ548"/>
      <c r="CK548"/>
      <c r="CL548"/>
      <c r="CM548"/>
      <c r="CN548"/>
      <c r="CO548"/>
      <c r="CP548"/>
      <c r="CQ548"/>
      <c r="CR548"/>
      <c r="CS548"/>
      <c r="CT548"/>
      <c r="CU548"/>
      <c r="CV548"/>
      <c r="CW548"/>
      <c r="CX548"/>
      <c r="CY548"/>
      <c r="CZ548"/>
      <c r="DA548"/>
      <c r="DB548"/>
      <c r="DC548"/>
      <c r="DD548"/>
      <c r="DE548"/>
      <c r="DF548"/>
      <c r="DG548"/>
      <c r="DH548"/>
      <c r="DI548"/>
      <c r="DJ548"/>
      <c r="DK548"/>
      <c r="DL548"/>
      <c r="DM548"/>
      <c r="DN548"/>
      <c r="DO548"/>
      <c r="DP548"/>
      <c r="DQ548"/>
      <c r="DR548"/>
      <c r="DS548"/>
      <c r="DT548"/>
      <c r="DU548"/>
      <c r="DV548"/>
      <c r="DW548"/>
      <c r="DX548"/>
      <c r="DY548"/>
      <c r="DZ548"/>
      <c r="EA548"/>
      <c r="EB548"/>
      <c r="EC548"/>
      <c r="ED548"/>
      <c r="EE548"/>
      <c r="EF548"/>
      <c r="EG548"/>
      <c r="EH548"/>
      <c r="EI548"/>
      <c r="EJ548"/>
      <c r="EK548"/>
      <c r="EL548"/>
      <c r="EM548"/>
      <c r="EN548"/>
      <c r="EO548"/>
      <c r="EP548"/>
      <c r="EQ548"/>
      <c r="ER548"/>
      <c r="ES548"/>
      <c r="ET548"/>
      <c r="EU548"/>
      <c r="EV548"/>
      <c r="EW548"/>
      <c r="EX548"/>
      <c r="EY548"/>
      <c r="EZ548"/>
      <c r="FA548"/>
      <c r="FB548"/>
      <c r="FC548"/>
      <c r="FD548"/>
      <c r="FE548"/>
      <c r="FF548"/>
      <c r="FG548"/>
      <c r="FH548"/>
      <c r="FI548"/>
      <c r="FJ548"/>
      <c r="FK548"/>
      <c r="FL548"/>
      <c r="FM548"/>
      <c r="FN548"/>
      <c r="FO548"/>
      <c r="FP548"/>
      <c r="FQ548"/>
      <c r="FR548"/>
      <c r="FS548"/>
      <c r="FT548"/>
      <c r="FU548"/>
      <c r="FV548"/>
      <c r="FW548"/>
      <c r="FX548"/>
      <c r="FY548"/>
      <c r="FZ548"/>
      <c r="GA548"/>
      <c r="GB548"/>
      <c r="GC548"/>
      <c r="GD548"/>
      <c r="GE548"/>
      <c r="GF548"/>
      <c r="GG548"/>
      <c r="GH548"/>
      <c r="GI548"/>
      <c r="GJ548"/>
      <c r="GK548"/>
      <c r="GL548"/>
      <c r="GM548"/>
      <c r="GN548"/>
      <c r="GO548"/>
      <c r="GP548"/>
      <c r="GQ548"/>
      <c r="GR548"/>
      <c r="GS548"/>
      <c r="GT548"/>
      <c r="GU548"/>
      <c r="GV548"/>
      <c r="GW548"/>
      <c r="GX548"/>
      <c r="GY548"/>
      <c r="GZ548"/>
      <c r="HA548"/>
      <c r="HB548"/>
      <c r="HC548"/>
      <c r="HD548"/>
      <c r="HE548"/>
      <c r="HF548"/>
      <c r="HG548"/>
      <c r="HH548"/>
      <c r="HI548"/>
      <c r="HJ548"/>
      <c r="HK548"/>
      <c r="HL548"/>
      <c r="HM548"/>
      <c r="HN548"/>
      <c r="HO548"/>
      <c r="HP548"/>
      <c r="HQ548"/>
      <c r="HR548"/>
      <c r="HS548"/>
      <c r="HT548"/>
      <c r="HU548"/>
      <c r="HV548"/>
      <c r="HW548"/>
      <c r="HX548"/>
      <c r="HY548"/>
      <c r="HZ548"/>
      <c r="IA548"/>
      <c r="IB548"/>
      <c r="IC548"/>
      <c r="ID548"/>
      <c r="IE548"/>
      <c r="IF548"/>
      <c r="IG548"/>
      <c r="IH548"/>
      <c r="II548"/>
      <c r="IJ548"/>
      <c r="IK548"/>
      <c r="IL548"/>
      <c r="IM548"/>
      <c r="IN548"/>
      <c r="IO548"/>
      <c r="IP548"/>
      <c r="IQ548"/>
      <c r="IR548"/>
      <c r="IS548"/>
      <c r="IT548"/>
      <c r="IU548"/>
      <c r="IV548"/>
      <c r="IW548"/>
      <c r="IX548"/>
      <c r="IY548"/>
      <c r="IZ548"/>
      <c r="JA548"/>
      <c r="JB548"/>
      <c r="JC548"/>
      <c r="JD548"/>
      <c r="JE548"/>
      <c r="JF548"/>
      <c r="JG548"/>
      <c r="JH548"/>
      <c r="JI548"/>
      <c r="JJ548"/>
      <c r="JK548"/>
      <c r="JL548"/>
      <c r="JM548"/>
      <c r="JN548"/>
      <c r="JO548"/>
      <c r="JP548"/>
      <c r="JQ548"/>
      <c r="JR548"/>
      <c r="JS548"/>
      <c r="JT548"/>
      <c r="JU548"/>
      <c r="JV548"/>
      <c r="JW548"/>
      <c r="JX548"/>
      <c r="JY548"/>
      <c r="JZ548"/>
      <c r="KA548"/>
      <c r="KB548"/>
      <c r="KC548"/>
      <c r="KD548"/>
      <c r="KE548"/>
      <c r="KF548"/>
      <c r="KG548"/>
      <c r="KH548"/>
      <c r="KI548"/>
      <c r="KJ548"/>
      <c r="KK548"/>
      <c r="KL548"/>
      <c r="KM548"/>
      <c r="KN548"/>
      <c r="KO548"/>
      <c r="KP548"/>
      <c r="KQ548"/>
      <c r="KR548"/>
      <c r="KS548"/>
    </row>
    <row r="549" spans="2:305" hidden="1" x14ac:dyDescent="0.35">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c r="AN549"/>
      <c r="AO549"/>
      <c r="AP549"/>
      <c r="AQ549"/>
      <c r="AR549"/>
      <c r="AS549"/>
      <c r="AT549"/>
      <c r="AU549"/>
      <c r="AV549"/>
      <c r="AW549"/>
      <c r="AX549"/>
      <c r="AY549"/>
      <c r="AZ549"/>
      <c r="BA549"/>
      <c r="BB549"/>
      <c r="BC549"/>
      <c r="BD549"/>
      <c r="BE549"/>
      <c r="BF549"/>
      <c r="BG549"/>
      <c r="BH549"/>
      <c r="BI549"/>
      <c r="BJ549"/>
      <c r="BK549"/>
      <c r="BL549"/>
      <c r="BM549"/>
      <c r="BN549"/>
      <c r="BO549"/>
      <c r="BP549"/>
      <c r="BQ549"/>
      <c r="BR549"/>
      <c r="BS549"/>
      <c r="BT549"/>
      <c r="BU549"/>
      <c r="BV549"/>
      <c r="BW549"/>
      <c r="BX549"/>
      <c r="BY549"/>
      <c r="BZ549"/>
      <c r="CA549"/>
      <c r="CB549"/>
      <c r="CC549"/>
      <c r="CD549"/>
      <c r="CE549"/>
      <c r="CF549"/>
      <c r="CG549"/>
      <c r="CH549"/>
      <c r="CI549"/>
      <c r="CJ549"/>
      <c r="CK549"/>
      <c r="CL549"/>
      <c r="CM549"/>
      <c r="CN549"/>
      <c r="CO549"/>
      <c r="CP549"/>
      <c r="CQ549"/>
      <c r="CR549"/>
      <c r="CS549"/>
      <c r="CT549"/>
      <c r="CU549"/>
      <c r="CV549"/>
      <c r="CW549"/>
      <c r="CX549"/>
      <c r="CY549"/>
      <c r="CZ549"/>
      <c r="DA549"/>
      <c r="DB549"/>
      <c r="DC549"/>
      <c r="DD549"/>
      <c r="DE549"/>
      <c r="DF549"/>
      <c r="DG549"/>
      <c r="DH549"/>
      <c r="DI549"/>
      <c r="DJ549"/>
      <c r="DK549"/>
      <c r="DL549"/>
      <c r="DM549"/>
      <c r="DN549"/>
      <c r="DO549"/>
      <c r="DP549"/>
      <c r="DQ549"/>
      <c r="DR549"/>
      <c r="DS549"/>
      <c r="DT549"/>
      <c r="DU549"/>
      <c r="DV549"/>
      <c r="DW549"/>
      <c r="DX549"/>
      <c r="DY549"/>
      <c r="DZ549"/>
      <c r="EA549"/>
      <c r="EB549"/>
      <c r="EC549"/>
      <c r="ED549"/>
      <c r="EE549"/>
      <c r="EF549"/>
      <c r="EG549"/>
      <c r="EH549"/>
      <c r="EI549"/>
      <c r="EJ549"/>
      <c r="EK549"/>
      <c r="EL549"/>
      <c r="EM549"/>
      <c r="EN549"/>
      <c r="EO549"/>
      <c r="EP549"/>
      <c r="EQ549"/>
      <c r="ER549"/>
      <c r="ES549"/>
      <c r="ET549"/>
      <c r="EU549"/>
      <c r="EV549"/>
      <c r="EW549"/>
      <c r="EX549"/>
      <c r="EY549"/>
      <c r="EZ549"/>
      <c r="FA549"/>
      <c r="FB549"/>
      <c r="FC549"/>
      <c r="FD549"/>
      <c r="FE549"/>
      <c r="FF549"/>
      <c r="FG549"/>
      <c r="FH549"/>
      <c r="FI549"/>
      <c r="FJ549"/>
      <c r="FK549"/>
      <c r="FL549"/>
      <c r="FM549"/>
      <c r="FN549"/>
      <c r="FO549"/>
      <c r="FP549"/>
      <c r="FQ549"/>
      <c r="FR549"/>
      <c r="FS549"/>
      <c r="FT549"/>
      <c r="FU549"/>
      <c r="FV549"/>
      <c r="FW549"/>
      <c r="FX549"/>
      <c r="FY549"/>
      <c r="FZ549"/>
      <c r="GA549"/>
      <c r="GB549"/>
      <c r="GC549"/>
      <c r="GD549"/>
      <c r="GE549"/>
      <c r="GF549"/>
      <c r="GG549"/>
      <c r="GH549"/>
      <c r="GI549"/>
      <c r="GJ549"/>
      <c r="GK549"/>
      <c r="GL549"/>
      <c r="GM549"/>
      <c r="GN549"/>
      <c r="GO549"/>
      <c r="GP549"/>
      <c r="GQ549"/>
      <c r="GR549"/>
      <c r="GS549"/>
      <c r="GT549"/>
      <c r="GU549"/>
      <c r="GV549"/>
      <c r="GW549"/>
      <c r="GX549"/>
      <c r="GY549"/>
      <c r="GZ549"/>
      <c r="HA549"/>
      <c r="HB549"/>
      <c r="HC549"/>
      <c r="HD549"/>
      <c r="HE549"/>
      <c r="HF549"/>
      <c r="HG549"/>
      <c r="HH549"/>
      <c r="HI549"/>
      <c r="HJ549"/>
      <c r="HK549"/>
      <c r="HL549"/>
      <c r="HM549"/>
      <c r="HN549"/>
      <c r="HO549"/>
      <c r="HP549"/>
      <c r="HQ549"/>
      <c r="HR549"/>
      <c r="HS549"/>
      <c r="HT549"/>
      <c r="HU549"/>
      <c r="HV549"/>
      <c r="HW549"/>
      <c r="HX549"/>
      <c r="HY549"/>
      <c r="HZ549"/>
      <c r="IA549"/>
      <c r="IB549"/>
      <c r="IC549"/>
      <c r="ID549"/>
      <c r="IE549"/>
      <c r="IF549"/>
      <c r="IG549"/>
      <c r="IH549"/>
      <c r="II549"/>
      <c r="IJ549"/>
      <c r="IK549"/>
      <c r="IL549"/>
      <c r="IM549"/>
      <c r="IN549"/>
      <c r="IO549"/>
      <c r="IP549"/>
      <c r="IQ549"/>
      <c r="IR549"/>
      <c r="IS549"/>
      <c r="IT549"/>
      <c r="IU549"/>
      <c r="IV549"/>
      <c r="IW549"/>
      <c r="IX549"/>
      <c r="IY549"/>
      <c r="IZ549"/>
      <c r="JA549"/>
      <c r="JB549"/>
      <c r="JC549"/>
      <c r="JD549"/>
      <c r="JE549"/>
      <c r="JF549"/>
      <c r="JG549"/>
      <c r="JH549"/>
      <c r="JI549"/>
      <c r="JJ549"/>
      <c r="JK549"/>
      <c r="JL549"/>
      <c r="JM549"/>
      <c r="JN549"/>
      <c r="JO549"/>
      <c r="JP549"/>
      <c r="JQ549"/>
      <c r="JR549"/>
      <c r="JS549"/>
      <c r="JT549"/>
      <c r="JU549"/>
      <c r="JV549"/>
      <c r="JW549"/>
      <c r="JX549"/>
      <c r="JY549"/>
      <c r="JZ549"/>
      <c r="KA549"/>
      <c r="KB549"/>
      <c r="KC549"/>
      <c r="KD549"/>
      <c r="KE549"/>
      <c r="KF549"/>
      <c r="KG549"/>
      <c r="KH549"/>
      <c r="KI549"/>
      <c r="KJ549"/>
      <c r="KK549"/>
      <c r="KL549"/>
      <c r="KM549"/>
      <c r="KN549"/>
      <c r="KO549"/>
      <c r="KP549"/>
      <c r="KQ549"/>
      <c r="KR549"/>
      <c r="KS549"/>
    </row>
    <row r="550" spans="2:305" hidden="1" x14ac:dyDescent="0.35">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c r="AN550"/>
      <c r="AO550"/>
      <c r="AP550"/>
      <c r="AQ550"/>
      <c r="AR550"/>
      <c r="AS550"/>
      <c r="AT550"/>
      <c r="AU550"/>
      <c r="AV550"/>
      <c r="AW550"/>
      <c r="AX550"/>
      <c r="AY550"/>
      <c r="AZ550"/>
      <c r="BA550"/>
      <c r="BB550"/>
      <c r="BC550"/>
      <c r="BD550"/>
      <c r="BE550"/>
      <c r="BF550"/>
      <c r="BG550"/>
      <c r="BH550"/>
      <c r="BI550"/>
      <c r="BJ550"/>
      <c r="BK550"/>
      <c r="BL550"/>
      <c r="BM550"/>
      <c r="BN550"/>
      <c r="BO550"/>
      <c r="BP550"/>
      <c r="BQ550"/>
      <c r="BR550"/>
      <c r="BS550"/>
      <c r="BT550"/>
      <c r="BU550"/>
      <c r="BV550"/>
      <c r="BW550"/>
      <c r="BX550"/>
      <c r="BY550"/>
      <c r="BZ550"/>
      <c r="CA550"/>
      <c r="CB550"/>
      <c r="CC550"/>
      <c r="CD550"/>
      <c r="CE550"/>
      <c r="CF550"/>
      <c r="CG550"/>
      <c r="CH550"/>
      <c r="CI550"/>
      <c r="CJ550"/>
      <c r="CK550"/>
      <c r="CL550"/>
      <c r="CM550"/>
      <c r="CN550"/>
      <c r="CO550"/>
      <c r="CP550"/>
      <c r="CQ550"/>
      <c r="CR550"/>
      <c r="CS550"/>
      <c r="CT550"/>
      <c r="CU550"/>
      <c r="CV550"/>
      <c r="CW550"/>
      <c r="CX550"/>
      <c r="CY550"/>
      <c r="CZ550"/>
      <c r="DA550"/>
      <c r="DB550"/>
      <c r="DC550"/>
      <c r="DD550"/>
      <c r="DE550"/>
      <c r="DF550"/>
      <c r="DG550"/>
      <c r="DH550"/>
      <c r="DI550"/>
      <c r="DJ550"/>
      <c r="DK550"/>
      <c r="DL550"/>
      <c r="DM550"/>
      <c r="DN550"/>
      <c r="DO550"/>
      <c r="DP550"/>
      <c r="DQ550"/>
      <c r="DR550"/>
      <c r="DS550"/>
      <c r="DT550"/>
      <c r="DU550"/>
      <c r="DV550"/>
      <c r="DW550"/>
      <c r="DX550"/>
      <c r="DY550"/>
      <c r="DZ550"/>
      <c r="EA550"/>
      <c r="EB550"/>
      <c r="EC550"/>
      <c r="ED550"/>
      <c r="EE550"/>
      <c r="EF550"/>
      <c r="EG550"/>
      <c r="EH550"/>
      <c r="EI550"/>
      <c r="EJ550"/>
      <c r="EK550"/>
      <c r="EL550"/>
      <c r="EM550"/>
      <c r="EN550"/>
      <c r="EO550"/>
      <c r="EP550"/>
      <c r="EQ550"/>
      <c r="ER550"/>
      <c r="ES550"/>
      <c r="ET550"/>
      <c r="EU550"/>
      <c r="EV550"/>
      <c r="EW550"/>
      <c r="EX550"/>
      <c r="EY550"/>
      <c r="EZ550"/>
      <c r="FA550"/>
      <c r="FB550"/>
      <c r="FC550"/>
      <c r="FD550"/>
      <c r="FE550"/>
      <c r="FF550"/>
      <c r="FG550"/>
      <c r="FH550"/>
      <c r="FI550"/>
      <c r="FJ550"/>
      <c r="FK550"/>
      <c r="FL550"/>
      <c r="FM550"/>
      <c r="FN550"/>
      <c r="FO550"/>
      <c r="FP550"/>
      <c r="FQ550"/>
      <c r="FR550"/>
      <c r="FS550"/>
      <c r="FT550"/>
      <c r="FU550"/>
      <c r="FV550"/>
      <c r="FW550"/>
      <c r="FX550"/>
      <c r="FY550"/>
      <c r="FZ550"/>
      <c r="GA550"/>
      <c r="GB550"/>
      <c r="GC550"/>
      <c r="GD550"/>
      <c r="GE550"/>
      <c r="GF550"/>
      <c r="GG550"/>
      <c r="GH550"/>
      <c r="GI550"/>
      <c r="GJ550"/>
      <c r="GK550"/>
      <c r="GL550"/>
      <c r="GM550"/>
      <c r="GN550"/>
      <c r="GO550"/>
      <c r="GP550"/>
      <c r="GQ550"/>
      <c r="GR550"/>
      <c r="GS550"/>
      <c r="GT550"/>
      <c r="GU550"/>
      <c r="GV550"/>
      <c r="GW550"/>
      <c r="GX550"/>
      <c r="GY550"/>
      <c r="GZ550"/>
      <c r="HA550"/>
      <c r="HB550"/>
      <c r="HC550"/>
      <c r="HD550"/>
      <c r="HE550"/>
      <c r="HF550"/>
      <c r="HG550"/>
      <c r="HH550"/>
      <c r="HI550"/>
      <c r="HJ550"/>
      <c r="HK550"/>
      <c r="HL550"/>
      <c r="HM550"/>
      <c r="HN550"/>
      <c r="HO550"/>
      <c r="HP550"/>
      <c r="HQ550"/>
      <c r="HR550"/>
      <c r="HS550"/>
      <c r="HT550"/>
      <c r="HU550"/>
      <c r="HV550"/>
      <c r="HW550"/>
      <c r="HX550"/>
      <c r="HY550"/>
      <c r="HZ550"/>
      <c r="IA550"/>
      <c r="IB550"/>
      <c r="IC550"/>
      <c r="ID550"/>
      <c r="IE550"/>
      <c r="IF550"/>
      <c r="IG550"/>
      <c r="IH550"/>
      <c r="II550"/>
      <c r="IJ550"/>
      <c r="IK550"/>
      <c r="IL550"/>
      <c r="IM550"/>
      <c r="IN550"/>
      <c r="IO550"/>
      <c r="IP550"/>
      <c r="IQ550"/>
      <c r="IR550"/>
      <c r="IS550"/>
      <c r="IT550"/>
      <c r="IU550"/>
      <c r="IV550"/>
      <c r="IW550"/>
      <c r="IX550"/>
      <c r="IY550"/>
      <c r="IZ550"/>
      <c r="JA550"/>
      <c r="JB550"/>
      <c r="JC550"/>
      <c r="JD550"/>
      <c r="JE550"/>
      <c r="JF550"/>
      <c r="JG550"/>
      <c r="JH550"/>
      <c r="JI550"/>
      <c r="JJ550"/>
      <c r="JK550"/>
      <c r="JL550"/>
      <c r="JM550"/>
      <c r="JN550"/>
      <c r="JO550"/>
      <c r="JP550"/>
      <c r="JQ550"/>
      <c r="JR550"/>
      <c r="JS550"/>
      <c r="JT550"/>
      <c r="JU550"/>
      <c r="JV550"/>
      <c r="JW550"/>
      <c r="JX550"/>
      <c r="JY550"/>
      <c r="JZ550"/>
      <c r="KA550"/>
      <c r="KB550"/>
      <c r="KC550"/>
      <c r="KD550"/>
      <c r="KE550"/>
      <c r="KF550"/>
      <c r="KG550"/>
      <c r="KH550"/>
      <c r="KI550"/>
      <c r="KJ550"/>
      <c r="KK550"/>
      <c r="KL550"/>
      <c r="KM550"/>
      <c r="KN550"/>
      <c r="KO550"/>
      <c r="KP550"/>
      <c r="KQ550"/>
      <c r="KR550"/>
      <c r="KS550"/>
    </row>
    <row r="551" spans="2:305" hidden="1" x14ac:dyDescent="0.35">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c r="AN551"/>
      <c r="AO551"/>
      <c r="AP551"/>
      <c r="AQ551"/>
      <c r="AR551"/>
      <c r="AS551"/>
      <c r="AT551"/>
      <c r="AU551"/>
      <c r="AV551"/>
      <c r="AW551"/>
      <c r="AX551"/>
      <c r="AY551"/>
      <c r="AZ551"/>
      <c r="BA551"/>
      <c r="BB551"/>
      <c r="BC551"/>
      <c r="BD551"/>
      <c r="BE551"/>
      <c r="BF551"/>
      <c r="BG551"/>
      <c r="BH551"/>
      <c r="BI551"/>
      <c r="BJ551"/>
      <c r="BK551"/>
      <c r="BL551"/>
      <c r="BM551"/>
      <c r="BN551"/>
      <c r="BO551"/>
      <c r="BP551"/>
      <c r="BQ551"/>
      <c r="BR551"/>
      <c r="BS551"/>
      <c r="BT551"/>
      <c r="BU551"/>
      <c r="BV551"/>
      <c r="BW551"/>
      <c r="BX551"/>
      <c r="BY551"/>
      <c r="BZ551"/>
      <c r="CA551"/>
      <c r="CB551"/>
      <c r="CC551"/>
      <c r="CD551"/>
      <c r="CE551"/>
      <c r="CF551"/>
      <c r="CG551"/>
      <c r="CH551"/>
      <c r="CI551"/>
      <c r="CJ551"/>
      <c r="CK551"/>
      <c r="CL551"/>
      <c r="CM551"/>
      <c r="CN551"/>
      <c r="CO551"/>
      <c r="CP551"/>
      <c r="CQ551"/>
      <c r="CR551"/>
      <c r="CS551"/>
      <c r="CT551"/>
      <c r="CU551"/>
      <c r="CV551"/>
      <c r="CW551"/>
      <c r="CX551"/>
      <c r="CY551"/>
      <c r="CZ551"/>
      <c r="DA551"/>
      <c r="DB551"/>
      <c r="DC551"/>
      <c r="DD551"/>
      <c r="DE551"/>
      <c r="DF551"/>
      <c r="DG551"/>
      <c r="DH551"/>
      <c r="DI551"/>
      <c r="DJ551"/>
      <c r="DK551"/>
      <c r="DL551"/>
      <c r="DM551"/>
      <c r="DN551"/>
      <c r="DO551"/>
      <c r="DP551"/>
      <c r="DQ551"/>
      <c r="DR551"/>
      <c r="DS551"/>
      <c r="DT551"/>
      <c r="DU551"/>
      <c r="DV551"/>
      <c r="DW551"/>
      <c r="DX551"/>
      <c r="DY551"/>
      <c r="DZ551"/>
      <c r="EA551"/>
      <c r="EB551"/>
      <c r="EC551"/>
      <c r="ED551"/>
      <c r="EE551"/>
      <c r="EF551"/>
      <c r="EG551"/>
      <c r="EH551"/>
      <c r="EI551"/>
      <c r="EJ551"/>
      <c r="EK551"/>
      <c r="EL551"/>
      <c r="EM551"/>
      <c r="EN551"/>
      <c r="EO551"/>
      <c r="EP551"/>
      <c r="EQ551"/>
      <c r="ER551"/>
      <c r="ES551"/>
      <c r="ET551"/>
      <c r="EU551"/>
      <c r="EV551"/>
      <c r="EW551"/>
      <c r="EX551"/>
      <c r="EY551"/>
      <c r="EZ551"/>
      <c r="FA551"/>
      <c r="FB551"/>
      <c r="FC551"/>
      <c r="FD551"/>
      <c r="FE551"/>
      <c r="FF551"/>
      <c r="FG551"/>
      <c r="FH551"/>
      <c r="FI551"/>
      <c r="FJ551"/>
      <c r="FK551"/>
      <c r="FL551"/>
      <c r="FM551"/>
      <c r="FN551"/>
      <c r="FO551"/>
      <c r="FP551"/>
      <c r="FQ551"/>
      <c r="FR551"/>
      <c r="FS551"/>
      <c r="FT551"/>
      <c r="FU551"/>
      <c r="FV551"/>
      <c r="FW551"/>
      <c r="FX551"/>
      <c r="FY551"/>
      <c r="FZ551"/>
      <c r="GA551"/>
      <c r="GB551"/>
      <c r="GC551"/>
      <c r="GD551"/>
      <c r="GE551"/>
      <c r="GF551"/>
      <c r="GG551"/>
      <c r="GH551"/>
      <c r="GI551"/>
      <c r="GJ551"/>
      <c r="GK551"/>
      <c r="GL551"/>
      <c r="GM551"/>
      <c r="GN551"/>
      <c r="GO551"/>
      <c r="GP551"/>
      <c r="GQ551"/>
      <c r="GR551"/>
      <c r="GS551"/>
      <c r="GT551"/>
      <c r="GU551"/>
      <c r="GV551"/>
      <c r="GW551"/>
      <c r="GX551"/>
      <c r="GY551"/>
      <c r="GZ551"/>
      <c r="HA551"/>
      <c r="HB551"/>
      <c r="HC551"/>
      <c r="HD551"/>
      <c r="HE551"/>
      <c r="HF551"/>
      <c r="HG551"/>
      <c r="HH551"/>
      <c r="HI551"/>
      <c r="HJ551"/>
      <c r="HK551"/>
      <c r="HL551"/>
      <c r="HM551"/>
      <c r="HN551"/>
      <c r="HO551"/>
      <c r="HP551"/>
      <c r="HQ551"/>
      <c r="HR551"/>
      <c r="HS551"/>
      <c r="HT551"/>
      <c r="HU551"/>
      <c r="HV551"/>
      <c r="HW551"/>
      <c r="HX551"/>
      <c r="HY551"/>
      <c r="HZ551"/>
      <c r="IA551"/>
      <c r="IB551"/>
      <c r="IC551"/>
      <c r="ID551"/>
      <c r="IE551"/>
      <c r="IF551"/>
      <c r="IG551"/>
      <c r="IH551"/>
      <c r="II551"/>
      <c r="IJ551"/>
      <c r="IK551"/>
      <c r="IL551"/>
      <c r="IM551"/>
      <c r="IN551"/>
      <c r="IO551"/>
      <c r="IP551"/>
      <c r="IQ551"/>
      <c r="IR551"/>
      <c r="IS551"/>
      <c r="IT551"/>
      <c r="IU551"/>
      <c r="IV551"/>
      <c r="IW551"/>
      <c r="IX551"/>
      <c r="IY551"/>
      <c r="IZ551"/>
      <c r="JA551"/>
      <c r="JB551"/>
      <c r="JC551"/>
      <c r="JD551"/>
      <c r="JE551"/>
      <c r="JF551"/>
      <c r="JG551"/>
      <c r="JH551"/>
      <c r="JI551"/>
      <c r="JJ551"/>
      <c r="JK551"/>
      <c r="JL551"/>
      <c r="JM551"/>
      <c r="JN551"/>
      <c r="JO551"/>
      <c r="JP551"/>
      <c r="JQ551"/>
      <c r="JR551"/>
      <c r="JS551"/>
      <c r="JT551"/>
      <c r="JU551"/>
      <c r="JV551"/>
      <c r="JW551"/>
      <c r="JX551"/>
      <c r="JY551"/>
      <c r="JZ551"/>
      <c r="KA551"/>
      <c r="KB551"/>
      <c r="KC551"/>
      <c r="KD551"/>
      <c r="KE551"/>
      <c r="KF551"/>
      <c r="KG551"/>
      <c r="KH551"/>
      <c r="KI551"/>
      <c r="KJ551"/>
      <c r="KK551"/>
      <c r="KL551"/>
      <c r="KM551"/>
      <c r="KN551"/>
      <c r="KO551"/>
      <c r="KP551"/>
      <c r="KQ551"/>
      <c r="KR551"/>
      <c r="KS551"/>
    </row>
    <row r="552" spans="2:305" hidden="1" x14ac:dyDescent="0.35">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c r="AN552"/>
      <c r="AO552"/>
      <c r="AP552"/>
      <c r="AQ552"/>
      <c r="AR552"/>
      <c r="AS552"/>
      <c r="AT552"/>
      <c r="AU552"/>
      <c r="AV552"/>
      <c r="AW552"/>
      <c r="AX552"/>
      <c r="AY552"/>
      <c r="AZ552"/>
      <c r="BA552"/>
      <c r="BB552"/>
      <c r="BC552"/>
      <c r="BD552"/>
      <c r="BE552"/>
      <c r="BF552"/>
      <c r="BG552"/>
      <c r="BH552"/>
      <c r="BI552"/>
      <c r="BJ552"/>
      <c r="BK552"/>
      <c r="BL552"/>
      <c r="BM552"/>
      <c r="BN552"/>
      <c r="BO552"/>
      <c r="BP552"/>
      <c r="BQ552"/>
      <c r="BR552"/>
      <c r="BS552"/>
      <c r="BT552"/>
      <c r="BU552"/>
      <c r="BV552"/>
      <c r="BW552"/>
      <c r="BX552"/>
      <c r="BY552"/>
      <c r="BZ552"/>
      <c r="CA552"/>
      <c r="CB552"/>
      <c r="CC552"/>
      <c r="CD552"/>
      <c r="CE552"/>
      <c r="CF552"/>
      <c r="CG552"/>
      <c r="CH552"/>
      <c r="CI552"/>
      <c r="CJ552"/>
      <c r="CK552"/>
      <c r="CL552"/>
      <c r="CM552"/>
      <c r="CN552"/>
      <c r="CO552"/>
      <c r="CP552"/>
      <c r="CQ552"/>
      <c r="CR552"/>
      <c r="CS552"/>
      <c r="CT552"/>
      <c r="CU552"/>
      <c r="CV552"/>
      <c r="CW552"/>
      <c r="CX552"/>
      <c r="CY552"/>
      <c r="CZ552"/>
      <c r="DA552"/>
      <c r="DB552"/>
      <c r="DC552"/>
      <c r="DD552"/>
      <c r="DE552"/>
      <c r="DF552"/>
      <c r="DG552"/>
      <c r="DH552"/>
      <c r="DI552"/>
      <c r="DJ552"/>
      <c r="DK552"/>
      <c r="DL552"/>
      <c r="DM552"/>
      <c r="DN552"/>
      <c r="DO552"/>
      <c r="DP552"/>
      <c r="DQ552"/>
      <c r="DR552"/>
      <c r="DS552"/>
      <c r="DT552"/>
      <c r="DU552"/>
      <c r="DV552"/>
      <c r="DW552"/>
      <c r="DX552"/>
      <c r="DY552"/>
      <c r="DZ552"/>
      <c r="EA552"/>
      <c r="EB552"/>
      <c r="EC552"/>
      <c r="ED552"/>
      <c r="EE552"/>
      <c r="EF552"/>
      <c r="EG552"/>
      <c r="EH552"/>
      <c r="EI552"/>
      <c r="EJ552"/>
      <c r="EK552"/>
      <c r="EL552"/>
      <c r="EM552"/>
      <c r="EN552"/>
      <c r="EO552"/>
      <c r="EP552"/>
      <c r="EQ552"/>
      <c r="ER552"/>
      <c r="ES552"/>
      <c r="ET552"/>
      <c r="EU552"/>
      <c r="EV552"/>
      <c r="EW552"/>
      <c r="EX552"/>
      <c r="EY552"/>
      <c r="EZ552"/>
      <c r="FA552"/>
      <c r="FB552"/>
      <c r="FC552"/>
      <c r="FD552"/>
      <c r="FE552"/>
      <c r="FF552"/>
      <c r="FG552"/>
      <c r="FH552"/>
      <c r="FI552"/>
      <c r="FJ552"/>
      <c r="FK552"/>
      <c r="FL552"/>
      <c r="FM552"/>
      <c r="FN552"/>
      <c r="FO552"/>
      <c r="FP552"/>
      <c r="FQ552"/>
      <c r="FR552"/>
      <c r="FS552"/>
      <c r="FT552"/>
      <c r="FU552"/>
      <c r="FV552"/>
      <c r="FW552"/>
      <c r="FX552"/>
      <c r="FY552"/>
      <c r="FZ552"/>
      <c r="GA552"/>
      <c r="GB552"/>
      <c r="GC552"/>
      <c r="GD552"/>
      <c r="GE552"/>
      <c r="GF552"/>
      <c r="GG552"/>
      <c r="GH552"/>
      <c r="GI552"/>
      <c r="GJ552"/>
      <c r="GK552"/>
      <c r="GL552"/>
      <c r="GM552"/>
      <c r="GN552"/>
      <c r="GO552"/>
      <c r="GP552"/>
      <c r="GQ552"/>
      <c r="GR552"/>
      <c r="GS552"/>
      <c r="GT552"/>
      <c r="GU552"/>
      <c r="GV552"/>
      <c r="GW552"/>
      <c r="GX552"/>
      <c r="GY552"/>
      <c r="GZ552"/>
      <c r="HA552"/>
      <c r="HB552"/>
      <c r="HC552"/>
      <c r="HD552"/>
      <c r="HE552"/>
      <c r="HF552"/>
      <c r="HG552"/>
      <c r="HH552"/>
      <c r="HI552"/>
      <c r="HJ552"/>
      <c r="HK552"/>
      <c r="HL552"/>
      <c r="HM552"/>
      <c r="HN552"/>
      <c r="HO552"/>
      <c r="HP552"/>
      <c r="HQ552"/>
      <c r="HR552"/>
      <c r="HS552"/>
      <c r="HT552"/>
      <c r="HU552"/>
      <c r="HV552"/>
      <c r="HW552"/>
      <c r="HX552"/>
      <c r="HY552"/>
      <c r="HZ552"/>
      <c r="IA552"/>
      <c r="IB552"/>
      <c r="IC552"/>
      <c r="ID552"/>
      <c r="IE552"/>
      <c r="IF552"/>
      <c r="IG552"/>
      <c r="IH552"/>
      <c r="II552"/>
      <c r="IJ552"/>
      <c r="IK552"/>
      <c r="IL552"/>
      <c r="IM552"/>
      <c r="IN552"/>
      <c r="IO552"/>
      <c r="IP552"/>
      <c r="IQ552"/>
      <c r="IR552"/>
      <c r="IS552"/>
      <c r="IT552"/>
      <c r="IU552"/>
      <c r="IV552"/>
      <c r="IW552"/>
      <c r="IX552"/>
      <c r="IY552"/>
      <c r="IZ552"/>
      <c r="JA552"/>
      <c r="JB552"/>
      <c r="JC552"/>
      <c r="JD552"/>
      <c r="JE552"/>
      <c r="JF552"/>
      <c r="JG552"/>
      <c r="JH552"/>
      <c r="JI552"/>
      <c r="JJ552"/>
      <c r="JK552"/>
      <c r="JL552"/>
      <c r="JM552"/>
      <c r="JN552"/>
      <c r="JO552"/>
      <c r="JP552"/>
      <c r="JQ552"/>
      <c r="JR552"/>
      <c r="JS552"/>
      <c r="JT552"/>
      <c r="JU552"/>
      <c r="JV552"/>
      <c r="JW552"/>
      <c r="JX552"/>
      <c r="JY552"/>
      <c r="JZ552"/>
      <c r="KA552"/>
      <c r="KB552"/>
      <c r="KC552"/>
      <c r="KD552"/>
      <c r="KE552"/>
      <c r="KF552"/>
      <c r="KG552"/>
      <c r="KH552"/>
      <c r="KI552"/>
      <c r="KJ552"/>
      <c r="KK552"/>
      <c r="KL552"/>
      <c r="KM552"/>
      <c r="KN552"/>
      <c r="KO552"/>
      <c r="KP552"/>
      <c r="KQ552"/>
      <c r="KR552"/>
      <c r="KS552"/>
    </row>
    <row r="553" spans="2:305" hidden="1" x14ac:dyDescent="0.35">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c r="AL553"/>
      <c r="AM553"/>
      <c r="AN553"/>
      <c r="AO553"/>
      <c r="AP553"/>
      <c r="AQ553"/>
      <c r="AR553"/>
      <c r="AS553"/>
      <c r="AT553"/>
      <c r="AU553"/>
      <c r="AV553"/>
      <c r="AW553"/>
      <c r="AX553"/>
      <c r="AY553"/>
      <c r="AZ553"/>
      <c r="BA553"/>
      <c r="BB553"/>
      <c r="BC553"/>
      <c r="BD553"/>
      <c r="BE553"/>
      <c r="BF553"/>
      <c r="BG553"/>
      <c r="BH553"/>
      <c r="BI553"/>
      <c r="BJ553"/>
      <c r="BK553"/>
      <c r="BL553"/>
      <c r="BM553"/>
      <c r="BN553"/>
      <c r="BO553"/>
      <c r="BP553"/>
      <c r="BQ553"/>
      <c r="BR553"/>
      <c r="BS553"/>
      <c r="BT553"/>
      <c r="BU553"/>
      <c r="BV553"/>
      <c r="BW553"/>
      <c r="BX553"/>
      <c r="BY553"/>
      <c r="BZ553"/>
      <c r="CA553"/>
      <c r="CB553"/>
      <c r="CC553"/>
      <c r="CD553"/>
      <c r="CE553"/>
      <c r="CF553"/>
      <c r="CG553"/>
      <c r="CH553"/>
      <c r="CI553"/>
      <c r="CJ553"/>
      <c r="CK553"/>
      <c r="CL553"/>
      <c r="CM553"/>
      <c r="CN553"/>
      <c r="CO553"/>
      <c r="CP553"/>
      <c r="CQ553"/>
      <c r="CR553"/>
      <c r="CS553"/>
      <c r="CT553"/>
      <c r="CU553"/>
      <c r="CV553"/>
      <c r="CW553"/>
      <c r="CX553"/>
      <c r="CY553"/>
      <c r="CZ553"/>
      <c r="DA553"/>
      <c r="DB553"/>
      <c r="DC553"/>
      <c r="DD553"/>
      <c r="DE553"/>
      <c r="DF553"/>
      <c r="DG553"/>
      <c r="DH553"/>
      <c r="DI553"/>
      <c r="DJ553"/>
      <c r="DK553"/>
      <c r="DL553"/>
      <c r="DM553"/>
      <c r="DN553"/>
      <c r="DO553"/>
      <c r="DP553"/>
      <c r="DQ553"/>
      <c r="DR553"/>
      <c r="DS553"/>
      <c r="DT553"/>
      <c r="DU553"/>
      <c r="DV553"/>
      <c r="DW553"/>
      <c r="DX553"/>
      <c r="DY553"/>
      <c r="DZ553"/>
      <c r="EA553"/>
      <c r="EB553"/>
      <c r="EC553"/>
      <c r="ED553"/>
      <c r="EE553"/>
      <c r="EF553"/>
      <c r="EG553"/>
      <c r="EH553"/>
      <c r="EI553"/>
      <c r="EJ553"/>
      <c r="EK553"/>
      <c r="EL553"/>
      <c r="EM553"/>
      <c r="EN553"/>
      <c r="EO553"/>
      <c r="EP553"/>
      <c r="EQ553"/>
      <c r="ER553"/>
      <c r="ES553"/>
      <c r="ET553"/>
      <c r="EU553"/>
      <c r="EV553"/>
      <c r="EW553"/>
      <c r="EX553"/>
      <c r="EY553"/>
      <c r="EZ553"/>
      <c r="FA553"/>
      <c r="FB553"/>
      <c r="FC553"/>
      <c r="FD553"/>
      <c r="FE553"/>
      <c r="FF553"/>
      <c r="FG553"/>
      <c r="FH553"/>
      <c r="FI553"/>
      <c r="FJ553"/>
      <c r="FK553"/>
      <c r="FL553"/>
      <c r="FM553"/>
      <c r="FN553"/>
      <c r="FO553"/>
      <c r="FP553"/>
      <c r="FQ553"/>
      <c r="FR553"/>
      <c r="FS553"/>
      <c r="FT553"/>
      <c r="FU553"/>
      <c r="FV553"/>
      <c r="FW553"/>
      <c r="FX553"/>
      <c r="FY553"/>
      <c r="FZ553"/>
      <c r="GA553"/>
      <c r="GB553"/>
      <c r="GC553"/>
      <c r="GD553"/>
      <c r="GE553"/>
      <c r="GF553"/>
      <c r="GG553"/>
      <c r="GH553"/>
      <c r="GI553"/>
      <c r="GJ553"/>
      <c r="GK553"/>
      <c r="GL553"/>
      <c r="GM553"/>
      <c r="GN553"/>
      <c r="GO553"/>
      <c r="GP553"/>
      <c r="GQ553"/>
      <c r="GR553"/>
      <c r="GS553"/>
      <c r="GT553"/>
      <c r="GU553"/>
      <c r="GV553"/>
      <c r="GW553"/>
      <c r="GX553"/>
      <c r="GY553"/>
      <c r="GZ553"/>
      <c r="HA553"/>
      <c r="HB553"/>
      <c r="HC553"/>
      <c r="HD553"/>
      <c r="HE553"/>
      <c r="HF553"/>
      <c r="HG553"/>
      <c r="HH553"/>
      <c r="HI553"/>
      <c r="HJ553"/>
      <c r="HK553"/>
      <c r="HL553"/>
      <c r="HM553"/>
      <c r="HN553"/>
      <c r="HO553"/>
      <c r="HP553"/>
      <c r="HQ553"/>
      <c r="HR553"/>
      <c r="HS553"/>
      <c r="HT553"/>
      <c r="HU553"/>
      <c r="HV553"/>
      <c r="HW553"/>
      <c r="HX553"/>
      <c r="HY553"/>
      <c r="HZ553"/>
      <c r="IA553"/>
      <c r="IB553"/>
      <c r="IC553"/>
      <c r="ID553"/>
      <c r="IE553"/>
      <c r="IF553"/>
      <c r="IG553"/>
      <c r="IH553"/>
      <c r="II553"/>
      <c r="IJ553"/>
      <c r="IK553"/>
      <c r="IL553"/>
      <c r="IM553"/>
      <c r="IN553"/>
      <c r="IO553"/>
      <c r="IP553"/>
      <c r="IQ553"/>
      <c r="IR553"/>
      <c r="IS553"/>
      <c r="IT553"/>
      <c r="IU553"/>
      <c r="IV553"/>
      <c r="IW553"/>
      <c r="IX553"/>
      <c r="IY553"/>
      <c r="IZ553"/>
      <c r="JA553"/>
      <c r="JB553"/>
      <c r="JC553"/>
      <c r="JD553"/>
      <c r="JE553"/>
      <c r="JF553"/>
      <c r="JG553"/>
      <c r="JH553"/>
      <c r="JI553"/>
      <c r="JJ553"/>
      <c r="JK553"/>
      <c r="JL553"/>
      <c r="JM553"/>
      <c r="JN553"/>
      <c r="JO553"/>
      <c r="JP553"/>
      <c r="JQ553"/>
      <c r="JR553"/>
      <c r="JS553"/>
      <c r="JT553"/>
      <c r="JU553"/>
      <c r="JV553"/>
      <c r="JW553"/>
      <c r="JX553"/>
      <c r="JY553"/>
      <c r="JZ553"/>
      <c r="KA553"/>
      <c r="KB553"/>
      <c r="KC553"/>
      <c r="KD553"/>
      <c r="KE553"/>
      <c r="KF553"/>
      <c r="KG553"/>
      <c r="KH553"/>
      <c r="KI553"/>
      <c r="KJ553"/>
      <c r="KK553"/>
      <c r="KL553"/>
      <c r="KM553"/>
      <c r="KN553"/>
      <c r="KO553"/>
      <c r="KP553"/>
      <c r="KQ553"/>
      <c r="KR553"/>
      <c r="KS553"/>
    </row>
    <row r="554" spans="2:305" hidden="1" x14ac:dyDescent="0.35">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c r="AL554"/>
      <c r="AM554"/>
      <c r="AN554"/>
      <c r="AO554"/>
      <c r="AP554"/>
      <c r="AQ554"/>
      <c r="AR554"/>
      <c r="AS554"/>
      <c r="AT554"/>
      <c r="AU554"/>
      <c r="AV554"/>
      <c r="AW554"/>
      <c r="AX554"/>
      <c r="AY554"/>
      <c r="AZ554"/>
      <c r="BA554"/>
      <c r="BB554"/>
      <c r="BC554"/>
      <c r="BD554"/>
      <c r="BE554"/>
      <c r="BF554"/>
      <c r="BG554"/>
      <c r="BH554"/>
      <c r="BI554"/>
      <c r="BJ554"/>
      <c r="BK554"/>
      <c r="BL554"/>
      <c r="BM554"/>
      <c r="BN554"/>
      <c r="BO554"/>
      <c r="BP554"/>
      <c r="BQ554"/>
      <c r="BR554"/>
      <c r="BS554"/>
      <c r="BT554"/>
      <c r="BU554"/>
      <c r="BV554"/>
      <c r="BW554"/>
      <c r="BX554"/>
      <c r="BY554"/>
      <c r="BZ554"/>
      <c r="CA554"/>
      <c r="CB554"/>
      <c r="CC554"/>
      <c r="CD554"/>
      <c r="CE554"/>
      <c r="CF554"/>
      <c r="CG554"/>
      <c r="CH554"/>
      <c r="CI554"/>
      <c r="CJ554"/>
      <c r="CK554"/>
      <c r="CL554"/>
      <c r="CM554"/>
      <c r="CN554"/>
      <c r="CO554"/>
      <c r="CP554"/>
      <c r="CQ554"/>
      <c r="CR554"/>
      <c r="CS554"/>
      <c r="CT554"/>
      <c r="CU554"/>
      <c r="CV554"/>
      <c r="CW554"/>
      <c r="CX554"/>
      <c r="CY554"/>
      <c r="CZ554"/>
      <c r="DA554"/>
      <c r="DB554"/>
      <c r="DC554"/>
      <c r="DD554"/>
      <c r="DE554"/>
      <c r="DF554"/>
      <c r="DG554"/>
      <c r="DH554"/>
      <c r="DI554"/>
      <c r="DJ554"/>
      <c r="DK554"/>
      <c r="DL554"/>
      <c r="DM554"/>
      <c r="DN554"/>
      <c r="DO554"/>
      <c r="DP554"/>
      <c r="DQ554"/>
      <c r="DR554"/>
      <c r="DS554"/>
      <c r="DT554"/>
      <c r="DU554"/>
      <c r="DV554"/>
      <c r="DW554"/>
      <c r="DX554"/>
      <c r="DY554"/>
      <c r="DZ554"/>
      <c r="EA554"/>
      <c r="EB554"/>
      <c r="EC554"/>
      <c r="ED554"/>
      <c r="EE554"/>
      <c r="EF554"/>
      <c r="EG554"/>
      <c r="EH554"/>
      <c r="EI554"/>
      <c r="EJ554"/>
      <c r="EK554"/>
      <c r="EL554"/>
      <c r="EM554"/>
      <c r="EN554"/>
      <c r="EO554"/>
      <c r="EP554"/>
      <c r="EQ554"/>
      <c r="ER554"/>
      <c r="ES554"/>
      <c r="ET554"/>
      <c r="EU554"/>
      <c r="EV554"/>
      <c r="EW554"/>
      <c r="EX554"/>
      <c r="EY554"/>
      <c r="EZ554"/>
      <c r="FA554"/>
      <c r="FB554"/>
      <c r="FC554"/>
      <c r="FD554"/>
      <c r="FE554"/>
      <c r="FF554"/>
      <c r="FG554"/>
      <c r="FH554"/>
      <c r="FI554"/>
      <c r="FJ554"/>
      <c r="FK554"/>
      <c r="FL554"/>
      <c r="FM554"/>
      <c r="FN554"/>
      <c r="FO554"/>
      <c r="FP554"/>
      <c r="FQ554"/>
      <c r="FR554"/>
      <c r="FS554"/>
      <c r="FT554"/>
      <c r="FU554"/>
      <c r="FV554"/>
      <c r="FW554"/>
      <c r="FX554"/>
      <c r="FY554"/>
      <c r="FZ554"/>
      <c r="GA554"/>
      <c r="GB554"/>
      <c r="GC554"/>
      <c r="GD554"/>
      <c r="GE554"/>
      <c r="GF554"/>
      <c r="GG554"/>
      <c r="GH554"/>
      <c r="GI554"/>
      <c r="GJ554"/>
      <c r="GK554"/>
      <c r="GL554"/>
      <c r="GM554"/>
      <c r="GN554"/>
      <c r="GO554"/>
      <c r="GP554"/>
      <c r="GQ554"/>
      <c r="GR554"/>
      <c r="GS554"/>
      <c r="GT554"/>
      <c r="GU554"/>
      <c r="GV554"/>
      <c r="GW554"/>
      <c r="GX554"/>
      <c r="GY554"/>
      <c r="GZ554"/>
      <c r="HA554"/>
      <c r="HB554"/>
      <c r="HC554"/>
      <c r="HD554"/>
      <c r="HE554"/>
      <c r="HF554"/>
      <c r="HG554"/>
      <c r="HH554"/>
      <c r="HI554"/>
      <c r="HJ554"/>
      <c r="HK554"/>
      <c r="HL554"/>
      <c r="HM554"/>
      <c r="HN554"/>
      <c r="HO554"/>
      <c r="HP554"/>
      <c r="HQ554"/>
      <c r="HR554"/>
      <c r="HS554"/>
      <c r="HT554"/>
      <c r="HU554"/>
      <c r="HV554"/>
      <c r="HW554"/>
      <c r="HX554"/>
      <c r="HY554"/>
      <c r="HZ554"/>
      <c r="IA554"/>
      <c r="IB554"/>
      <c r="IC554"/>
      <c r="ID554"/>
      <c r="IE554"/>
      <c r="IF554"/>
      <c r="IG554"/>
      <c r="IH554"/>
      <c r="II554"/>
      <c r="IJ554"/>
      <c r="IK554"/>
      <c r="IL554"/>
      <c r="IM554"/>
      <c r="IN554"/>
      <c r="IO554"/>
      <c r="IP554"/>
      <c r="IQ554"/>
      <c r="IR554"/>
      <c r="IS554"/>
      <c r="IT554"/>
      <c r="IU554"/>
      <c r="IV554"/>
      <c r="IW554"/>
      <c r="IX554"/>
      <c r="IY554"/>
      <c r="IZ554"/>
      <c r="JA554"/>
      <c r="JB554"/>
      <c r="JC554"/>
      <c r="JD554"/>
      <c r="JE554"/>
      <c r="JF554"/>
      <c r="JG554"/>
      <c r="JH554"/>
      <c r="JI554"/>
      <c r="JJ554"/>
      <c r="JK554"/>
      <c r="JL554"/>
      <c r="JM554"/>
      <c r="JN554"/>
      <c r="JO554"/>
      <c r="JP554"/>
      <c r="JQ554"/>
      <c r="JR554"/>
      <c r="JS554"/>
      <c r="JT554"/>
      <c r="JU554"/>
      <c r="JV554"/>
      <c r="JW554"/>
      <c r="JX554"/>
      <c r="JY554"/>
      <c r="JZ554"/>
      <c r="KA554"/>
      <c r="KB554"/>
      <c r="KC554"/>
      <c r="KD554"/>
      <c r="KE554"/>
      <c r="KF554"/>
      <c r="KG554"/>
      <c r="KH554"/>
      <c r="KI554"/>
      <c r="KJ554"/>
      <c r="KK554"/>
      <c r="KL554"/>
      <c r="KM554"/>
      <c r="KN554"/>
      <c r="KO554"/>
      <c r="KP554"/>
      <c r="KQ554"/>
      <c r="KR554"/>
      <c r="KS554"/>
    </row>
    <row r="555" spans="2:305" hidden="1" x14ac:dyDescent="0.3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c r="AZ555"/>
      <c r="BA555"/>
      <c r="BB555"/>
      <c r="BC555"/>
      <c r="BD555"/>
      <c r="BE555"/>
      <c r="BF555"/>
      <c r="BG555"/>
      <c r="BH555"/>
      <c r="BI555"/>
      <c r="BJ555"/>
      <c r="BK555"/>
      <c r="BL555"/>
      <c r="BM555"/>
      <c r="BN555"/>
      <c r="BO555"/>
      <c r="BP555"/>
      <c r="BQ555"/>
      <c r="BR555"/>
      <c r="BS555"/>
      <c r="BT555"/>
      <c r="BU555"/>
      <c r="BV555"/>
      <c r="BW555"/>
      <c r="BX555"/>
      <c r="BY555"/>
      <c r="BZ555"/>
      <c r="CA555"/>
      <c r="CB555"/>
      <c r="CC555"/>
      <c r="CD555"/>
      <c r="CE555"/>
      <c r="CF555"/>
      <c r="CG555"/>
      <c r="CH555"/>
      <c r="CI555"/>
      <c r="CJ555"/>
      <c r="CK555"/>
      <c r="CL555"/>
      <c r="CM555"/>
      <c r="CN555"/>
      <c r="CO555"/>
      <c r="CP555"/>
      <c r="CQ555"/>
      <c r="CR555"/>
      <c r="CS555"/>
      <c r="CT555"/>
      <c r="CU555"/>
      <c r="CV555"/>
      <c r="CW555"/>
      <c r="CX555"/>
      <c r="CY555"/>
      <c r="CZ555"/>
      <c r="DA555"/>
      <c r="DB555"/>
      <c r="DC555"/>
      <c r="DD555"/>
      <c r="DE555"/>
      <c r="DF555"/>
      <c r="DG555"/>
      <c r="DH555"/>
      <c r="DI555"/>
      <c r="DJ555"/>
      <c r="DK555"/>
      <c r="DL555"/>
      <c r="DM555"/>
      <c r="DN555"/>
      <c r="DO555"/>
      <c r="DP555"/>
      <c r="DQ555"/>
      <c r="DR555"/>
      <c r="DS555"/>
      <c r="DT555"/>
      <c r="DU555"/>
      <c r="DV555"/>
      <c r="DW555"/>
      <c r="DX555"/>
      <c r="DY555"/>
      <c r="DZ555"/>
      <c r="EA555"/>
      <c r="EB555"/>
      <c r="EC555"/>
      <c r="ED555"/>
      <c r="EE555"/>
      <c r="EF555"/>
      <c r="EG555"/>
      <c r="EH555"/>
      <c r="EI555"/>
      <c r="EJ555"/>
      <c r="EK555"/>
      <c r="EL555"/>
      <c r="EM555"/>
      <c r="EN555"/>
      <c r="EO555"/>
      <c r="EP555"/>
      <c r="EQ555"/>
      <c r="ER555"/>
      <c r="ES555"/>
      <c r="ET555"/>
      <c r="EU555"/>
      <c r="EV555"/>
      <c r="EW555"/>
      <c r="EX555"/>
      <c r="EY555"/>
      <c r="EZ555"/>
      <c r="FA555"/>
      <c r="FB555"/>
      <c r="FC555"/>
      <c r="FD555"/>
      <c r="FE555"/>
      <c r="FF555"/>
      <c r="FG555"/>
      <c r="FH555"/>
      <c r="FI555"/>
      <c r="FJ555"/>
      <c r="FK555"/>
      <c r="FL555"/>
      <c r="FM555"/>
      <c r="FN555"/>
      <c r="FO555"/>
      <c r="FP555"/>
      <c r="FQ555"/>
      <c r="FR555"/>
      <c r="FS555"/>
      <c r="FT555"/>
      <c r="FU555"/>
      <c r="FV555"/>
      <c r="FW555"/>
      <c r="FX555"/>
      <c r="FY555"/>
      <c r="FZ555"/>
      <c r="GA555"/>
      <c r="GB555"/>
      <c r="GC555"/>
      <c r="GD555"/>
      <c r="GE555"/>
      <c r="GF555"/>
      <c r="GG555"/>
      <c r="GH555"/>
      <c r="GI555"/>
      <c r="GJ555"/>
      <c r="GK555"/>
      <c r="GL555"/>
      <c r="GM555"/>
      <c r="GN555"/>
      <c r="GO555"/>
      <c r="GP555"/>
      <c r="GQ555"/>
      <c r="GR555"/>
      <c r="GS555"/>
      <c r="GT555"/>
      <c r="GU555"/>
      <c r="GV555"/>
      <c r="GW555"/>
      <c r="GX555"/>
      <c r="GY555"/>
      <c r="GZ555"/>
      <c r="HA555"/>
      <c r="HB555"/>
      <c r="HC555"/>
      <c r="HD555"/>
      <c r="HE555"/>
      <c r="HF555"/>
      <c r="HG555"/>
      <c r="HH555"/>
      <c r="HI555"/>
      <c r="HJ555"/>
      <c r="HK555"/>
      <c r="HL555"/>
      <c r="HM555"/>
      <c r="HN555"/>
      <c r="HO555"/>
      <c r="HP555"/>
      <c r="HQ555"/>
      <c r="HR555"/>
      <c r="HS555"/>
      <c r="HT555"/>
      <c r="HU555"/>
      <c r="HV555"/>
      <c r="HW555"/>
      <c r="HX555"/>
      <c r="HY555"/>
      <c r="HZ555"/>
      <c r="IA555"/>
      <c r="IB555"/>
      <c r="IC555"/>
      <c r="ID555"/>
      <c r="IE555"/>
      <c r="IF555"/>
      <c r="IG555"/>
      <c r="IH555"/>
      <c r="II555"/>
      <c r="IJ555"/>
      <c r="IK555"/>
      <c r="IL555"/>
      <c r="IM555"/>
      <c r="IN555"/>
      <c r="IO555"/>
      <c r="IP555"/>
      <c r="IQ555"/>
      <c r="IR555"/>
      <c r="IS555"/>
      <c r="IT555"/>
      <c r="IU555"/>
      <c r="IV555"/>
      <c r="IW555"/>
      <c r="IX555"/>
      <c r="IY555"/>
      <c r="IZ555"/>
      <c r="JA555"/>
      <c r="JB555"/>
      <c r="JC555"/>
      <c r="JD555"/>
      <c r="JE555"/>
      <c r="JF555"/>
      <c r="JG555"/>
      <c r="JH555"/>
      <c r="JI555"/>
      <c r="JJ555"/>
      <c r="JK555"/>
      <c r="JL555"/>
      <c r="JM555"/>
      <c r="JN555"/>
      <c r="JO555"/>
      <c r="JP555"/>
      <c r="JQ555"/>
      <c r="JR555"/>
      <c r="JS555"/>
      <c r="JT555"/>
      <c r="JU555"/>
      <c r="JV555"/>
      <c r="JW555"/>
      <c r="JX555"/>
      <c r="JY555"/>
      <c r="JZ555"/>
      <c r="KA555"/>
      <c r="KB555"/>
      <c r="KC555"/>
      <c r="KD555"/>
      <c r="KE555"/>
      <c r="KF555"/>
      <c r="KG555"/>
      <c r="KH555"/>
      <c r="KI555"/>
      <c r="KJ555"/>
      <c r="KK555"/>
      <c r="KL555"/>
      <c r="KM555"/>
      <c r="KN555"/>
      <c r="KO555"/>
      <c r="KP555"/>
      <c r="KQ555"/>
      <c r="KR555"/>
      <c r="KS555"/>
    </row>
    <row r="556" spans="2:305" hidden="1" x14ac:dyDescent="0.35">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c r="AL556"/>
      <c r="AM556"/>
      <c r="AN556"/>
      <c r="AO556"/>
      <c r="AP556"/>
      <c r="AQ556"/>
      <c r="AR556"/>
      <c r="AS556"/>
      <c r="AT556"/>
      <c r="AU556"/>
      <c r="AV556"/>
      <c r="AW556"/>
      <c r="AX556"/>
      <c r="AY556"/>
      <c r="AZ556"/>
      <c r="BA556"/>
      <c r="BB556"/>
      <c r="BC556"/>
      <c r="BD556"/>
      <c r="BE556"/>
      <c r="BF556"/>
      <c r="BG556"/>
      <c r="BH556"/>
      <c r="BI556"/>
      <c r="BJ556"/>
      <c r="BK556"/>
      <c r="BL556"/>
      <c r="BM556"/>
      <c r="BN556"/>
      <c r="BO556"/>
      <c r="BP556"/>
      <c r="BQ556"/>
      <c r="BR556"/>
      <c r="BS556"/>
      <c r="BT556"/>
      <c r="BU556"/>
      <c r="BV556"/>
      <c r="BW556"/>
      <c r="BX556"/>
      <c r="BY556"/>
      <c r="BZ556"/>
      <c r="CA556"/>
      <c r="CB556"/>
      <c r="CC556"/>
      <c r="CD556"/>
      <c r="CE556"/>
      <c r="CF556"/>
      <c r="CG556"/>
      <c r="CH556"/>
      <c r="CI556"/>
      <c r="CJ556"/>
      <c r="CK556"/>
      <c r="CL556"/>
      <c r="CM556"/>
      <c r="CN556"/>
      <c r="CO556"/>
      <c r="CP556"/>
      <c r="CQ556"/>
      <c r="CR556"/>
      <c r="CS556"/>
      <c r="CT556"/>
      <c r="CU556"/>
      <c r="CV556"/>
      <c r="CW556"/>
      <c r="CX556"/>
      <c r="CY556"/>
      <c r="CZ556"/>
      <c r="DA556"/>
      <c r="DB556"/>
      <c r="DC556"/>
      <c r="DD556"/>
      <c r="DE556"/>
      <c r="DF556"/>
      <c r="DG556"/>
      <c r="DH556"/>
      <c r="DI556"/>
      <c r="DJ556"/>
      <c r="DK556"/>
      <c r="DL556"/>
      <c r="DM556"/>
      <c r="DN556"/>
      <c r="DO556"/>
      <c r="DP556"/>
      <c r="DQ556"/>
      <c r="DR556"/>
      <c r="DS556"/>
      <c r="DT556"/>
      <c r="DU556"/>
      <c r="DV556"/>
      <c r="DW556"/>
      <c r="DX556"/>
      <c r="DY556"/>
      <c r="DZ556"/>
      <c r="EA556"/>
      <c r="EB556"/>
      <c r="EC556"/>
      <c r="ED556"/>
      <c r="EE556"/>
      <c r="EF556"/>
      <c r="EG556"/>
      <c r="EH556"/>
      <c r="EI556"/>
      <c r="EJ556"/>
      <c r="EK556"/>
      <c r="EL556"/>
      <c r="EM556"/>
      <c r="EN556"/>
      <c r="EO556"/>
      <c r="EP556"/>
      <c r="EQ556"/>
      <c r="ER556"/>
      <c r="ES556"/>
      <c r="ET556"/>
      <c r="EU556"/>
      <c r="EV556"/>
      <c r="EW556"/>
      <c r="EX556"/>
      <c r="EY556"/>
      <c r="EZ556"/>
      <c r="FA556"/>
      <c r="FB556"/>
      <c r="FC556"/>
      <c r="FD556"/>
      <c r="FE556"/>
      <c r="FF556"/>
      <c r="FG556"/>
      <c r="FH556"/>
      <c r="FI556"/>
      <c r="FJ556"/>
      <c r="FK556"/>
      <c r="FL556"/>
      <c r="FM556"/>
      <c r="FN556"/>
      <c r="FO556"/>
      <c r="FP556"/>
      <c r="FQ556"/>
      <c r="FR556"/>
      <c r="FS556"/>
      <c r="FT556"/>
      <c r="FU556"/>
      <c r="FV556"/>
      <c r="FW556"/>
      <c r="FX556"/>
      <c r="FY556"/>
      <c r="FZ556"/>
      <c r="GA556"/>
      <c r="GB556"/>
      <c r="GC556"/>
      <c r="GD556"/>
      <c r="GE556"/>
      <c r="GF556"/>
      <c r="GG556"/>
      <c r="GH556"/>
      <c r="GI556"/>
      <c r="GJ556"/>
      <c r="GK556"/>
      <c r="GL556"/>
      <c r="GM556"/>
      <c r="GN556"/>
      <c r="GO556"/>
      <c r="GP556"/>
      <c r="GQ556"/>
      <c r="GR556"/>
      <c r="GS556"/>
      <c r="GT556"/>
      <c r="GU556"/>
      <c r="GV556"/>
      <c r="GW556"/>
      <c r="GX556"/>
      <c r="GY556"/>
      <c r="GZ556"/>
      <c r="HA556"/>
      <c r="HB556"/>
      <c r="HC556"/>
      <c r="HD556"/>
      <c r="HE556"/>
      <c r="HF556"/>
      <c r="HG556"/>
      <c r="HH556"/>
      <c r="HI556"/>
      <c r="HJ556"/>
      <c r="HK556"/>
      <c r="HL556"/>
      <c r="HM556"/>
      <c r="HN556"/>
      <c r="HO556"/>
      <c r="HP556"/>
      <c r="HQ556"/>
      <c r="HR556"/>
      <c r="HS556"/>
      <c r="HT556"/>
      <c r="HU556"/>
      <c r="HV556"/>
      <c r="HW556"/>
      <c r="HX556"/>
      <c r="HY556"/>
      <c r="HZ556"/>
      <c r="IA556"/>
      <c r="IB556"/>
      <c r="IC556"/>
      <c r="ID556"/>
      <c r="IE556"/>
      <c r="IF556"/>
      <c r="IG556"/>
      <c r="IH556"/>
      <c r="II556"/>
      <c r="IJ556"/>
      <c r="IK556"/>
      <c r="IL556"/>
      <c r="IM556"/>
      <c r="IN556"/>
      <c r="IO556"/>
      <c r="IP556"/>
      <c r="IQ556"/>
      <c r="IR556"/>
      <c r="IS556"/>
      <c r="IT556"/>
      <c r="IU556"/>
      <c r="IV556"/>
      <c r="IW556"/>
      <c r="IX556"/>
      <c r="IY556"/>
      <c r="IZ556"/>
      <c r="JA556"/>
      <c r="JB556"/>
      <c r="JC556"/>
      <c r="JD556"/>
      <c r="JE556"/>
      <c r="JF556"/>
      <c r="JG556"/>
      <c r="JH556"/>
      <c r="JI556"/>
      <c r="JJ556"/>
      <c r="JK556"/>
      <c r="JL556"/>
      <c r="JM556"/>
      <c r="JN556"/>
      <c r="JO556"/>
      <c r="JP556"/>
      <c r="JQ556"/>
      <c r="JR556"/>
      <c r="JS556"/>
      <c r="JT556"/>
      <c r="JU556"/>
      <c r="JV556"/>
      <c r="JW556"/>
      <c r="JX556"/>
      <c r="JY556"/>
      <c r="JZ556"/>
      <c r="KA556"/>
      <c r="KB556"/>
      <c r="KC556"/>
      <c r="KD556"/>
      <c r="KE556"/>
      <c r="KF556"/>
      <c r="KG556"/>
      <c r="KH556"/>
      <c r="KI556"/>
      <c r="KJ556"/>
      <c r="KK556"/>
      <c r="KL556"/>
      <c r="KM556"/>
      <c r="KN556"/>
      <c r="KO556"/>
      <c r="KP556"/>
      <c r="KQ556"/>
      <c r="KR556"/>
      <c r="KS556"/>
    </row>
    <row r="557" spans="2:305" hidden="1" x14ac:dyDescent="0.35">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c r="AL557"/>
      <c r="AM557"/>
      <c r="AN557"/>
      <c r="AO557"/>
      <c r="AP557"/>
      <c r="AQ557"/>
      <c r="AR557"/>
      <c r="AS557"/>
      <c r="AT557"/>
      <c r="AU557"/>
      <c r="AV557"/>
      <c r="AW557"/>
      <c r="AX557"/>
      <c r="AY557"/>
      <c r="AZ557"/>
      <c r="BA557"/>
      <c r="BB557"/>
      <c r="BC557"/>
      <c r="BD557"/>
      <c r="BE557"/>
      <c r="BF557"/>
      <c r="BG557"/>
      <c r="BH557"/>
      <c r="BI557"/>
      <c r="BJ557"/>
      <c r="BK557"/>
      <c r="BL557"/>
      <c r="BM557"/>
      <c r="BN557"/>
      <c r="BO557"/>
      <c r="BP557"/>
      <c r="BQ557"/>
      <c r="BR557"/>
      <c r="BS557"/>
      <c r="BT557"/>
      <c r="BU557"/>
      <c r="BV557"/>
      <c r="BW557"/>
      <c r="BX557"/>
      <c r="BY557"/>
      <c r="BZ557"/>
      <c r="CA557"/>
      <c r="CB557"/>
      <c r="CC557"/>
      <c r="CD557"/>
      <c r="CE557"/>
      <c r="CF557"/>
      <c r="CG557"/>
      <c r="CH557"/>
      <c r="CI557"/>
      <c r="CJ557"/>
      <c r="CK557"/>
      <c r="CL557"/>
      <c r="CM557"/>
      <c r="CN557"/>
      <c r="CO557"/>
      <c r="CP557"/>
      <c r="CQ557"/>
      <c r="CR557"/>
      <c r="CS557"/>
      <c r="CT557"/>
      <c r="CU557"/>
      <c r="CV557"/>
      <c r="CW557"/>
      <c r="CX557"/>
      <c r="CY557"/>
      <c r="CZ557"/>
      <c r="DA557"/>
      <c r="DB557"/>
      <c r="DC557"/>
      <c r="DD557"/>
      <c r="DE557"/>
      <c r="DF557"/>
      <c r="DG557"/>
      <c r="DH557"/>
      <c r="DI557"/>
      <c r="DJ557"/>
      <c r="DK557"/>
      <c r="DL557"/>
      <c r="DM557"/>
      <c r="DN557"/>
      <c r="DO557"/>
      <c r="DP557"/>
      <c r="DQ557"/>
      <c r="DR557"/>
      <c r="DS557"/>
      <c r="DT557"/>
      <c r="DU557"/>
      <c r="DV557"/>
      <c r="DW557"/>
      <c r="DX557"/>
      <c r="DY557"/>
      <c r="DZ557"/>
      <c r="EA557"/>
      <c r="EB557"/>
      <c r="EC557"/>
      <c r="ED557"/>
      <c r="EE557"/>
      <c r="EF557"/>
      <c r="EG557"/>
      <c r="EH557"/>
      <c r="EI557"/>
      <c r="EJ557"/>
      <c r="EK557"/>
      <c r="EL557"/>
      <c r="EM557"/>
      <c r="EN557"/>
      <c r="EO557"/>
      <c r="EP557"/>
      <c r="EQ557"/>
      <c r="ER557"/>
      <c r="ES557"/>
      <c r="ET557"/>
      <c r="EU557"/>
      <c r="EV557"/>
      <c r="EW557"/>
      <c r="EX557"/>
      <c r="EY557"/>
      <c r="EZ557"/>
      <c r="FA557"/>
      <c r="FB557"/>
      <c r="FC557"/>
      <c r="FD557"/>
      <c r="FE557"/>
      <c r="FF557"/>
      <c r="FG557"/>
      <c r="FH557"/>
      <c r="FI557"/>
      <c r="FJ557"/>
      <c r="FK557"/>
      <c r="FL557"/>
      <c r="FM557"/>
      <c r="FN557"/>
      <c r="FO557"/>
      <c r="FP557"/>
      <c r="FQ557"/>
      <c r="FR557"/>
      <c r="FS557"/>
      <c r="FT557"/>
      <c r="FU557"/>
      <c r="FV557"/>
      <c r="FW557"/>
      <c r="FX557"/>
      <c r="FY557"/>
      <c r="FZ557"/>
      <c r="GA557"/>
      <c r="GB557"/>
      <c r="GC557"/>
      <c r="GD557"/>
      <c r="GE557"/>
      <c r="GF557"/>
      <c r="GG557"/>
      <c r="GH557"/>
      <c r="GI557"/>
      <c r="GJ557"/>
      <c r="GK557"/>
      <c r="GL557"/>
      <c r="GM557"/>
      <c r="GN557"/>
      <c r="GO557"/>
      <c r="GP557"/>
      <c r="GQ557"/>
      <c r="GR557"/>
      <c r="GS557"/>
      <c r="GT557"/>
      <c r="GU557"/>
      <c r="GV557"/>
      <c r="GW557"/>
      <c r="GX557"/>
      <c r="GY557"/>
      <c r="GZ557"/>
      <c r="HA557"/>
      <c r="HB557"/>
      <c r="HC557"/>
      <c r="HD557"/>
      <c r="HE557"/>
      <c r="HF557"/>
      <c r="HG557"/>
      <c r="HH557"/>
      <c r="HI557"/>
      <c r="HJ557"/>
      <c r="HK557"/>
      <c r="HL557"/>
      <c r="HM557"/>
      <c r="HN557"/>
      <c r="HO557"/>
      <c r="HP557"/>
      <c r="HQ557"/>
      <c r="HR557"/>
      <c r="HS557"/>
      <c r="HT557"/>
      <c r="HU557"/>
      <c r="HV557"/>
      <c r="HW557"/>
      <c r="HX557"/>
      <c r="HY557"/>
      <c r="HZ557"/>
      <c r="IA557"/>
      <c r="IB557"/>
      <c r="IC557"/>
      <c r="ID557"/>
      <c r="IE557"/>
      <c r="IF557"/>
      <c r="IG557"/>
      <c r="IH557"/>
      <c r="II557"/>
      <c r="IJ557"/>
      <c r="IK557"/>
      <c r="IL557"/>
      <c r="IM557"/>
      <c r="IN557"/>
      <c r="IO557"/>
      <c r="IP557"/>
      <c r="IQ557"/>
      <c r="IR557"/>
      <c r="IS557"/>
      <c r="IT557"/>
      <c r="IU557"/>
      <c r="IV557"/>
      <c r="IW557"/>
      <c r="IX557"/>
      <c r="IY557"/>
      <c r="IZ557"/>
      <c r="JA557"/>
      <c r="JB557"/>
      <c r="JC557"/>
      <c r="JD557"/>
      <c r="JE557"/>
      <c r="JF557"/>
      <c r="JG557"/>
      <c r="JH557"/>
      <c r="JI557"/>
      <c r="JJ557"/>
      <c r="JK557"/>
      <c r="JL557"/>
      <c r="JM557"/>
      <c r="JN557"/>
      <c r="JO557"/>
      <c r="JP557"/>
      <c r="JQ557"/>
      <c r="JR557"/>
      <c r="JS557"/>
      <c r="JT557"/>
      <c r="JU557"/>
      <c r="JV557"/>
      <c r="JW557"/>
      <c r="JX557"/>
      <c r="JY557"/>
      <c r="JZ557"/>
      <c r="KA557"/>
      <c r="KB557"/>
      <c r="KC557"/>
      <c r="KD557"/>
      <c r="KE557"/>
      <c r="KF557"/>
      <c r="KG557"/>
      <c r="KH557"/>
      <c r="KI557"/>
      <c r="KJ557"/>
      <c r="KK557"/>
      <c r="KL557"/>
      <c r="KM557"/>
      <c r="KN557"/>
      <c r="KO557"/>
      <c r="KP557"/>
      <c r="KQ557"/>
      <c r="KR557"/>
      <c r="KS557"/>
    </row>
    <row r="558" spans="2:305" hidden="1" x14ac:dyDescent="0.35">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c r="AL558"/>
      <c r="AM558"/>
      <c r="AN558"/>
      <c r="AO558"/>
      <c r="AP558"/>
      <c r="AQ558"/>
      <c r="AR558"/>
      <c r="AS558"/>
      <c r="AT558"/>
      <c r="AU558"/>
      <c r="AV558"/>
      <c r="AW558"/>
      <c r="AX558"/>
      <c r="AY558"/>
      <c r="AZ558"/>
      <c r="BA558"/>
      <c r="BB558"/>
      <c r="BC558"/>
      <c r="BD558"/>
      <c r="BE558"/>
      <c r="BF558"/>
      <c r="BG558"/>
      <c r="BH558"/>
      <c r="BI558"/>
      <c r="BJ558"/>
      <c r="BK558"/>
      <c r="BL558"/>
      <c r="BM558"/>
      <c r="BN558"/>
      <c r="BO558"/>
      <c r="BP558"/>
      <c r="BQ558"/>
      <c r="BR558"/>
      <c r="BS558"/>
      <c r="BT558"/>
      <c r="BU558"/>
      <c r="BV558"/>
      <c r="BW558"/>
      <c r="BX558"/>
      <c r="BY558"/>
      <c r="BZ558"/>
      <c r="CA558"/>
      <c r="CB558"/>
      <c r="CC558"/>
      <c r="CD558"/>
      <c r="CE558"/>
      <c r="CF558"/>
      <c r="CG558"/>
      <c r="CH558"/>
      <c r="CI558"/>
      <c r="CJ558"/>
      <c r="CK558"/>
      <c r="CL558"/>
      <c r="CM558"/>
      <c r="CN558"/>
      <c r="CO558"/>
      <c r="CP558"/>
      <c r="CQ558"/>
      <c r="CR558"/>
      <c r="CS558"/>
      <c r="CT558"/>
      <c r="CU558"/>
      <c r="CV558"/>
      <c r="CW558"/>
      <c r="CX558"/>
      <c r="CY558"/>
      <c r="CZ558"/>
      <c r="DA558"/>
      <c r="DB558"/>
      <c r="DC558"/>
      <c r="DD558"/>
      <c r="DE558"/>
      <c r="DF558"/>
      <c r="DG558"/>
      <c r="DH558"/>
      <c r="DI558"/>
      <c r="DJ558"/>
      <c r="DK558"/>
      <c r="DL558"/>
      <c r="DM558"/>
      <c r="DN558"/>
      <c r="DO558"/>
      <c r="DP558"/>
      <c r="DQ558"/>
      <c r="DR558"/>
      <c r="DS558"/>
      <c r="DT558"/>
      <c r="DU558"/>
      <c r="DV558"/>
      <c r="DW558"/>
      <c r="DX558"/>
      <c r="DY558"/>
      <c r="DZ558"/>
      <c r="EA558"/>
      <c r="EB558"/>
      <c r="EC558"/>
      <c r="ED558"/>
      <c r="EE558"/>
      <c r="EF558"/>
      <c r="EG558"/>
      <c r="EH558"/>
      <c r="EI558"/>
      <c r="EJ558"/>
      <c r="EK558"/>
      <c r="EL558"/>
      <c r="EM558"/>
      <c r="EN558"/>
      <c r="EO558"/>
      <c r="EP558"/>
      <c r="EQ558"/>
      <c r="ER558"/>
      <c r="ES558"/>
      <c r="ET558"/>
      <c r="EU558"/>
      <c r="EV558"/>
      <c r="EW558"/>
      <c r="EX558"/>
      <c r="EY558"/>
      <c r="EZ558"/>
      <c r="FA558"/>
      <c r="FB558"/>
      <c r="FC558"/>
      <c r="FD558"/>
      <c r="FE558"/>
      <c r="FF558"/>
      <c r="FG558"/>
      <c r="FH558"/>
      <c r="FI558"/>
      <c r="FJ558"/>
      <c r="FK558"/>
      <c r="FL558"/>
      <c r="FM558"/>
      <c r="FN558"/>
      <c r="FO558"/>
      <c r="FP558"/>
      <c r="FQ558"/>
      <c r="FR558"/>
      <c r="FS558"/>
      <c r="FT558"/>
      <c r="FU558"/>
      <c r="FV558"/>
      <c r="FW558"/>
      <c r="FX558"/>
      <c r="FY558"/>
      <c r="FZ558"/>
      <c r="GA558"/>
      <c r="GB558"/>
      <c r="GC558"/>
      <c r="GD558"/>
      <c r="GE558"/>
      <c r="GF558"/>
      <c r="GG558"/>
      <c r="GH558"/>
      <c r="GI558"/>
      <c r="GJ558"/>
      <c r="GK558"/>
      <c r="GL558"/>
      <c r="GM558"/>
      <c r="GN558"/>
      <c r="GO558"/>
      <c r="GP558"/>
      <c r="GQ558"/>
      <c r="GR558"/>
      <c r="GS558"/>
      <c r="GT558"/>
      <c r="GU558"/>
      <c r="GV558"/>
      <c r="GW558"/>
      <c r="GX558"/>
      <c r="GY558"/>
      <c r="GZ558"/>
      <c r="HA558"/>
      <c r="HB558"/>
      <c r="HC558"/>
      <c r="HD558"/>
      <c r="HE558"/>
      <c r="HF558"/>
      <c r="HG558"/>
      <c r="HH558"/>
      <c r="HI558"/>
      <c r="HJ558"/>
      <c r="HK558"/>
      <c r="HL558"/>
      <c r="HM558"/>
      <c r="HN558"/>
      <c r="HO558"/>
      <c r="HP558"/>
      <c r="HQ558"/>
      <c r="HR558"/>
      <c r="HS558"/>
      <c r="HT558"/>
      <c r="HU558"/>
      <c r="HV558"/>
      <c r="HW558"/>
      <c r="HX558"/>
      <c r="HY558"/>
      <c r="HZ558"/>
      <c r="IA558"/>
      <c r="IB558"/>
      <c r="IC558"/>
      <c r="ID558"/>
      <c r="IE558"/>
      <c r="IF558"/>
      <c r="IG558"/>
      <c r="IH558"/>
      <c r="II558"/>
      <c r="IJ558"/>
      <c r="IK558"/>
      <c r="IL558"/>
      <c r="IM558"/>
      <c r="IN558"/>
      <c r="IO558"/>
      <c r="IP558"/>
      <c r="IQ558"/>
      <c r="IR558"/>
      <c r="IS558"/>
      <c r="IT558"/>
      <c r="IU558"/>
      <c r="IV558"/>
      <c r="IW558"/>
      <c r="IX558"/>
      <c r="IY558"/>
      <c r="IZ558"/>
      <c r="JA558"/>
      <c r="JB558"/>
      <c r="JC558"/>
      <c r="JD558"/>
      <c r="JE558"/>
      <c r="JF558"/>
      <c r="JG558"/>
      <c r="JH558"/>
      <c r="JI558"/>
      <c r="JJ558"/>
      <c r="JK558"/>
      <c r="JL558"/>
      <c r="JM558"/>
      <c r="JN558"/>
      <c r="JO558"/>
      <c r="JP558"/>
      <c r="JQ558"/>
      <c r="JR558"/>
      <c r="JS558"/>
      <c r="JT558"/>
      <c r="JU558"/>
      <c r="JV558"/>
      <c r="JW558"/>
      <c r="JX558"/>
      <c r="JY558"/>
      <c r="JZ558"/>
      <c r="KA558"/>
      <c r="KB558"/>
      <c r="KC558"/>
      <c r="KD558"/>
      <c r="KE558"/>
      <c r="KF558"/>
      <c r="KG558"/>
      <c r="KH558"/>
      <c r="KI558"/>
      <c r="KJ558"/>
      <c r="KK558"/>
      <c r="KL558"/>
      <c r="KM558"/>
      <c r="KN558"/>
      <c r="KO558"/>
      <c r="KP558"/>
      <c r="KQ558"/>
      <c r="KR558"/>
      <c r="KS558"/>
    </row>
    <row r="559" spans="2:305" hidden="1" x14ac:dyDescent="0.35">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c r="AL559"/>
      <c r="AM559"/>
      <c r="AN559"/>
      <c r="AO559"/>
      <c r="AP559"/>
      <c r="AQ559"/>
      <c r="AR559"/>
      <c r="AS559"/>
      <c r="AT559"/>
      <c r="AU559"/>
      <c r="AV559"/>
      <c r="AW559"/>
      <c r="AX559"/>
      <c r="AY559"/>
      <c r="AZ559"/>
      <c r="BA559"/>
      <c r="BB559"/>
      <c r="BC559"/>
      <c r="BD559"/>
      <c r="BE559"/>
      <c r="BF559"/>
      <c r="BG559"/>
      <c r="BH559"/>
      <c r="BI559"/>
      <c r="BJ559"/>
      <c r="BK559"/>
      <c r="BL559"/>
      <c r="BM559"/>
      <c r="BN559"/>
      <c r="BO559"/>
      <c r="BP559"/>
      <c r="BQ559"/>
      <c r="BR559"/>
      <c r="BS559"/>
      <c r="BT559"/>
      <c r="BU559"/>
      <c r="BV559"/>
      <c r="BW559"/>
      <c r="BX559"/>
      <c r="BY559"/>
      <c r="BZ559"/>
      <c r="CA559"/>
      <c r="CB559"/>
      <c r="CC559"/>
      <c r="CD559"/>
      <c r="CE559"/>
      <c r="CF559"/>
      <c r="CG559"/>
      <c r="CH559"/>
      <c r="CI559"/>
      <c r="CJ559"/>
      <c r="CK559"/>
      <c r="CL559"/>
      <c r="CM559"/>
      <c r="CN559"/>
      <c r="CO559"/>
      <c r="CP559"/>
      <c r="CQ559"/>
      <c r="CR559"/>
      <c r="CS559"/>
      <c r="CT559"/>
      <c r="CU559"/>
      <c r="CV559"/>
      <c r="CW559"/>
      <c r="CX559"/>
      <c r="CY559"/>
      <c r="CZ559"/>
      <c r="DA559"/>
      <c r="DB559"/>
      <c r="DC559"/>
      <c r="DD559"/>
      <c r="DE559"/>
      <c r="DF559"/>
      <c r="DG559"/>
      <c r="DH559"/>
      <c r="DI559"/>
      <c r="DJ559"/>
      <c r="DK559"/>
      <c r="DL559"/>
      <c r="DM559"/>
      <c r="DN559"/>
      <c r="DO559"/>
      <c r="DP559"/>
      <c r="DQ559"/>
      <c r="DR559"/>
      <c r="DS559"/>
      <c r="DT559"/>
      <c r="DU559"/>
      <c r="DV559"/>
      <c r="DW559"/>
      <c r="DX559"/>
      <c r="DY559"/>
      <c r="DZ559"/>
      <c r="EA559"/>
      <c r="EB559"/>
      <c r="EC559"/>
      <c r="ED559"/>
      <c r="EE559"/>
      <c r="EF559"/>
      <c r="EG559"/>
      <c r="EH559"/>
      <c r="EI559"/>
      <c r="EJ559"/>
      <c r="EK559"/>
      <c r="EL559"/>
      <c r="EM559"/>
      <c r="EN559"/>
      <c r="EO559"/>
      <c r="EP559"/>
      <c r="EQ559"/>
      <c r="ER559"/>
      <c r="ES559"/>
      <c r="ET559"/>
      <c r="EU559"/>
      <c r="EV559"/>
      <c r="EW559"/>
      <c r="EX559"/>
      <c r="EY559"/>
      <c r="EZ559"/>
      <c r="FA559"/>
      <c r="FB559"/>
      <c r="FC559"/>
      <c r="FD559"/>
      <c r="FE559"/>
      <c r="FF559"/>
      <c r="FG559"/>
      <c r="FH559"/>
      <c r="FI559"/>
      <c r="FJ559"/>
      <c r="FK559"/>
      <c r="FL559"/>
      <c r="FM559"/>
      <c r="FN559"/>
      <c r="FO559"/>
      <c r="FP559"/>
      <c r="FQ559"/>
      <c r="FR559"/>
      <c r="FS559"/>
      <c r="FT559"/>
      <c r="FU559"/>
      <c r="FV559"/>
      <c r="FW559"/>
      <c r="FX559"/>
      <c r="FY559"/>
      <c r="FZ559"/>
      <c r="GA559"/>
      <c r="GB559"/>
      <c r="GC559"/>
      <c r="GD559"/>
      <c r="GE559"/>
      <c r="GF559"/>
      <c r="GG559"/>
      <c r="GH559"/>
      <c r="GI559"/>
      <c r="GJ559"/>
      <c r="GK559"/>
      <c r="GL559"/>
      <c r="GM559"/>
      <c r="GN559"/>
      <c r="GO559"/>
      <c r="GP559"/>
      <c r="GQ559"/>
      <c r="GR559"/>
      <c r="GS559"/>
      <c r="GT559"/>
      <c r="GU559"/>
      <c r="GV559"/>
      <c r="GW559"/>
      <c r="GX559"/>
      <c r="GY559"/>
      <c r="GZ559"/>
      <c r="HA559"/>
      <c r="HB559"/>
      <c r="HC559"/>
      <c r="HD559"/>
      <c r="HE559"/>
      <c r="HF559"/>
      <c r="HG559"/>
      <c r="HH559"/>
      <c r="HI559"/>
      <c r="HJ559"/>
      <c r="HK559"/>
      <c r="HL559"/>
      <c r="HM559"/>
      <c r="HN559"/>
      <c r="HO559"/>
      <c r="HP559"/>
      <c r="HQ559"/>
      <c r="HR559"/>
      <c r="HS559"/>
      <c r="HT559"/>
      <c r="HU559"/>
      <c r="HV559"/>
      <c r="HW559"/>
      <c r="HX559"/>
      <c r="HY559"/>
      <c r="HZ559"/>
      <c r="IA559"/>
      <c r="IB559"/>
      <c r="IC559"/>
      <c r="ID559"/>
      <c r="IE559"/>
      <c r="IF559"/>
      <c r="IG559"/>
      <c r="IH559"/>
      <c r="II559"/>
      <c r="IJ559"/>
      <c r="IK559"/>
      <c r="IL559"/>
      <c r="IM559"/>
      <c r="IN559"/>
      <c r="IO559"/>
      <c r="IP559"/>
      <c r="IQ559"/>
      <c r="IR559"/>
      <c r="IS559"/>
      <c r="IT559"/>
      <c r="IU559"/>
      <c r="IV559"/>
      <c r="IW559"/>
      <c r="IX559"/>
      <c r="IY559"/>
      <c r="IZ559"/>
      <c r="JA559"/>
      <c r="JB559"/>
      <c r="JC559"/>
      <c r="JD559"/>
      <c r="JE559"/>
      <c r="JF559"/>
      <c r="JG559"/>
      <c r="JH559"/>
      <c r="JI559"/>
      <c r="JJ559"/>
      <c r="JK559"/>
      <c r="JL559"/>
      <c r="JM559"/>
      <c r="JN559"/>
      <c r="JO559"/>
      <c r="JP559"/>
      <c r="JQ559"/>
      <c r="JR559"/>
      <c r="JS559"/>
      <c r="JT559"/>
      <c r="JU559"/>
      <c r="JV559"/>
      <c r="JW559"/>
      <c r="JX559"/>
      <c r="JY559"/>
      <c r="JZ559"/>
      <c r="KA559"/>
      <c r="KB559"/>
      <c r="KC559"/>
      <c r="KD559"/>
      <c r="KE559"/>
      <c r="KF559"/>
      <c r="KG559"/>
      <c r="KH559"/>
      <c r="KI559"/>
      <c r="KJ559"/>
      <c r="KK559"/>
      <c r="KL559"/>
      <c r="KM559"/>
      <c r="KN559"/>
      <c r="KO559"/>
      <c r="KP559"/>
      <c r="KQ559"/>
      <c r="KR559"/>
      <c r="KS559"/>
    </row>
    <row r="560" spans="2:305" hidden="1" x14ac:dyDescent="0.35">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c r="AL560"/>
      <c r="AM560"/>
      <c r="AN560"/>
      <c r="AO560"/>
      <c r="AP560"/>
      <c r="AQ560"/>
      <c r="AR560"/>
      <c r="AS560"/>
      <c r="AT560"/>
      <c r="AU560"/>
      <c r="AV560"/>
      <c r="AW560"/>
      <c r="AX560"/>
      <c r="AY560"/>
      <c r="AZ560"/>
      <c r="BA560"/>
      <c r="BB560"/>
      <c r="BC560"/>
      <c r="BD560"/>
      <c r="BE560"/>
      <c r="BF560"/>
      <c r="BG560"/>
      <c r="BH560"/>
      <c r="BI560"/>
      <c r="BJ560"/>
      <c r="BK560"/>
      <c r="BL560"/>
      <c r="BM560"/>
      <c r="BN560"/>
      <c r="BO560"/>
      <c r="BP560"/>
      <c r="BQ560"/>
      <c r="BR560"/>
      <c r="BS560"/>
      <c r="BT560"/>
      <c r="BU560"/>
      <c r="BV560"/>
      <c r="BW560"/>
      <c r="BX560"/>
      <c r="BY560"/>
      <c r="BZ560"/>
      <c r="CA560"/>
      <c r="CB560"/>
      <c r="CC560"/>
      <c r="CD560"/>
      <c r="CE560"/>
      <c r="CF560"/>
      <c r="CG560"/>
      <c r="CH560"/>
      <c r="CI560"/>
      <c r="CJ560"/>
      <c r="CK560"/>
      <c r="CL560"/>
      <c r="CM560"/>
      <c r="CN560"/>
      <c r="CO560"/>
      <c r="CP560"/>
      <c r="CQ560"/>
      <c r="CR560"/>
      <c r="CS560"/>
      <c r="CT560"/>
      <c r="CU560"/>
      <c r="CV560"/>
      <c r="CW560"/>
      <c r="CX560"/>
      <c r="CY560"/>
      <c r="CZ560"/>
      <c r="DA560"/>
      <c r="DB560"/>
      <c r="DC560"/>
      <c r="DD560"/>
      <c r="DE560"/>
      <c r="DF560"/>
      <c r="DG560"/>
      <c r="DH560"/>
      <c r="DI560"/>
      <c r="DJ560"/>
      <c r="DK560"/>
      <c r="DL560"/>
      <c r="DM560"/>
      <c r="DN560"/>
      <c r="DO560"/>
      <c r="DP560"/>
      <c r="DQ560"/>
      <c r="DR560"/>
      <c r="DS560"/>
      <c r="DT560"/>
      <c r="DU560"/>
      <c r="DV560"/>
      <c r="DW560"/>
      <c r="DX560"/>
      <c r="DY560"/>
      <c r="DZ560"/>
      <c r="EA560"/>
      <c r="EB560"/>
      <c r="EC560"/>
      <c r="ED560"/>
      <c r="EE560"/>
      <c r="EF560"/>
      <c r="EG560"/>
      <c r="EH560"/>
      <c r="EI560"/>
      <c r="EJ560"/>
      <c r="EK560"/>
      <c r="EL560"/>
      <c r="EM560"/>
      <c r="EN560"/>
      <c r="EO560"/>
      <c r="EP560"/>
      <c r="EQ560"/>
      <c r="ER560"/>
      <c r="ES560"/>
      <c r="ET560"/>
      <c r="EU560"/>
      <c r="EV560"/>
      <c r="EW560"/>
      <c r="EX560"/>
      <c r="EY560"/>
      <c r="EZ560"/>
      <c r="FA560"/>
      <c r="FB560"/>
      <c r="FC560"/>
      <c r="FD560"/>
      <c r="FE560"/>
      <c r="FF560"/>
      <c r="FG560"/>
      <c r="FH560"/>
      <c r="FI560"/>
      <c r="FJ560"/>
      <c r="FK560"/>
      <c r="FL560"/>
      <c r="FM560"/>
      <c r="FN560"/>
      <c r="FO560"/>
      <c r="FP560"/>
      <c r="FQ560"/>
      <c r="FR560"/>
      <c r="FS560"/>
      <c r="FT560"/>
      <c r="FU560"/>
      <c r="FV560"/>
      <c r="FW560"/>
      <c r="FX560"/>
      <c r="FY560"/>
      <c r="FZ560"/>
      <c r="GA560"/>
      <c r="GB560"/>
      <c r="GC560"/>
      <c r="GD560"/>
      <c r="GE560"/>
      <c r="GF560"/>
      <c r="GG560"/>
      <c r="GH560"/>
      <c r="GI560"/>
      <c r="GJ560"/>
      <c r="GK560"/>
      <c r="GL560"/>
      <c r="GM560"/>
      <c r="GN560"/>
      <c r="GO560"/>
      <c r="GP560"/>
      <c r="GQ560"/>
      <c r="GR560"/>
      <c r="GS560"/>
      <c r="GT560"/>
      <c r="GU560"/>
      <c r="GV560"/>
      <c r="GW560"/>
      <c r="GX560"/>
      <c r="GY560"/>
      <c r="GZ560"/>
      <c r="HA560"/>
      <c r="HB560"/>
      <c r="HC560"/>
      <c r="HD560"/>
      <c r="HE560"/>
      <c r="HF560"/>
      <c r="HG560"/>
      <c r="HH560"/>
      <c r="HI560"/>
      <c r="HJ560"/>
      <c r="HK560"/>
      <c r="HL560"/>
      <c r="HM560"/>
      <c r="HN560"/>
      <c r="HO560"/>
      <c r="HP560"/>
      <c r="HQ560"/>
      <c r="HR560"/>
      <c r="HS560"/>
      <c r="HT560"/>
      <c r="HU560"/>
      <c r="HV560"/>
      <c r="HW560"/>
      <c r="HX560"/>
      <c r="HY560"/>
      <c r="HZ560"/>
      <c r="IA560"/>
      <c r="IB560"/>
      <c r="IC560"/>
      <c r="ID560"/>
      <c r="IE560"/>
      <c r="IF560"/>
      <c r="IG560"/>
      <c r="IH560"/>
      <c r="II560"/>
      <c r="IJ560"/>
      <c r="IK560"/>
      <c r="IL560"/>
      <c r="IM560"/>
      <c r="IN560"/>
      <c r="IO560"/>
      <c r="IP560"/>
      <c r="IQ560"/>
      <c r="IR560"/>
      <c r="IS560"/>
      <c r="IT560"/>
      <c r="IU560"/>
      <c r="IV560"/>
      <c r="IW560"/>
      <c r="IX560"/>
      <c r="IY560"/>
      <c r="IZ560"/>
      <c r="JA560"/>
      <c r="JB560"/>
      <c r="JC560"/>
      <c r="JD560"/>
      <c r="JE560"/>
      <c r="JF560"/>
      <c r="JG560"/>
      <c r="JH560"/>
      <c r="JI560"/>
      <c r="JJ560"/>
      <c r="JK560"/>
      <c r="JL560"/>
      <c r="JM560"/>
      <c r="JN560"/>
      <c r="JO560"/>
      <c r="JP560"/>
      <c r="JQ560"/>
      <c r="JR560"/>
      <c r="JS560"/>
      <c r="JT560"/>
      <c r="JU560"/>
      <c r="JV560"/>
      <c r="JW560"/>
      <c r="JX560"/>
      <c r="JY560"/>
      <c r="JZ560"/>
      <c r="KA560"/>
      <c r="KB560"/>
      <c r="KC560"/>
      <c r="KD560"/>
      <c r="KE560"/>
      <c r="KF560"/>
      <c r="KG560"/>
      <c r="KH560"/>
      <c r="KI560"/>
      <c r="KJ560"/>
      <c r="KK560"/>
      <c r="KL560"/>
      <c r="KM560"/>
      <c r="KN560"/>
      <c r="KO560"/>
      <c r="KP560"/>
      <c r="KQ560"/>
      <c r="KR560"/>
      <c r="KS560"/>
    </row>
    <row r="561" spans="2:305" hidden="1" x14ac:dyDescent="0.35">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c r="AL561"/>
      <c r="AM561"/>
      <c r="AN561"/>
      <c r="AO561"/>
      <c r="AP561"/>
      <c r="AQ561"/>
      <c r="AR561"/>
      <c r="AS561"/>
      <c r="AT561"/>
      <c r="AU561"/>
      <c r="AV561"/>
      <c r="AW561"/>
      <c r="AX561"/>
      <c r="AY561"/>
      <c r="AZ561"/>
      <c r="BA561"/>
      <c r="BB561"/>
      <c r="BC561"/>
      <c r="BD561"/>
      <c r="BE561"/>
      <c r="BF561"/>
      <c r="BG561"/>
      <c r="BH561"/>
      <c r="BI561"/>
      <c r="BJ561"/>
      <c r="BK561"/>
      <c r="BL561"/>
      <c r="BM561"/>
      <c r="BN561"/>
      <c r="BO561"/>
      <c r="BP561"/>
      <c r="BQ561"/>
      <c r="BR561"/>
      <c r="BS561"/>
      <c r="BT561"/>
      <c r="BU561"/>
      <c r="BV561"/>
      <c r="BW561"/>
      <c r="BX561"/>
      <c r="BY561"/>
      <c r="BZ561"/>
      <c r="CA561"/>
      <c r="CB561"/>
      <c r="CC561"/>
      <c r="CD561"/>
      <c r="CE561"/>
      <c r="CF561"/>
      <c r="CG561"/>
      <c r="CH561"/>
      <c r="CI561"/>
      <c r="CJ561"/>
      <c r="CK561"/>
      <c r="CL561"/>
      <c r="CM561"/>
      <c r="CN561"/>
      <c r="CO561"/>
      <c r="CP561"/>
      <c r="CQ561"/>
      <c r="CR561"/>
      <c r="CS561"/>
      <c r="CT561"/>
      <c r="CU561"/>
      <c r="CV561"/>
      <c r="CW561"/>
      <c r="CX561"/>
      <c r="CY561"/>
      <c r="CZ561"/>
      <c r="DA561"/>
      <c r="DB561"/>
      <c r="DC561"/>
      <c r="DD561"/>
      <c r="DE561"/>
      <c r="DF561"/>
      <c r="DG561"/>
      <c r="DH561"/>
      <c r="DI561"/>
      <c r="DJ561"/>
      <c r="DK561"/>
      <c r="DL561"/>
      <c r="DM561"/>
      <c r="DN561"/>
      <c r="DO561"/>
      <c r="DP561"/>
      <c r="DQ561"/>
      <c r="DR561"/>
      <c r="DS561"/>
      <c r="DT561"/>
      <c r="DU561"/>
      <c r="DV561"/>
      <c r="DW561"/>
      <c r="DX561"/>
      <c r="DY561"/>
      <c r="DZ561"/>
      <c r="EA561"/>
      <c r="EB561"/>
      <c r="EC561"/>
      <c r="ED561"/>
      <c r="EE561"/>
      <c r="EF561"/>
      <c r="EG561"/>
      <c r="EH561"/>
      <c r="EI561"/>
      <c r="EJ561"/>
      <c r="EK561"/>
      <c r="EL561"/>
      <c r="EM561"/>
      <c r="EN561"/>
      <c r="EO561"/>
      <c r="EP561"/>
      <c r="EQ561"/>
      <c r="ER561"/>
      <c r="ES561"/>
      <c r="ET561"/>
      <c r="EU561"/>
      <c r="EV561"/>
      <c r="EW561"/>
      <c r="EX561"/>
      <c r="EY561"/>
      <c r="EZ561"/>
      <c r="FA561"/>
      <c r="FB561"/>
      <c r="FC561"/>
      <c r="FD561"/>
      <c r="FE561"/>
      <c r="FF561"/>
      <c r="FG561"/>
      <c r="FH561"/>
      <c r="FI561"/>
      <c r="FJ561"/>
      <c r="FK561"/>
      <c r="FL561"/>
      <c r="FM561"/>
      <c r="FN561"/>
      <c r="FO561"/>
      <c r="FP561"/>
      <c r="FQ561"/>
      <c r="FR561"/>
      <c r="FS561"/>
      <c r="FT561"/>
      <c r="FU561"/>
      <c r="FV561"/>
      <c r="FW561"/>
      <c r="FX561"/>
      <c r="FY561"/>
      <c r="FZ561"/>
      <c r="GA561"/>
      <c r="GB561"/>
      <c r="GC561"/>
      <c r="GD561"/>
      <c r="GE561"/>
      <c r="GF561"/>
      <c r="GG561"/>
      <c r="GH561"/>
      <c r="GI561"/>
      <c r="GJ561"/>
      <c r="GK561"/>
      <c r="GL561"/>
      <c r="GM561"/>
      <c r="GN561"/>
      <c r="GO561"/>
      <c r="GP561"/>
      <c r="GQ561"/>
      <c r="GR561"/>
      <c r="GS561"/>
      <c r="GT561"/>
      <c r="GU561"/>
      <c r="GV561"/>
      <c r="GW561"/>
      <c r="GX561"/>
      <c r="GY561"/>
      <c r="GZ561"/>
      <c r="HA561"/>
      <c r="HB561"/>
      <c r="HC561"/>
      <c r="HD561"/>
      <c r="HE561"/>
      <c r="HF561"/>
      <c r="HG561"/>
      <c r="HH561"/>
      <c r="HI561"/>
      <c r="HJ561"/>
      <c r="HK561"/>
      <c r="HL561"/>
      <c r="HM561"/>
      <c r="HN561"/>
      <c r="HO561"/>
      <c r="HP561"/>
      <c r="HQ561"/>
      <c r="HR561"/>
      <c r="HS561"/>
      <c r="HT561"/>
      <c r="HU561"/>
      <c r="HV561"/>
      <c r="HW561"/>
      <c r="HX561"/>
      <c r="HY561"/>
      <c r="HZ561"/>
      <c r="IA561"/>
      <c r="IB561"/>
      <c r="IC561"/>
      <c r="ID561"/>
      <c r="IE561"/>
      <c r="IF561"/>
      <c r="IG561"/>
      <c r="IH561"/>
      <c r="II561"/>
      <c r="IJ561"/>
      <c r="IK561"/>
      <c r="IL561"/>
      <c r="IM561"/>
      <c r="IN561"/>
      <c r="IO561"/>
      <c r="IP561"/>
      <c r="IQ561"/>
      <c r="IR561"/>
      <c r="IS561"/>
      <c r="IT561"/>
      <c r="IU561"/>
      <c r="IV561"/>
      <c r="IW561"/>
      <c r="IX561"/>
      <c r="IY561"/>
      <c r="IZ561"/>
      <c r="JA561"/>
      <c r="JB561"/>
      <c r="JC561"/>
      <c r="JD561"/>
      <c r="JE561"/>
      <c r="JF561"/>
      <c r="JG561"/>
      <c r="JH561"/>
      <c r="JI561"/>
      <c r="JJ561"/>
      <c r="JK561"/>
      <c r="JL561"/>
      <c r="JM561"/>
      <c r="JN561"/>
      <c r="JO561"/>
      <c r="JP561"/>
      <c r="JQ561"/>
      <c r="JR561"/>
      <c r="JS561"/>
      <c r="JT561"/>
      <c r="JU561"/>
      <c r="JV561"/>
      <c r="JW561"/>
      <c r="JX561"/>
      <c r="JY561"/>
      <c r="JZ561"/>
      <c r="KA561"/>
      <c r="KB561"/>
      <c r="KC561"/>
      <c r="KD561"/>
      <c r="KE561"/>
      <c r="KF561"/>
      <c r="KG561"/>
      <c r="KH561"/>
      <c r="KI561"/>
      <c r="KJ561"/>
      <c r="KK561"/>
      <c r="KL561"/>
      <c r="KM561"/>
      <c r="KN561"/>
      <c r="KO561"/>
      <c r="KP561"/>
      <c r="KQ561"/>
      <c r="KR561"/>
      <c r="KS561"/>
    </row>
    <row r="562" spans="2:305" hidden="1" x14ac:dyDescent="0.35">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c r="AL562"/>
      <c r="AM562"/>
      <c r="AN562"/>
      <c r="AO562"/>
      <c r="AP562"/>
      <c r="AQ562"/>
      <c r="AR562"/>
      <c r="AS562"/>
      <c r="AT562"/>
      <c r="AU562"/>
      <c r="AV562"/>
      <c r="AW562"/>
      <c r="AX562"/>
      <c r="AY562"/>
      <c r="AZ562"/>
      <c r="BA562"/>
      <c r="BB562"/>
      <c r="BC562"/>
      <c r="BD562"/>
      <c r="BE562"/>
      <c r="BF562"/>
      <c r="BG562"/>
      <c r="BH562"/>
      <c r="BI562"/>
      <c r="BJ562"/>
      <c r="BK562"/>
      <c r="BL562"/>
      <c r="BM562"/>
      <c r="BN562"/>
      <c r="BO562"/>
      <c r="BP562"/>
      <c r="BQ562"/>
      <c r="BR562"/>
      <c r="BS562"/>
      <c r="BT562"/>
      <c r="BU562"/>
      <c r="BV562"/>
      <c r="BW562"/>
      <c r="BX562"/>
      <c r="BY562"/>
      <c r="BZ562"/>
      <c r="CA562"/>
      <c r="CB562"/>
      <c r="CC562"/>
      <c r="CD562"/>
      <c r="CE562"/>
      <c r="CF562"/>
      <c r="CG562"/>
      <c r="CH562"/>
      <c r="CI562"/>
      <c r="CJ562"/>
      <c r="CK562"/>
      <c r="CL562"/>
      <c r="CM562"/>
      <c r="CN562"/>
      <c r="CO562"/>
      <c r="CP562"/>
      <c r="CQ562"/>
      <c r="CR562"/>
      <c r="CS562"/>
      <c r="CT562"/>
      <c r="CU562"/>
      <c r="CV562"/>
      <c r="CW562"/>
      <c r="CX562"/>
      <c r="CY562"/>
      <c r="CZ562"/>
      <c r="DA562"/>
      <c r="DB562"/>
      <c r="DC562"/>
      <c r="DD562"/>
      <c r="DE562"/>
      <c r="DF562"/>
      <c r="DG562"/>
      <c r="DH562"/>
      <c r="DI562"/>
      <c r="DJ562"/>
      <c r="DK562"/>
      <c r="DL562"/>
      <c r="DM562"/>
      <c r="DN562"/>
      <c r="DO562"/>
      <c r="DP562"/>
      <c r="DQ562"/>
      <c r="DR562"/>
      <c r="DS562"/>
      <c r="DT562"/>
      <c r="DU562"/>
      <c r="DV562"/>
      <c r="DW562"/>
      <c r="DX562"/>
      <c r="DY562"/>
      <c r="DZ562"/>
      <c r="EA562"/>
      <c r="EB562"/>
      <c r="EC562"/>
      <c r="ED562"/>
      <c r="EE562"/>
      <c r="EF562"/>
      <c r="EG562"/>
      <c r="EH562"/>
      <c r="EI562"/>
      <c r="EJ562"/>
      <c r="EK562"/>
      <c r="EL562"/>
      <c r="EM562"/>
      <c r="EN562"/>
      <c r="EO562"/>
      <c r="EP562"/>
      <c r="EQ562"/>
      <c r="ER562"/>
      <c r="ES562"/>
      <c r="ET562"/>
      <c r="EU562"/>
      <c r="EV562"/>
      <c r="EW562"/>
      <c r="EX562"/>
      <c r="EY562"/>
      <c r="EZ562"/>
      <c r="FA562"/>
      <c r="FB562"/>
      <c r="FC562"/>
      <c r="FD562"/>
      <c r="FE562"/>
      <c r="FF562"/>
      <c r="FG562"/>
      <c r="FH562"/>
      <c r="FI562"/>
      <c r="FJ562"/>
      <c r="FK562"/>
      <c r="FL562"/>
      <c r="FM562"/>
      <c r="FN562"/>
      <c r="FO562"/>
      <c r="FP562"/>
      <c r="FQ562"/>
      <c r="FR562"/>
      <c r="FS562"/>
      <c r="FT562"/>
      <c r="FU562"/>
      <c r="FV562"/>
      <c r="FW562"/>
      <c r="FX562"/>
      <c r="FY562"/>
      <c r="FZ562"/>
      <c r="GA562"/>
      <c r="GB562"/>
      <c r="GC562"/>
      <c r="GD562"/>
      <c r="GE562"/>
      <c r="GF562"/>
      <c r="GG562"/>
      <c r="GH562"/>
      <c r="GI562"/>
      <c r="GJ562"/>
      <c r="GK562"/>
      <c r="GL562"/>
      <c r="GM562"/>
      <c r="GN562"/>
      <c r="GO562"/>
      <c r="GP562"/>
      <c r="GQ562"/>
      <c r="GR562"/>
      <c r="GS562"/>
      <c r="GT562"/>
      <c r="GU562"/>
      <c r="GV562"/>
      <c r="GW562"/>
      <c r="GX562"/>
      <c r="GY562"/>
      <c r="GZ562"/>
      <c r="HA562"/>
      <c r="HB562"/>
      <c r="HC562"/>
      <c r="HD562"/>
      <c r="HE562"/>
      <c r="HF562"/>
      <c r="HG562"/>
      <c r="HH562"/>
      <c r="HI562"/>
      <c r="HJ562"/>
      <c r="HK562"/>
      <c r="HL562"/>
      <c r="HM562"/>
      <c r="HN562"/>
      <c r="HO562"/>
      <c r="HP562"/>
      <c r="HQ562"/>
      <c r="HR562"/>
      <c r="HS562"/>
      <c r="HT562"/>
      <c r="HU562"/>
      <c r="HV562"/>
      <c r="HW562"/>
      <c r="HX562"/>
      <c r="HY562"/>
      <c r="HZ562"/>
      <c r="IA562"/>
      <c r="IB562"/>
      <c r="IC562"/>
      <c r="ID562"/>
      <c r="IE562"/>
      <c r="IF562"/>
      <c r="IG562"/>
      <c r="IH562"/>
      <c r="II562"/>
      <c r="IJ562"/>
      <c r="IK562"/>
      <c r="IL562"/>
      <c r="IM562"/>
      <c r="IN562"/>
      <c r="IO562"/>
      <c r="IP562"/>
      <c r="IQ562"/>
      <c r="IR562"/>
      <c r="IS562"/>
      <c r="IT562"/>
      <c r="IU562"/>
      <c r="IV562"/>
      <c r="IW562"/>
      <c r="IX562"/>
      <c r="IY562"/>
      <c r="IZ562"/>
      <c r="JA562"/>
      <c r="JB562"/>
      <c r="JC562"/>
      <c r="JD562"/>
      <c r="JE562"/>
      <c r="JF562"/>
      <c r="JG562"/>
      <c r="JH562"/>
      <c r="JI562"/>
      <c r="JJ562"/>
      <c r="JK562"/>
      <c r="JL562"/>
      <c r="JM562"/>
      <c r="JN562"/>
      <c r="JO562"/>
      <c r="JP562"/>
      <c r="JQ562"/>
      <c r="JR562"/>
      <c r="JS562"/>
      <c r="JT562"/>
      <c r="JU562"/>
      <c r="JV562"/>
      <c r="JW562"/>
      <c r="JX562"/>
      <c r="JY562"/>
      <c r="JZ562"/>
      <c r="KA562"/>
      <c r="KB562"/>
      <c r="KC562"/>
      <c r="KD562"/>
      <c r="KE562"/>
      <c r="KF562"/>
      <c r="KG562"/>
      <c r="KH562"/>
      <c r="KI562"/>
      <c r="KJ562"/>
      <c r="KK562"/>
      <c r="KL562"/>
      <c r="KM562"/>
      <c r="KN562"/>
      <c r="KO562"/>
      <c r="KP562"/>
      <c r="KQ562"/>
      <c r="KR562"/>
      <c r="KS562"/>
    </row>
    <row r="563" spans="2:305" hidden="1" x14ac:dyDescent="0.35">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c r="AL563"/>
      <c r="AM563"/>
      <c r="AN563"/>
      <c r="AO563"/>
      <c r="AP563"/>
      <c r="AQ563"/>
      <c r="AR563"/>
      <c r="AS563"/>
      <c r="AT563"/>
      <c r="AU563"/>
      <c r="AV563"/>
      <c r="AW563"/>
      <c r="AX563"/>
      <c r="AY563"/>
      <c r="AZ563"/>
      <c r="BA563"/>
      <c r="BB563"/>
      <c r="BC563"/>
      <c r="BD563"/>
      <c r="BE563"/>
      <c r="BF563"/>
      <c r="BG563"/>
      <c r="BH563"/>
      <c r="BI563"/>
      <c r="BJ563"/>
      <c r="BK563"/>
      <c r="BL563"/>
      <c r="BM563"/>
      <c r="BN563"/>
      <c r="BO563"/>
      <c r="BP563"/>
      <c r="BQ563"/>
      <c r="BR563"/>
      <c r="BS563"/>
      <c r="BT563"/>
      <c r="BU563"/>
      <c r="BV563"/>
      <c r="BW563"/>
      <c r="BX563"/>
      <c r="BY563"/>
      <c r="BZ563"/>
      <c r="CA563"/>
      <c r="CB563"/>
      <c r="CC563"/>
      <c r="CD563"/>
      <c r="CE563"/>
      <c r="CF563"/>
      <c r="CG563"/>
      <c r="CH563"/>
      <c r="CI563"/>
      <c r="CJ563"/>
      <c r="CK563"/>
      <c r="CL563"/>
      <c r="CM563"/>
      <c r="CN563"/>
      <c r="CO563"/>
      <c r="CP563"/>
      <c r="CQ563"/>
      <c r="CR563"/>
      <c r="CS563"/>
      <c r="CT563"/>
      <c r="CU563"/>
      <c r="CV563"/>
      <c r="CW563"/>
      <c r="CX563"/>
      <c r="CY563"/>
      <c r="CZ563"/>
      <c r="DA563"/>
      <c r="DB563"/>
      <c r="DC563"/>
      <c r="DD563"/>
      <c r="DE563"/>
      <c r="DF563"/>
      <c r="DG563"/>
      <c r="DH563"/>
      <c r="DI563"/>
      <c r="DJ563"/>
      <c r="DK563"/>
      <c r="DL563"/>
      <c r="DM563"/>
      <c r="DN563"/>
      <c r="DO563"/>
      <c r="DP563"/>
      <c r="DQ563"/>
      <c r="DR563"/>
      <c r="DS563"/>
      <c r="DT563"/>
      <c r="DU563"/>
      <c r="DV563"/>
      <c r="DW563"/>
      <c r="DX563"/>
      <c r="DY563"/>
      <c r="DZ563"/>
      <c r="EA563"/>
      <c r="EB563"/>
      <c r="EC563"/>
      <c r="ED563"/>
      <c r="EE563"/>
      <c r="EF563"/>
      <c r="EG563"/>
      <c r="EH563"/>
      <c r="EI563"/>
      <c r="EJ563"/>
      <c r="EK563"/>
      <c r="EL563"/>
      <c r="EM563"/>
      <c r="EN563"/>
      <c r="EO563"/>
      <c r="EP563"/>
      <c r="EQ563"/>
      <c r="ER563"/>
      <c r="ES563"/>
      <c r="ET563"/>
      <c r="EU563"/>
      <c r="EV563"/>
      <c r="EW563"/>
      <c r="EX563"/>
      <c r="EY563"/>
      <c r="EZ563"/>
      <c r="FA563"/>
      <c r="FB563"/>
      <c r="FC563"/>
      <c r="FD563"/>
      <c r="FE563"/>
      <c r="FF563"/>
      <c r="FG563"/>
      <c r="FH563"/>
      <c r="FI563"/>
      <c r="FJ563"/>
      <c r="FK563"/>
      <c r="FL563"/>
      <c r="FM563"/>
      <c r="FN563"/>
      <c r="FO563"/>
      <c r="FP563"/>
      <c r="FQ563"/>
      <c r="FR563"/>
      <c r="FS563"/>
      <c r="FT563"/>
      <c r="FU563"/>
      <c r="FV563"/>
      <c r="FW563"/>
      <c r="FX563"/>
      <c r="FY563"/>
      <c r="FZ563"/>
      <c r="GA563"/>
      <c r="GB563"/>
      <c r="GC563"/>
      <c r="GD563"/>
      <c r="GE563"/>
      <c r="GF563"/>
      <c r="GG563"/>
      <c r="GH563"/>
      <c r="GI563"/>
      <c r="GJ563"/>
      <c r="GK563"/>
      <c r="GL563"/>
      <c r="GM563"/>
      <c r="GN563"/>
      <c r="GO563"/>
      <c r="GP563"/>
      <c r="GQ563"/>
      <c r="GR563"/>
      <c r="GS563"/>
      <c r="GT563"/>
      <c r="GU563"/>
      <c r="GV563"/>
      <c r="GW563"/>
      <c r="GX563"/>
      <c r="GY563"/>
      <c r="GZ563"/>
      <c r="HA563"/>
      <c r="HB563"/>
      <c r="HC563"/>
      <c r="HD563"/>
      <c r="HE563"/>
      <c r="HF563"/>
      <c r="HG563"/>
      <c r="HH563"/>
      <c r="HI563"/>
      <c r="HJ563"/>
      <c r="HK563"/>
      <c r="HL563"/>
      <c r="HM563"/>
      <c r="HN563"/>
      <c r="HO563"/>
      <c r="HP563"/>
      <c r="HQ563"/>
      <c r="HR563"/>
      <c r="HS563"/>
      <c r="HT563"/>
      <c r="HU563"/>
      <c r="HV563"/>
      <c r="HW563"/>
      <c r="HX563"/>
      <c r="HY563"/>
      <c r="HZ563"/>
      <c r="IA563"/>
      <c r="IB563"/>
      <c r="IC563"/>
      <c r="ID563"/>
      <c r="IE563"/>
      <c r="IF563"/>
      <c r="IG563"/>
      <c r="IH563"/>
      <c r="II563"/>
      <c r="IJ563"/>
      <c r="IK563"/>
      <c r="IL563"/>
      <c r="IM563"/>
      <c r="IN563"/>
      <c r="IO563"/>
      <c r="IP563"/>
      <c r="IQ563"/>
      <c r="IR563"/>
      <c r="IS563"/>
      <c r="IT563"/>
      <c r="IU563"/>
      <c r="IV563"/>
      <c r="IW563"/>
      <c r="IX563"/>
      <c r="IY563"/>
      <c r="IZ563"/>
      <c r="JA563"/>
      <c r="JB563"/>
      <c r="JC563"/>
      <c r="JD563"/>
      <c r="JE563"/>
      <c r="JF563"/>
      <c r="JG563"/>
      <c r="JH563"/>
      <c r="JI563"/>
      <c r="JJ563"/>
      <c r="JK563"/>
      <c r="JL563"/>
      <c r="JM563"/>
      <c r="JN563"/>
      <c r="JO563"/>
      <c r="JP563"/>
      <c r="JQ563"/>
      <c r="JR563"/>
      <c r="JS563"/>
      <c r="JT563"/>
      <c r="JU563"/>
      <c r="JV563"/>
      <c r="JW563"/>
      <c r="JX563"/>
      <c r="JY563"/>
      <c r="JZ563"/>
      <c r="KA563"/>
      <c r="KB563"/>
      <c r="KC563"/>
      <c r="KD563"/>
      <c r="KE563"/>
      <c r="KF563"/>
      <c r="KG563"/>
      <c r="KH563"/>
      <c r="KI563"/>
      <c r="KJ563"/>
      <c r="KK563"/>
      <c r="KL563"/>
      <c r="KM563"/>
      <c r="KN563"/>
      <c r="KO563"/>
      <c r="KP563"/>
      <c r="KQ563"/>
      <c r="KR563"/>
      <c r="KS563"/>
    </row>
    <row r="564" spans="2:305" hidden="1" x14ac:dyDescent="0.35">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c r="AL564"/>
      <c r="AM564"/>
      <c r="AN564"/>
      <c r="AO564"/>
      <c r="AP564"/>
      <c r="AQ564"/>
      <c r="AR564"/>
      <c r="AS564"/>
      <c r="AT564"/>
      <c r="AU564"/>
      <c r="AV564"/>
      <c r="AW564"/>
      <c r="AX564"/>
      <c r="AY564"/>
      <c r="AZ564"/>
      <c r="BA564"/>
      <c r="BB564"/>
      <c r="BC564"/>
      <c r="BD564"/>
      <c r="BE564"/>
      <c r="BF564"/>
      <c r="BG564"/>
      <c r="BH564"/>
      <c r="BI564"/>
      <c r="BJ564"/>
      <c r="BK564"/>
      <c r="BL564"/>
      <c r="BM564"/>
      <c r="BN564"/>
      <c r="BO564"/>
      <c r="BP564"/>
      <c r="BQ564"/>
      <c r="BR564"/>
      <c r="BS564"/>
      <c r="BT564"/>
      <c r="BU564"/>
      <c r="BV564"/>
      <c r="BW564"/>
      <c r="BX564"/>
      <c r="BY564"/>
      <c r="BZ564"/>
      <c r="CA564"/>
      <c r="CB564"/>
      <c r="CC564"/>
      <c r="CD564"/>
      <c r="CE564"/>
      <c r="CF564"/>
      <c r="CG564"/>
      <c r="CH564"/>
      <c r="CI564"/>
      <c r="CJ564"/>
      <c r="CK564"/>
      <c r="CL564"/>
      <c r="CM564"/>
      <c r="CN564"/>
      <c r="CO564"/>
      <c r="CP564"/>
      <c r="CQ564"/>
      <c r="CR564"/>
      <c r="CS564"/>
      <c r="CT564"/>
      <c r="CU564"/>
      <c r="CV564"/>
      <c r="CW564"/>
      <c r="CX564"/>
      <c r="CY564"/>
      <c r="CZ564"/>
      <c r="DA564"/>
      <c r="DB564"/>
      <c r="DC564"/>
      <c r="DD564"/>
      <c r="DE564"/>
      <c r="DF564"/>
      <c r="DG564"/>
      <c r="DH564"/>
      <c r="DI564"/>
      <c r="DJ564"/>
      <c r="DK564"/>
      <c r="DL564"/>
      <c r="DM564"/>
      <c r="DN564"/>
      <c r="DO564"/>
      <c r="DP564"/>
      <c r="DQ564"/>
      <c r="DR564"/>
      <c r="DS564"/>
      <c r="DT564"/>
      <c r="DU564"/>
      <c r="DV564"/>
      <c r="DW564"/>
      <c r="DX564"/>
      <c r="DY564"/>
      <c r="DZ564"/>
      <c r="EA564"/>
      <c r="EB564"/>
      <c r="EC564"/>
      <c r="ED564"/>
      <c r="EE564"/>
      <c r="EF564"/>
      <c r="EG564"/>
      <c r="EH564"/>
      <c r="EI564"/>
      <c r="EJ564"/>
      <c r="EK564"/>
      <c r="EL564"/>
      <c r="EM564"/>
      <c r="EN564"/>
      <c r="EO564"/>
      <c r="EP564"/>
      <c r="EQ564"/>
      <c r="ER564"/>
      <c r="ES564"/>
      <c r="ET564"/>
      <c r="EU564"/>
      <c r="EV564"/>
      <c r="EW564"/>
      <c r="EX564"/>
      <c r="EY564"/>
      <c r="EZ564"/>
      <c r="FA564"/>
      <c r="FB564"/>
      <c r="FC564"/>
      <c r="FD564"/>
      <c r="FE564"/>
      <c r="FF564"/>
      <c r="FG564"/>
      <c r="FH564"/>
      <c r="FI564"/>
      <c r="FJ564"/>
      <c r="FK564"/>
      <c r="FL564"/>
      <c r="FM564"/>
      <c r="FN564"/>
      <c r="FO564"/>
      <c r="FP564"/>
      <c r="FQ564"/>
      <c r="FR564"/>
      <c r="FS564"/>
      <c r="FT564"/>
      <c r="FU564"/>
      <c r="FV564"/>
      <c r="FW564"/>
      <c r="FX564"/>
      <c r="FY564"/>
      <c r="FZ564"/>
      <c r="GA564"/>
      <c r="GB564"/>
      <c r="GC564"/>
      <c r="GD564"/>
      <c r="GE564"/>
      <c r="GF564"/>
      <c r="GG564"/>
      <c r="GH564"/>
      <c r="GI564"/>
      <c r="GJ564"/>
      <c r="GK564"/>
      <c r="GL564"/>
      <c r="GM564"/>
      <c r="GN564"/>
      <c r="GO564"/>
      <c r="GP564"/>
      <c r="GQ564"/>
      <c r="GR564"/>
      <c r="GS564"/>
      <c r="GT564"/>
      <c r="GU564"/>
      <c r="GV564"/>
      <c r="GW564"/>
      <c r="GX564"/>
      <c r="GY564"/>
      <c r="GZ564"/>
      <c r="HA564"/>
      <c r="HB564"/>
      <c r="HC564"/>
      <c r="HD564"/>
      <c r="HE564"/>
      <c r="HF564"/>
      <c r="HG564"/>
      <c r="HH564"/>
      <c r="HI564"/>
      <c r="HJ564"/>
      <c r="HK564"/>
      <c r="HL564"/>
      <c r="HM564"/>
      <c r="HN564"/>
      <c r="HO564"/>
      <c r="HP564"/>
      <c r="HQ564"/>
      <c r="HR564"/>
      <c r="HS564"/>
      <c r="HT564"/>
      <c r="HU564"/>
      <c r="HV564"/>
      <c r="HW564"/>
      <c r="HX564"/>
      <c r="HY564"/>
      <c r="HZ564"/>
      <c r="IA564"/>
      <c r="IB564"/>
      <c r="IC564"/>
      <c r="ID564"/>
      <c r="IE564"/>
      <c r="IF564"/>
      <c r="IG564"/>
      <c r="IH564"/>
      <c r="II564"/>
      <c r="IJ564"/>
      <c r="IK564"/>
      <c r="IL564"/>
      <c r="IM564"/>
      <c r="IN564"/>
      <c r="IO564"/>
      <c r="IP564"/>
      <c r="IQ564"/>
      <c r="IR564"/>
      <c r="IS564"/>
      <c r="IT564"/>
      <c r="IU564"/>
      <c r="IV564"/>
      <c r="IW564"/>
      <c r="IX564"/>
      <c r="IY564"/>
      <c r="IZ564"/>
      <c r="JA564"/>
      <c r="JB564"/>
      <c r="JC564"/>
      <c r="JD564"/>
      <c r="JE564"/>
      <c r="JF564"/>
      <c r="JG564"/>
      <c r="JH564"/>
      <c r="JI564"/>
      <c r="JJ564"/>
      <c r="JK564"/>
      <c r="JL564"/>
      <c r="JM564"/>
      <c r="JN564"/>
      <c r="JO564"/>
      <c r="JP564"/>
      <c r="JQ564"/>
      <c r="JR564"/>
      <c r="JS564"/>
      <c r="JT564"/>
      <c r="JU564"/>
      <c r="JV564"/>
      <c r="JW564"/>
      <c r="JX564"/>
      <c r="JY564"/>
      <c r="JZ564"/>
      <c r="KA564"/>
      <c r="KB564"/>
      <c r="KC564"/>
      <c r="KD564"/>
      <c r="KE564"/>
      <c r="KF564"/>
      <c r="KG564"/>
      <c r="KH564"/>
      <c r="KI564"/>
      <c r="KJ564"/>
      <c r="KK564"/>
      <c r="KL564"/>
      <c r="KM564"/>
      <c r="KN564"/>
      <c r="KO564"/>
      <c r="KP564"/>
      <c r="KQ564"/>
      <c r="KR564"/>
      <c r="KS564"/>
    </row>
    <row r="565" spans="2:305" hidden="1" x14ac:dyDescent="0.3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c r="AL565"/>
      <c r="AM565"/>
      <c r="AN565"/>
      <c r="AO565"/>
      <c r="AP565"/>
      <c r="AQ565"/>
      <c r="AR565"/>
      <c r="AS565"/>
      <c r="AT565"/>
      <c r="AU565"/>
      <c r="AV565"/>
      <c r="AW565"/>
      <c r="AX565"/>
      <c r="AY565"/>
      <c r="AZ565"/>
      <c r="BA565"/>
      <c r="BB565"/>
      <c r="BC565"/>
      <c r="BD565"/>
      <c r="BE565"/>
      <c r="BF565"/>
      <c r="BG565"/>
      <c r="BH565"/>
      <c r="BI565"/>
      <c r="BJ565"/>
      <c r="BK565"/>
      <c r="BL565"/>
      <c r="BM565"/>
      <c r="BN565"/>
      <c r="BO565"/>
      <c r="BP565"/>
      <c r="BQ565"/>
      <c r="BR565"/>
      <c r="BS565"/>
      <c r="BT565"/>
      <c r="BU565"/>
      <c r="BV565"/>
      <c r="BW565"/>
      <c r="BX565"/>
      <c r="BY565"/>
      <c r="BZ565"/>
      <c r="CA565"/>
      <c r="CB565"/>
      <c r="CC565"/>
      <c r="CD565"/>
      <c r="CE565"/>
      <c r="CF565"/>
      <c r="CG565"/>
      <c r="CH565"/>
      <c r="CI565"/>
      <c r="CJ565"/>
      <c r="CK565"/>
      <c r="CL565"/>
      <c r="CM565"/>
      <c r="CN565"/>
      <c r="CO565"/>
      <c r="CP565"/>
      <c r="CQ565"/>
      <c r="CR565"/>
      <c r="CS565"/>
      <c r="CT565"/>
      <c r="CU565"/>
      <c r="CV565"/>
      <c r="CW565"/>
      <c r="CX565"/>
      <c r="CY565"/>
      <c r="CZ565"/>
      <c r="DA565"/>
      <c r="DB565"/>
      <c r="DC565"/>
      <c r="DD565"/>
      <c r="DE565"/>
      <c r="DF565"/>
      <c r="DG565"/>
      <c r="DH565"/>
      <c r="DI565"/>
      <c r="DJ565"/>
      <c r="DK565"/>
      <c r="DL565"/>
      <c r="DM565"/>
      <c r="DN565"/>
      <c r="DO565"/>
      <c r="DP565"/>
      <c r="DQ565"/>
      <c r="DR565"/>
      <c r="DS565"/>
      <c r="DT565"/>
      <c r="DU565"/>
      <c r="DV565"/>
      <c r="DW565"/>
      <c r="DX565"/>
      <c r="DY565"/>
      <c r="DZ565"/>
      <c r="EA565"/>
      <c r="EB565"/>
      <c r="EC565"/>
      <c r="ED565"/>
      <c r="EE565"/>
      <c r="EF565"/>
      <c r="EG565"/>
      <c r="EH565"/>
      <c r="EI565"/>
      <c r="EJ565"/>
      <c r="EK565"/>
      <c r="EL565"/>
      <c r="EM565"/>
      <c r="EN565"/>
      <c r="EO565"/>
      <c r="EP565"/>
      <c r="EQ565"/>
      <c r="ER565"/>
      <c r="ES565"/>
      <c r="ET565"/>
      <c r="EU565"/>
      <c r="EV565"/>
      <c r="EW565"/>
      <c r="EX565"/>
      <c r="EY565"/>
      <c r="EZ565"/>
      <c r="FA565"/>
      <c r="FB565"/>
      <c r="FC565"/>
      <c r="FD565"/>
      <c r="FE565"/>
      <c r="FF565"/>
      <c r="FG565"/>
      <c r="FH565"/>
      <c r="FI565"/>
      <c r="FJ565"/>
      <c r="FK565"/>
      <c r="FL565"/>
      <c r="FM565"/>
      <c r="FN565"/>
      <c r="FO565"/>
      <c r="FP565"/>
      <c r="FQ565"/>
      <c r="FR565"/>
      <c r="FS565"/>
      <c r="FT565"/>
      <c r="FU565"/>
      <c r="FV565"/>
      <c r="FW565"/>
      <c r="FX565"/>
      <c r="FY565"/>
      <c r="FZ565"/>
      <c r="GA565"/>
      <c r="GB565"/>
      <c r="GC565"/>
      <c r="GD565"/>
      <c r="GE565"/>
      <c r="GF565"/>
      <c r="GG565"/>
      <c r="GH565"/>
      <c r="GI565"/>
      <c r="GJ565"/>
      <c r="GK565"/>
      <c r="GL565"/>
      <c r="GM565"/>
      <c r="GN565"/>
      <c r="GO565"/>
      <c r="GP565"/>
      <c r="GQ565"/>
      <c r="GR565"/>
      <c r="GS565"/>
      <c r="GT565"/>
      <c r="GU565"/>
      <c r="GV565"/>
      <c r="GW565"/>
      <c r="GX565"/>
      <c r="GY565"/>
      <c r="GZ565"/>
      <c r="HA565"/>
      <c r="HB565"/>
      <c r="HC565"/>
      <c r="HD565"/>
      <c r="HE565"/>
      <c r="HF565"/>
      <c r="HG565"/>
      <c r="HH565"/>
      <c r="HI565"/>
      <c r="HJ565"/>
      <c r="HK565"/>
      <c r="HL565"/>
      <c r="HM565"/>
      <c r="HN565"/>
      <c r="HO565"/>
      <c r="HP565"/>
      <c r="HQ565"/>
      <c r="HR565"/>
      <c r="HS565"/>
      <c r="HT565"/>
      <c r="HU565"/>
      <c r="HV565"/>
      <c r="HW565"/>
      <c r="HX565"/>
      <c r="HY565"/>
      <c r="HZ565"/>
      <c r="IA565"/>
      <c r="IB565"/>
      <c r="IC565"/>
      <c r="ID565"/>
      <c r="IE565"/>
      <c r="IF565"/>
      <c r="IG565"/>
      <c r="IH565"/>
      <c r="II565"/>
      <c r="IJ565"/>
      <c r="IK565"/>
      <c r="IL565"/>
      <c r="IM565"/>
      <c r="IN565"/>
      <c r="IO565"/>
      <c r="IP565"/>
      <c r="IQ565"/>
      <c r="IR565"/>
      <c r="IS565"/>
      <c r="IT565"/>
      <c r="IU565"/>
      <c r="IV565"/>
      <c r="IW565"/>
      <c r="IX565"/>
      <c r="IY565"/>
      <c r="IZ565"/>
      <c r="JA565"/>
      <c r="JB565"/>
      <c r="JC565"/>
      <c r="JD565"/>
      <c r="JE565"/>
      <c r="JF565"/>
      <c r="JG565"/>
      <c r="JH565"/>
      <c r="JI565"/>
      <c r="JJ565"/>
      <c r="JK565"/>
      <c r="JL565"/>
      <c r="JM565"/>
      <c r="JN565"/>
      <c r="JO565"/>
      <c r="JP565"/>
      <c r="JQ565"/>
      <c r="JR565"/>
      <c r="JS565"/>
      <c r="JT565"/>
      <c r="JU565"/>
      <c r="JV565"/>
      <c r="JW565"/>
      <c r="JX565"/>
      <c r="JY565"/>
      <c r="JZ565"/>
      <c r="KA565"/>
      <c r="KB565"/>
      <c r="KC565"/>
      <c r="KD565"/>
      <c r="KE565"/>
      <c r="KF565"/>
      <c r="KG565"/>
      <c r="KH565"/>
      <c r="KI565"/>
      <c r="KJ565"/>
      <c r="KK565"/>
      <c r="KL565"/>
      <c r="KM565"/>
      <c r="KN565"/>
      <c r="KO565"/>
      <c r="KP565"/>
      <c r="KQ565"/>
      <c r="KR565"/>
      <c r="KS565"/>
    </row>
    <row r="566" spans="2:305" hidden="1" x14ac:dyDescent="0.35">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c r="AL566"/>
      <c r="AM566"/>
      <c r="AN566"/>
      <c r="AO566"/>
      <c r="AP566"/>
      <c r="AQ566"/>
      <c r="AR566"/>
      <c r="AS566"/>
      <c r="AT566"/>
      <c r="AU566"/>
      <c r="AV566"/>
      <c r="AW566"/>
      <c r="AX566"/>
      <c r="AY566"/>
      <c r="AZ566"/>
      <c r="BA566"/>
      <c r="BB566"/>
      <c r="BC566"/>
      <c r="BD566"/>
      <c r="BE566"/>
      <c r="BF566"/>
      <c r="BG566"/>
      <c r="BH566"/>
      <c r="BI566"/>
      <c r="BJ566"/>
      <c r="BK566"/>
      <c r="BL566"/>
      <c r="BM566"/>
      <c r="BN566"/>
      <c r="BO566"/>
      <c r="BP566"/>
      <c r="BQ566"/>
      <c r="BR566"/>
      <c r="BS566"/>
      <c r="BT566"/>
      <c r="BU566"/>
      <c r="BV566"/>
      <c r="BW566"/>
      <c r="BX566"/>
      <c r="BY566"/>
      <c r="BZ566"/>
      <c r="CA566"/>
      <c r="CB566"/>
      <c r="CC566"/>
      <c r="CD566"/>
      <c r="CE566"/>
      <c r="CF566"/>
      <c r="CG566"/>
      <c r="CH566"/>
      <c r="CI566"/>
      <c r="CJ566"/>
      <c r="CK566"/>
      <c r="CL566"/>
      <c r="CM566"/>
      <c r="CN566"/>
      <c r="CO566"/>
      <c r="CP566"/>
      <c r="CQ566"/>
      <c r="CR566"/>
      <c r="CS566"/>
      <c r="CT566"/>
      <c r="CU566"/>
      <c r="CV566"/>
      <c r="CW566"/>
      <c r="CX566"/>
      <c r="CY566"/>
      <c r="CZ566"/>
      <c r="DA566"/>
      <c r="DB566"/>
      <c r="DC566"/>
      <c r="DD566"/>
      <c r="DE566"/>
      <c r="DF566"/>
      <c r="DG566"/>
      <c r="DH566"/>
      <c r="DI566"/>
      <c r="DJ566"/>
      <c r="DK566"/>
      <c r="DL566"/>
      <c r="DM566"/>
      <c r="DN566"/>
      <c r="DO566"/>
      <c r="DP566"/>
      <c r="DQ566"/>
      <c r="DR566"/>
      <c r="DS566"/>
      <c r="DT566"/>
      <c r="DU566"/>
      <c r="DV566"/>
      <c r="DW566"/>
      <c r="DX566"/>
      <c r="DY566"/>
      <c r="DZ566"/>
      <c r="EA566"/>
      <c r="EB566"/>
      <c r="EC566"/>
      <c r="ED566"/>
      <c r="EE566"/>
      <c r="EF566"/>
      <c r="EG566"/>
      <c r="EH566"/>
      <c r="EI566"/>
      <c r="EJ566"/>
      <c r="EK566"/>
      <c r="EL566"/>
      <c r="EM566"/>
      <c r="EN566"/>
      <c r="EO566"/>
      <c r="EP566"/>
      <c r="EQ566"/>
      <c r="ER566"/>
      <c r="ES566"/>
      <c r="ET566"/>
      <c r="EU566"/>
      <c r="EV566"/>
      <c r="EW566"/>
      <c r="EX566"/>
      <c r="EY566"/>
      <c r="EZ566"/>
      <c r="FA566"/>
      <c r="FB566"/>
      <c r="FC566"/>
      <c r="FD566"/>
      <c r="FE566"/>
      <c r="FF566"/>
      <c r="FG566"/>
      <c r="FH566"/>
      <c r="FI566"/>
      <c r="FJ566"/>
      <c r="FK566"/>
      <c r="FL566"/>
      <c r="FM566"/>
      <c r="FN566"/>
      <c r="FO566"/>
      <c r="FP566"/>
      <c r="FQ566"/>
      <c r="FR566"/>
      <c r="FS566"/>
      <c r="FT566"/>
      <c r="FU566"/>
      <c r="FV566"/>
      <c r="FW566"/>
      <c r="FX566"/>
      <c r="FY566"/>
      <c r="FZ566"/>
      <c r="GA566"/>
      <c r="GB566"/>
      <c r="GC566"/>
      <c r="GD566"/>
      <c r="GE566"/>
      <c r="GF566"/>
      <c r="GG566"/>
      <c r="GH566"/>
      <c r="GI566"/>
      <c r="GJ566"/>
      <c r="GK566"/>
      <c r="GL566"/>
      <c r="GM566"/>
      <c r="GN566"/>
      <c r="GO566"/>
      <c r="GP566"/>
      <c r="GQ566"/>
      <c r="GR566"/>
      <c r="GS566"/>
      <c r="GT566"/>
      <c r="GU566"/>
      <c r="GV566"/>
      <c r="GW566"/>
      <c r="GX566"/>
      <c r="GY566"/>
      <c r="GZ566"/>
      <c r="HA566"/>
      <c r="HB566"/>
      <c r="HC566"/>
      <c r="HD566"/>
      <c r="HE566"/>
      <c r="HF566"/>
      <c r="HG566"/>
      <c r="HH566"/>
      <c r="HI566"/>
      <c r="HJ566"/>
      <c r="HK566"/>
      <c r="HL566"/>
      <c r="HM566"/>
      <c r="HN566"/>
      <c r="HO566"/>
      <c r="HP566"/>
      <c r="HQ566"/>
      <c r="HR566"/>
      <c r="HS566"/>
      <c r="HT566"/>
      <c r="HU566"/>
      <c r="HV566"/>
      <c r="HW566"/>
      <c r="HX566"/>
      <c r="HY566"/>
      <c r="HZ566"/>
      <c r="IA566"/>
      <c r="IB566"/>
      <c r="IC566"/>
      <c r="ID566"/>
      <c r="IE566"/>
      <c r="IF566"/>
      <c r="IG566"/>
      <c r="IH566"/>
      <c r="II566"/>
      <c r="IJ566"/>
      <c r="IK566"/>
      <c r="IL566"/>
      <c r="IM566"/>
      <c r="IN566"/>
      <c r="IO566"/>
      <c r="IP566"/>
      <c r="IQ566"/>
      <c r="IR566"/>
      <c r="IS566"/>
      <c r="IT566"/>
      <c r="IU566"/>
      <c r="IV566"/>
      <c r="IW566"/>
      <c r="IX566"/>
      <c r="IY566"/>
      <c r="IZ566"/>
      <c r="JA566"/>
      <c r="JB566"/>
      <c r="JC566"/>
      <c r="JD566"/>
      <c r="JE566"/>
      <c r="JF566"/>
      <c r="JG566"/>
      <c r="JH566"/>
      <c r="JI566"/>
      <c r="JJ566"/>
      <c r="JK566"/>
      <c r="JL566"/>
      <c r="JM566"/>
      <c r="JN566"/>
      <c r="JO566"/>
      <c r="JP566"/>
      <c r="JQ566"/>
      <c r="JR566"/>
      <c r="JS566"/>
      <c r="JT566"/>
      <c r="JU566"/>
      <c r="JV566"/>
      <c r="JW566"/>
      <c r="JX566"/>
      <c r="JY566"/>
      <c r="JZ566"/>
      <c r="KA566"/>
      <c r="KB566"/>
      <c r="KC566"/>
      <c r="KD566"/>
      <c r="KE566"/>
      <c r="KF566"/>
      <c r="KG566"/>
      <c r="KH566"/>
      <c r="KI566"/>
      <c r="KJ566"/>
      <c r="KK566"/>
      <c r="KL566"/>
      <c r="KM566"/>
      <c r="KN566"/>
      <c r="KO566"/>
      <c r="KP566"/>
      <c r="KQ566"/>
      <c r="KR566"/>
      <c r="KS566"/>
    </row>
    <row r="567" spans="2:305" hidden="1" x14ac:dyDescent="0.35">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c r="AL567"/>
      <c r="AM567"/>
      <c r="AN567"/>
      <c r="AO567"/>
      <c r="AP567"/>
      <c r="AQ567"/>
      <c r="AR567"/>
      <c r="AS567"/>
      <c r="AT567"/>
      <c r="AU567"/>
      <c r="AV567"/>
      <c r="AW567"/>
      <c r="AX567"/>
      <c r="AY567"/>
      <c r="AZ567"/>
      <c r="BA567"/>
      <c r="BB567"/>
      <c r="BC567"/>
      <c r="BD567"/>
      <c r="BE567"/>
      <c r="BF567"/>
      <c r="BG567"/>
      <c r="BH567"/>
      <c r="BI567"/>
      <c r="BJ567"/>
      <c r="BK567"/>
      <c r="BL567"/>
      <c r="BM567"/>
      <c r="BN567"/>
      <c r="BO567"/>
      <c r="BP567"/>
      <c r="BQ567"/>
      <c r="BR567"/>
      <c r="BS567"/>
      <c r="BT567"/>
      <c r="BU567"/>
      <c r="BV567"/>
      <c r="BW567"/>
      <c r="BX567"/>
      <c r="BY567"/>
      <c r="BZ567"/>
      <c r="CA567"/>
      <c r="CB567"/>
      <c r="CC567"/>
      <c r="CD567"/>
      <c r="CE567"/>
      <c r="CF567"/>
      <c r="CG567"/>
      <c r="CH567"/>
      <c r="CI567"/>
      <c r="CJ567"/>
      <c r="CK567"/>
      <c r="CL567"/>
      <c r="CM567"/>
      <c r="CN567"/>
      <c r="CO567"/>
      <c r="CP567"/>
      <c r="CQ567"/>
      <c r="CR567"/>
      <c r="CS567"/>
      <c r="CT567"/>
      <c r="CU567"/>
      <c r="CV567"/>
      <c r="CW567"/>
      <c r="CX567"/>
      <c r="CY567"/>
      <c r="CZ567"/>
      <c r="DA567"/>
      <c r="DB567"/>
      <c r="DC567"/>
      <c r="DD567"/>
      <c r="DE567"/>
      <c r="DF567"/>
      <c r="DG567"/>
      <c r="DH567"/>
      <c r="DI567"/>
      <c r="DJ567"/>
      <c r="DK567"/>
      <c r="DL567"/>
      <c r="DM567"/>
      <c r="DN567"/>
      <c r="DO567"/>
      <c r="DP567"/>
      <c r="DQ567"/>
      <c r="DR567"/>
      <c r="DS567"/>
      <c r="DT567"/>
      <c r="DU567"/>
      <c r="DV567"/>
      <c r="DW567"/>
      <c r="DX567"/>
      <c r="DY567"/>
      <c r="DZ567"/>
      <c r="EA567"/>
      <c r="EB567"/>
      <c r="EC567"/>
      <c r="ED567"/>
      <c r="EE567"/>
      <c r="EF567"/>
      <c r="EG567"/>
      <c r="EH567"/>
      <c r="EI567"/>
      <c r="EJ567"/>
      <c r="EK567"/>
      <c r="EL567"/>
      <c r="EM567"/>
      <c r="EN567"/>
      <c r="EO567"/>
      <c r="EP567"/>
      <c r="EQ567"/>
      <c r="ER567"/>
      <c r="ES567"/>
      <c r="ET567"/>
      <c r="EU567"/>
      <c r="EV567"/>
      <c r="EW567"/>
      <c r="EX567"/>
      <c r="EY567"/>
      <c r="EZ567"/>
      <c r="FA567"/>
      <c r="FB567"/>
      <c r="FC567"/>
      <c r="FD567"/>
      <c r="FE567"/>
      <c r="FF567"/>
      <c r="FG567"/>
      <c r="FH567"/>
      <c r="FI567"/>
      <c r="FJ567"/>
      <c r="FK567"/>
      <c r="FL567"/>
      <c r="FM567"/>
      <c r="FN567"/>
      <c r="FO567"/>
      <c r="FP567"/>
      <c r="FQ567"/>
      <c r="FR567"/>
      <c r="FS567"/>
      <c r="FT567"/>
      <c r="FU567"/>
      <c r="FV567"/>
      <c r="FW567"/>
      <c r="FX567"/>
      <c r="FY567"/>
      <c r="FZ567"/>
      <c r="GA567"/>
      <c r="GB567"/>
      <c r="GC567"/>
      <c r="GD567"/>
      <c r="GE567"/>
      <c r="GF567"/>
      <c r="GG567"/>
      <c r="GH567"/>
      <c r="GI567"/>
      <c r="GJ567"/>
      <c r="GK567"/>
      <c r="GL567"/>
      <c r="GM567"/>
      <c r="GN567"/>
      <c r="GO567"/>
      <c r="GP567"/>
      <c r="GQ567"/>
      <c r="GR567"/>
      <c r="GS567"/>
      <c r="GT567"/>
      <c r="GU567"/>
      <c r="GV567"/>
      <c r="GW567"/>
      <c r="GX567"/>
      <c r="GY567"/>
      <c r="GZ567"/>
      <c r="HA567"/>
      <c r="HB567"/>
      <c r="HC567"/>
      <c r="HD567"/>
      <c r="HE567"/>
      <c r="HF567"/>
      <c r="HG567"/>
      <c r="HH567"/>
      <c r="HI567"/>
      <c r="HJ567"/>
      <c r="HK567"/>
      <c r="HL567"/>
      <c r="HM567"/>
      <c r="HN567"/>
      <c r="HO567"/>
      <c r="HP567"/>
      <c r="HQ567"/>
      <c r="HR567"/>
      <c r="HS567"/>
      <c r="HT567"/>
      <c r="HU567"/>
      <c r="HV567"/>
      <c r="HW567"/>
      <c r="HX567"/>
      <c r="HY567"/>
      <c r="HZ567"/>
      <c r="IA567"/>
      <c r="IB567"/>
      <c r="IC567"/>
      <c r="ID567"/>
      <c r="IE567"/>
      <c r="IF567"/>
      <c r="IG567"/>
      <c r="IH567"/>
      <c r="II567"/>
      <c r="IJ567"/>
      <c r="IK567"/>
      <c r="IL567"/>
      <c r="IM567"/>
      <c r="IN567"/>
      <c r="IO567"/>
      <c r="IP567"/>
      <c r="IQ567"/>
      <c r="IR567"/>
      <c r="IS567"/>
      <c r="IT567"/>
      <c r="IU567"/>
      <c r="IV567"/>
      <c r="IW567"/>
      <c r="IX567"/>
      <c r="IY567"/>
      <c r="IZ567"/>
      <c r="JA567"/>
      <c r="JB567"/>
      <c r="JC567"/>
      <c r="JD567"/>
      <c r="JE567"/>
      <c r="JF567"/>
      <c r="JG567"/>
      <c r="JH567"/>
      <c r="JI567"/>
      <c r="JJ567"/>
      <c r="JK567"/>
      <c r="JL567"/>
      <c r="JM567"/>
      <c r="JN567"/>
      <c r="JO567"/>
      <c r="JP567"/>
      <c r="JQ567"/>
      <c r="JR567"/>
      <c r="JS567"/>
      <c r="JT567"/>
      <c r="JU567"/>
      <c r="JV567"/>
      <c r="JW567"/>
      <c r="JX567"/>
      <c r="JY567"/>
      <c r="JZ567"/>
      <c r="KA567"/>
      <c r="KB567"/>
      <c r="KC567"/>
      <c r="KD567"/>
      <c r="KE567"/>
      <c r="KF567"/>
      <c r="KG567"/>
      <c r="KH567"/>
      <c r="KI567"/>
      <c r="KJ567"/>
      <c r="KK567"/>
      <c r="KL567"/>
      <c r="KM567"/>
      <c r="KN567"/>
      <c r="KO567"/>
      <c r="KP567"/>
      <c r="KQ567"/>
      <c r="KR567"/>
      <c r="KS567"/>
    </row>
    <row r="568" spans="2:305" hidden="1" x14ac:dyDescent="0.35">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c r="AL568"/>
      <c r="AM568"/>
      <c r="AN568"/>
      <c r="AO568"/>
      <c r="AP568"/>
      <c r="AQ568"/>
      <c r="AR568"/>
      <c r="AS568"/>
      <c r="AT568"/>
      <c r="AU568"/>
      <c r="AV568"/>
      <c r="AW568"/>
      <c r="AX568"/>
      <c r="AY568"/>
      <c r="AZ568"/>
      <c r="BA568"/>
      <c r="BB568"/>
      <c r="BC568"/>
      <c r="BD568"/>
      <c r="BE568"/>
      <c r="BF568"/>
      <c r="BG568"/>
      <c r="BH568"/>
      <c r="BI568"/>
      <c r="BJ568"/>
      <c r="BK568"/>
      <c r="BL568"/>
      <c r="BM568"/>
      <c r="BN568"/>
      <c r="BO568"/>
      <c r="BP568"/>
      <c r="BQ568"/>
      <c r="BR568"/>
      <c r="BS568"/>
      <c r="BT568"/>
      <c r="BU568"/>
      <c r="BV568"/>
      <c r="BW568"/>
      <c r="BX568"/>
      <c r="BY568"/>
      <c r="BZ568"/>
      <c r="CA568"/>
      <c r="CB568"/>
      <c r="CC568"/>
      <c r="CD568"/>
      <c r="CE568"/>
      <c r="CF568"/>
      <c r="CG568"/>
      <c r="CH568"/>
      <c r="CI568"/>
      <c r="CJ568"/>
      <c r="CK568"/>
      <c r="CL568"/>
      <c r="CM568"/>
      <c r="CN568"/>
      <c r="CO568"/>
      <c r="CP568"/>
      <c r="CQ568"/>
      <c r="CR568"/>
      <c r="CS568"/>
      <c r="CT568"/>
      <c r="CU568"/>
      <c r="CV568"/>
      <c r="CW568"/>
      <c r="CX568"/>
      <c r="CY568"/>
      <c r="CZ568"/>
      <c r="DA568"/>
      <c r="DB568"/>
      <c r="DC568"/>
      <c r="DD568"/>
      <c r="DE568"/>
      <c r="DF568"/>
      <c r="DG568"/>
      <c r="DH568"/>
      <c r="DI568"/>
      <c r="DJ568"/>
      <c r="DK568"/>
      <c r="DL568"/>
      <c r="DM568"/>
      <c r="DN568"/>
      <c r="DO568"/>
      <c r="DP568"/>
      <c r="DQ568"/>
      <c r="DR568"/>
      <c r="DS568"/>
      <c r="DT568"/>
      <c r="DU568"/>
      <c r="DV568"/>
      <c r="DW568"/>
      <c r="DX568"/>
      <c r="DY568"/>
      <c r="DZ568"/>
      <c r="EA568"/>
      <c r="EB568"/>
      <c r="EC568"/>
      <c r="ED568"/>
      <c r="EE568"/>
      <c r="EF568"/>
      <c r="EG568"/>
      <c r="EH568"/>
      <c r="EI568"/>
      <c r="EJ568"/>
      <c r="EK568"/>
      <c r="EL568"/>
      <c r="EM568"/>
      <c r="EN568"/>
      <c r="EO568"/>
      <c r="EP568"/>
      <c r="EQ568"/>
      <c r="ER568"/>
      <c r="ES568"/>
      <c r="ET568"/>
      <c r="EU568"/>
      <c r="EV568"/>
      <c r="EW568"/>
      <c r="EX568"/>
      <c r="EY568"/>
      <c r="EZ568"/>
      <c r="FA568"/>
      <c r="FB568"/>
      <c r="FC568"/>
      <c r="FD568"/>
      <c r="FE568"/>
      <c r="FF568"/>
      <c r="FG568"/>
      <c r="FH568"/>
      <c r="FI568"/>
      <c r="FJ568"/>
      <c r="FK568"/>
      <c r="FL568"/>
      <c r="FM568"/>
      <c r="FN568"/>
      <c r="FO568"/>
      <c r="FP568"/>
      <c r="FQ568"/>
      <c r="FR568"/>
      <c r="FS568"/>
      <c r="FT568"/>
      <c r="FU568"/>
      <c r="FV568"/>
      <c r="FW568"/>
      <c r="FX568"/>
      <c r="FY568"/>
      <c r="FZ568"/>
      <c r="GA568"/>
      <c r="GB568"/>
      <c r="GC568"/>
      <c r="GD568"/>
      <c r="GE568"/>
      <c r="GF568"/>
      <c r="GG568"/>
      <c r="GH568"/>
      <c r="GI568"/>
      <c r="GJ568"/>
      <c r="GK568"/>
      <c r="GL568"/>
      <c r="GM568"/>
      <c r="GN568"/>
      <c r="GO568"/>
      <c r="GP568"/>
      <c r="GQ568"/>
      <c r="GR568"/>
      <c r="GS568"/>
      <c r="GT568"/>
      <c r="GU568"/>
      <c r="GV568"/>
      <c r="GW568"/>
      <c r="GX568"/>
      <c r="GY568"/>
      <c r="GZ568"/>
      <c r="HA568"/>
      <c r="HB568"/>
      <c r="HC568"/>
      <c r="HD568"/>
      <c r="HE568"/>
      <c r="HF568"/>
      <c r="HG568"/>
      <c r="HH568"/>
      <c r="HI568"/>
      <c r="HJ568"/>
      <c r="HK568"/>
      <c r="HL568"/>
      <c r="HM568"/>
      <c r="HN568"/>
      <c r="HO568"/>
      <c r="HP568"/>
      <c r="HQ568"/>
      <c r="HR568"/>
      <c r="HS568"/>
      <c r="HT568"/>
      <c r="HU568"/>
      <c r="HV568"/>
      <c r="HW568"/>
      <c r="HX568"/>
      <c r="HY568"/>
      <c r="HZ568"/>
      <c r="IA568"/>
      <c r="IB568"/>
      <c r="IC568"/>
      <c r="ID568"/>
      <c r="IE568"/>
      <c r="IF568"/>
      <c r="IG568"/>
      <c r="IH568"/>
      <c r="II568"/>
      <c r="IJ568"/>
      <c r="IK568"/>
      <c r="IL568"/>
      <c r="IM568"/>
      <c r="IN568"/>
      <c r="IO568"/>
      <c r="IP568"/>
      <c r="IQ568"/>
      <c r="IR568"/>
      <c r="IS568"/>
      <c r="IT568"/>
      <c r="IU568"/>
      <c r="IV568"/>
      <c r="IW568"/>
      <c r="IX568"/>
      <c r="IY568"/>
      <c r="IZ568"/>
      <c r="JA568"/>
      <c r="JB568"/>
      <c r="JC568"/>
      <c r="JD568"/>
      <c r="JE568"/>
      <c r="JF568"/>
      <c r="JG568"/>
      <c r="JH568"/>
      <c r="JI568"/>
      <c r="JJ568"/>
      <c r="JK568"/>
      <c r="JL568"/>
      <c r="JM568"/>
      <c r="JN568"/>
      <c r="JO568"/>
      <c r="JP568"/>
      <c r="JQ568"/>
      <c r="JR568"/>
      <c r="JS568"/>
      <c r="JT568"/>
      <c r="JU568"/>
      <c r="JV568"/>
      <c r="JW568"/>
      <c r="JX568"/>
      <c r="JY568"/>
      <c r="JZ568"/>
      <c r="KA568"/>
      <c r="KB568"/>
      <c r="KC568"/>
      <c r="KD568"/>
      <c r="KE568"/>
      <c r="KF568"/>
      <c r="KG568"/>
      <c r="KH568"/>
      <c r="KI568"/>
      <c r="KJ568"/>
      <c r="KK568"/>
      <c r="KL568"/>
      <c r="KM568"/>
      <c r="KN568"/>
      <c r="KO568"/>
      <c r="KP568"/>
      <c r="KQ568"/>
      <c r="KR568"/>
      <c r="KS568"/>
    </row>
    <row r="569" spans="2:305" hidden="1" x14ac:dyDescent="0.35">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c r="AL569"/>
      <c r="AM569"/>
      <c r="AN569"/>
      <c r="AO569"/>
      <c r="AP569"/>
      <c r="AQ569"/>
      <c r="AR569"/>
      <c r="AS569"/>
      <c r="AT569"/>
      <c r="AU569"/>
      <c r="AV569"/>
      <c r="AW569"/>
      <c r="AX569"/>
      <c r="AY569"/>
      <c r="AZ569"/>
      <c r="BA569"/>
      <c r="BB569"/>
      <c r="BC569"/>
      <c r="BD569"/>
      <c r="BE569"/>
      <c r="BF569"/>
      <c r="BG569"/>
      <c r="BH569"/>
      <c r="BI569"/>
      <c r="BJ569"/>
      <c r="BK569"/>
      <c r="BL569"/>
      <c r="BM569"/>
      <c r="BN569"/>
      <c r="BO569"/>
      <c r="BP569"/>
      <c r="BQ569"/>
      <c r="BR569"/>
      <c r="BS569"/>
      <c r="BT569"/>
      <c r="BU569"/>
      <c r="BV569"/>
      <c r="BW569"/>
      <c r="BX569"/>
      <c r="BY569"/>
      <c r="BZ569"/>
      <c r="CA569"/>
      <c r="CB569"/>
      <c r="CC569"/>
      <c r="CD569"/>
      <c r="CE569"/>
      <c r="CF569"/>
      <c r="CG569"/>
      <c r="CH569"/>
      <c r="CI569"/>
      <c r="CJ569"/>
      <c r="CK569"/>
      <c r="CL569"/>
      <c r="CM569"/>
      <c r="CN569"/>
      <c r="CO569"/>
      <c r="CP569"/>
      <c r="CQ569"/>
      <c r="CR569"/>
      <c r="CS569"/>
      <c r="CT569"/>
      <c r="CU569"/>
      <c r="CV569"/>
      <c r="CW569"/>
      <c r="CX569"/>
      <c r="CY569"/>
      <c r="CZ569"/>
      <c r="DA569"/>
      <c r="DB569"/>
      <c r="DC569"/>
      <c r="DD569"/>
      <c r="DE569"/>
      <c r="DF569"/>
      <c r="DG569"/>
      <c r="DH569"/>
      <c r="DI569"/>
      <c r="DJ569"/>
      <c r="DK569"/>
      <c r="DL569"/>
      <c r="DM569"/>
      <c r="DN569"/>
      <c r="DO569"/>
      <c r="DP569"/>
      <c r="DQ569"/>
      <c r="DR569"/>
      <c r="DS569"/>
      <c r="DT569"/>
      <c r="DU569"/>
      <c r="DV569"/>
      <c r="DW569"/>
      <c r="DX569"/>
      <c r="DY569"/>
      <c r="DZ569"/>
      <c r="EA569"/>
      <c r="EB569"/>
      <c r="EC569"/>
      <c r="ED569"/>
      <c r="EE569"/>
      <c r="EF569"/>
      <c r="EG569"/>
      <c r="EH569"/>
      <c r="EI569"/>
      <c r="EJ569"/>
      <c r="EK569"/>
      <c r="EL569"/>
      <c r="EM569"/>
      <c r="EN569"/>
      <c r="EO569"/>
      <c r="EP569"/>
      <c r="EQ569"/>
      <c r="ER569"/>
      <c r="ES569"/>
      <c r="ET569"/>
      <c r="EU569"/>
      <c r="EV569"/>
      <c r="EW569"/>
      <c r="EX569"/>
      <c r="EY569"/>
      <c r="EZ569"/>
      <c r="FA569"/>
      <c r="FB569"/>
      <c r="FC569"/>
      <c r="FD569"/>
      <c r="FE569"/>
      <c r="FF569"/>
      <c r="FG569"/>
      <c r="FH569"/>
      <c r="FI569"/>
      <c r="FJ569"/>
      <c r="FK569"/>
      <c r="FL569"/>
      <c r="FM569"/>
      <c r="FN569"/>
      <c r="FO569"/>
      <c r="FP569"/>
      <c r="FQ569"/>
      <c r="FR569"/>
      <c r="FS569"/>
      <c r="FT569"/>
      <c r="FU569"/>
      <c r="FV569"/>
      <c r="FW569"/>
      <c r="FX569"/>
      <c r="FY569"/>
      <c r="FZ569"/>
      <c r="GA569"/>
      <c r="GB569"/>
      <c r="GC569"/>
      <c r="GD569"/>
      <c r="GE569"/>
      <c r="GF569"/>
      <c r="GG569"/>
      <c r="GH569"/>
      <c r="GI569"/>
      <c r="GJ569"/>
      <c r="GK569"/>
      <c r="GL569"/>
      <c r="GM569"/>
      <c r="GN569"/>
      <c r="GO569"/>
      <c r="GP569"/>
      <c r="GQ569"/>
      <c r="GR569"/>
      <c r="GS569"/>
      <c r="GT569"/>
      <c r="GU569"/>
      <c r="GV569"/>
      <c r="GW569"/>
      <c r="GX569"/>
      <c r="GY569"/>
      <c r="GZ569"/>
      <c r="HA569"/>
      <c r="HB569"/>
      <c r="HC569"/>
      <c r="HD569"/>
      <c r="HE569"/>
      <c r="HF569"/>
      <c r="HG569"/>
      <c r="HH569"/>
      <c r="HI569"/>
      <c r="HJ569"/>
      <c r="HK569"/>
      <c r="HL569"/>
      <c r="HM569"/>
      <c r="HN569"/>
      <c r="HO569"/>
      <c r="HP569"/>
      <c r="HQ569"/>
      <c r="HR569"/>
      <c r="HS569"/>
      <c r="HT569"/>
      <c r="HU569"/>
      <c r="HV569"/>
      <c r="HW569"/>
      <c r="HX569"/>
      <c r="HY569"/>
      <c r="HZ569"/>
      <c r="IA569"/>
      <c r="IB569"/>
      <c r="IC569"/>
      <c r="ID569"/>
      <c r="IE569"/>
      <c r="IF569"/>
      <c r="IG569"/>
      <c r="IH569"/>
      <c r="II569"/>
      <c r="IJ569"/>
      <c r="IK569"/>
      <c r="IL569"/>
      <c r="IM569"/>
      <c r="IN569"/>
      <c r="IO569"/>
      <c r="IP569"/>
      <c r="IQ569"/>
      <c r="IR569"/>
      <c r="IS569"/>
      <c r="IT569"/>
      <c r="IU569"/>
      <c r="IV569"/>
      <c r="IW569"/>
      <c r="IX569"/>
      <c r="IY569"/>
      <c r="IZ569"/>
      <c r="JA569"/>
      <c r="JB569"/>
      <c r="JC569"/>
      <c r="JD569"/>
      <c r="JE569"/>
      <c r="JF569"/>
      <c r="JG569"/>
      <c r="JH569"/>
      <c r="JI569"/>
      <c r="JJ569"/>
      <c r="JK569"/>
      <c r="JL569"/>
      <c r="JM569"/>
      <c r="JN569"/>
      <c r="JO569"/>
      <c r="JP569"/>
      <c r="JQ569"/>
      <c r="JR569"/>
      <c r="JS569"/>
      <c r="JT569"/>
      <c r="JU569"/>
      <c r="JV569"/>
      <c r="JW569"/>
      <c r="JX569"/>
      <c r="JY569"/>
      <c r="JZ569"/>
      <c r="KA569"/>
      <c r="KB569"/>
      <c r="KC569"/>
      <c r="KD569"/>
      <c r="KE569"/>
      <c r="KF569"/>
      <c r="KG569"/>
      <c r="KH569"/>
      <c r="KI569"/>
      <c r="KJ569"/>
      <c r="KK569"/>
      <c r="KL569"/>
      <c r="KM569"/>
      <c r="KN569"/>
      <c r="KO569"/>
      <c r="KP569"/>
      <c r="KQ569"/>
      <c r="KR569"/>
      <c r="KS569"/>
    </row>
    <row r="570" spans="2:305" hidden="1" x14ac:dyDescent="0.35">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c r="AL570"/>
      <c r="AM570"/>
      <c r="AN570"/>
      <c r="AO570"/>
      <c r="AP570"/>
      <c r="AQ570"/>
      <c r="AR570"/>
      <c r="AS570"/>
      <c r="AT570"/>
      <c r="AU570"/>
      <c r="AV570"/>
      <c r="AW570"/>
      <c r="AX570"/>
      <c r="AY570"/>
      <c r="AZ570"/>
      <c r="BA570"/>
      <c r="BB570"/>
      <c r="BC570"/>
      <c r="BD570"/>
      <c r="BE570"/>
      <c r="BF570"/>
      <c r="BG570"/>
      <c r="BH570"/>
      <c r="BI570"/>
      <c r="BJ570"/>
      <c r="BK570"/>
      <c r="BL570"/>
      <c r="BM570"/>
      <c r="BN570"/>
      <c r="BO570"/>
      <c r="BP570"/>
      <c r="BQ570"/>
      <c r="BR570"/>
      <c r="BS570"/>
      <c r="BT570"/>
      <c r="BU570"/>
      <c r="BV570"/>
      <c r="BW570"/>
      <c r="BX570"/>
      <c r="BY570"/>
      <c r="BZ570"/>
      <c r="CA570"/>
      <c r="CB570"/>
      <c r="CC570"/>
      <c r="CD570"/>
      <c r="CE570"/>
      <c r="CF570"/>
      <c r="CG570"/>
      <c r="CH570"/>
      <c r="CI570"/>
      <c r="CJ570"/>
      <c r="CK570"/>
      <c r="CL570"/>
      <c r="CM570"/>
      <c r="CN570"/>
      <c r="CO570"/>
      <c r="CP570"/>
      <c r="CQ570"/>
      <c r="CR570"/>
      <c r="CS570"/>
      <c r="CT570"/>
      <c r="CU570"/>
      <c r="CV570"/>
      <c r="CW570"/>
      <c r="CX570"/>
      <c r="CY570"/>
      <c r="CZ570"/>
      <c r="DA570"/>
      <c r="DB570"/>
      <c r="DC570"/>
      <c r="DD570"/>
      <c r="DE570"/>
      <c r="DF570"/>
      <c r="DG570"/>
      <c r="DH570"/>
      <c r="DI570"/>
      <c r="DJ570"/>
      <c r="DK570"/>
      <c r="DL570"/>
      <c r="DM570"/>
      <c r="DN570"/>
      <c r="DO570"/>
      <c r="DP570"/>
      <c r="DQ570"/>
      <c r="DR570"/>
      <c r="DS570"/>
      <c r="DT570"/>
      <c r="DU570"/>
      <c r="DV570"/>
      <c r="DW570"/>
      <c r="DX570"/>
      <c r="DY570"/>
      <c r="DZ570"/>
      <c r="EA570"/>
      <c r="EB570"/>
      <c r="EC570"/>
      <c r="ED570"/>
      <c r="EE570"/>
      <c r="EF570"/>
      <c r="EG570"/>
      <c r="EH570"/>
      <c r="EI570"/>
      <c r="EJ570"/>
      <c r="EK570"/>
      <c r="EL570"/>
      <c r="EM570"/>
      <c r="EN570"/>
      <c r="EO570"/>
      <c r="EP570"/>
      <c r="EQ570"/>
      <c r="ER570"/>
      <c r="ES570"/>
      <c r="ET570"/>
      <c r="EU570"/>
      <c r="EV570"/>
      <c r="EW570"/>
      <c r="EX570"/>
      <c r="EY570"/>
      <c r="EZ570"/>
      <c r="FA570"/>
      <c r="FB570"/>
      <c r="FC570"/>
      <c r="FD570"/>
      <c r="FE570"/>
      <c r="FF570"/>
      <c r="FG570"/>
      <c r="FH570"/>
      <c r="FI570"/>
      <c r="FJ570"/>
      <c r="FK570"/>
      <c r="FL570"/>
      <c r="FM570"/>
      <c r="FN570"/>
      <c r="FO570"/>
      <c r="FP570"/>
      <c r="FQ570"/>
      <c r="FR570"/>
      <c r="FS570"/>
      <c r="FT570"/>
      <c r="FU570"/>
      <c r="FV570"/>
      <c r="FW570"/>
      <c r="FX570"/>
      <c r="FY570"/>
      <c r="FZ570"/>
      <c r="GA570"/>
      <c r="GB570"/>
      <c r="GC570"/>
      <c r="GD570"/>
      <c r="GE570"/>
      <c r="GF570"/>
      <c r="GG570"/>
      <c r="GH570"/>
      <c r="GI570"/>
      <c r="GJ570"/>
      <c r="GK570"/>
      <c r="GL570"/>
      <c r="GM570"/>
      <c r="GN570"/>
      <c r="GO570"/>
      <c r="GP570"/>
      <c r="GQ570"/>
      <c r="GR570"/>
      <c r="GS570"/>
      <c r="GT570"/>
      <c r="GU570"/>
      <c r="GV570"/>
      <c r="GW570"/>
      <c r="GX570"/>
      <c r="GY570"/>
      <c r="GZ570"/>
      <c r="HA570"/>
      <c r="HB570"/>
      <c r="HC570"/>
      <c r="HD570"/>
      <c r="HE570"/>
      <c r="HF570"/>
      <c r="HG570"/>
      <c r="HH570"/>
      <c r="HI570"/>
      <c r="HJ570"/>
      <c r="HK570"/>
      <c r="HL570"/>
      <c r="HM570"/>
      <c r="HN570"/>
      <c r="HO570"/>
      <c r="HP570"/>
      <c r="HQ570"/>
      <c r="HR570"/>
      <c r="HS570"/>
      <c r="HT570"/>
      <c r="HU570"/>
      <c r="HV570"/>
      <c r="HW570"/>
      <c r="HX570"/>
      <c r="HY570"/>
      <c r="HZ570"/>
      <c r="IA570"/>
      <c r="IB570"/>
      <c r="IC570"/>
      <c r="ID570"/>
      <c r="IE570"/>
      <c r="IF570"/>
      <c r="IG570"/>
      <c r="IH570"/>
      <c r="II570"/>
      <c r="IJ570"/>
      <c r="IK570"/>
      <c r="IL570"/>
      <c r="IM570"/>
      <c r="IN570"/>
      <c r="IO570"/>
      <c r="IP570"/>
      <c r="IQ570"/>
      <c r="IR570"/>
      <c r="IS570"/>
      <c r="IT570"/>
      <c r="IU570"/>
      <c r="IV570"/>
      <c r="IW570"/>
      <c r="IX570"/>
      <c r="IY570"/>
      <c r="IZ570"/>
      <c r="JA570"/>
      <c r="JB570"/>
      <c r="JC570"/>
      <c r="JD570"/>
      <c r="JE570"/>
      <c r="JF570"/>
      <c r="JG570"/>
      <c r="JH570"/>
      <c r="JI570"/>
      <c r="JJ570"/>
      <c r="JK570"/>
      <c r="JL570"/>
      <c r="JM570"/>
      <c r="JN570"/>
      <c r="JO570"/>
      <c r="JP570"/>
      <c r="JQ570"/>
      <c r="JR570"/>
      <c r="JS570"/>
      <c r="JT570"/>
      <c r="JU570"/>
      <c r="JV570"/>
      <c r="JW570"/>
      <c r="JX570"/>
      <c r="JY570"/>
      <c r="JZ570"/>
      <c r="KA570"/>
      <c r="KB570"/>
      <c r="KC570"/>
      <c r="KD570"/>
      <c r="KE570"/>
      <c r="KF570"/>
      <c r="KG570"/>
      <c r="KH570"/>
      <c r="KI570"/>
      <c r="KJ570"/>
      <c r="KK570"/>
      <c r="KL570"/>
      <c r="KM570"/>
      <c r="KN570"/>
      <c r="KO570"/>
      <c r="KP570"/>
      <c r="KQ570"/>
      <c r="KR570"/>
      <c r="KS570"/>
    </row>
    <row r="571" spans="2:305" hidden="1" x14ac:dyDescent="0.35">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c r="AL571"/>
      <c r="AM571"/>
      <c r="AN571"/>
      <c r="AO571"/>
      <c r="AP571"/>
      <c r="AQ571"/>
      <c r="AR571"/>
      <c r="AS571"/>
      <c r="AT571"/>
      <c r="AU571"/>
      <c r="AV571"/>
      <c r="AW571"/>
      <c r="AX571"/>
      <c r="AY571"/>
      <c r="AZ571"/>
      <c r="BA571"/>
      <c r="BB571"/>
      <c r="BC571"/>
      <c r="BD571"/>
      <c r="BE571"/>
      <c r="BF571"/>
      <c r="BG571"/>
      <c r="BH571"/>
      <c r="BI571"/>
      <c r="BJ571"/>
      <c r="BK571"/>
      <c r="BL571"/>
      <c r="BM571"/>
      <c r="BN571"/>
      <c r="BO571"/>
      <c r="BP571"/>
      <c r="BQ571"/>
      <c r="BR571"/>
      <c r="BS571"/>
      <c r="BT571"/>
      <c r="BU571"/>
      <c r="BV571"/>
      <c r="BW571"/>
      <c r="BX571"/>
      <c r="BY571"/>
      <c r="BZ571"/>
      <c r="CA571"/>
      <c r="CB571"/>
      <c r="CC571"/>
      <c r="CD571"/>
      <c r="CE571"/>
      <c r="CF571"/>
      <c r="CG571"/>
      <c r="CH571"/>
      <c r="CI571"/>
      <c r="CJ571"/>
      <c r="CK571"/>
      <c r="CL571"/>
      <c r="CM571"/>
      <c r="CN571"/>
      <c r="CO571"/>
      <c r="CP571"/>
      <c r="CQ571"/>
      <c r="CR571"/>
      <c r="CS571"/>
      <c r="CT571"/>
      <c r="CU571"/>
      <c r="CV571"/>
      <c r="CW571"/>
      <c r="CX571"/>
      <c r="CY571"/>
      <c r="CZ571"/>
      <c r="DA571"/>
      <c r="DB571"/>
      <c r="DC571"/>
      <c r="DD571"/>
      <c r="DE571"/>
      <c r="DF571"/>
      <c r="DG571"/>
      <c r="DH571"/>
      <c r="DI571"/>
      <c r="DJ571"/>
      <c r="DK571"/>
      <c r="DL571"/>
      <c r="DM571"/>
      <c r="DN571"/>
      <c r="DO571"/>
      <c r="DP571"/>
      <c r="DQ571"/>
      <c r="DR571"/>
      <c r="DS571"/>
      <c r="DT571"/>
      <c r="DU571"/>
      <c r="DV571"/>
      <c r="DW571"/>
      <c r="DX571"/>
      <c r="DY571"/>
      <c r="DZ571"/>
      <c r="EA571"/>
      <c r="EB571"/>
      <c r="EC571"/>
      <c r="ED571"/>
      <c r="EE571"/>
      <c r="EF571"/>
      <c r="EG571"/>
      <c r="EH571"/>
      <c r="EI571"/>
      <c r="EJ571"/>
      <c r="EK571"/>
      <c r="EL571"/>
      <c r="EM571"/>
      <c r="EN571"/>
      <c r="EO571"/>
      <c r="EP571"/>
      <c r="EQ571"/>
      <c r="ER571"/>
      <c r="ES571"/>
      <c r="ET571"/>
      <c r="EU571"/>
      <c r="EV571"/>
      <c r="EW571"/>
      <c r="EX571"/>
      <c r="EY571"/>
      <c r="EZ571"/>
      <c r="FA571"/>
      <c r="FB571"/>
      <c r="FC571"/>
      <c r="FD571"/>
      <c r="FE571"/>
      <c r="FF571"/>
      <c r="FG571"/>
      <c r="FH571"/>
      <c r="FI571"/>
      <c r="FJ571"/>
      <c r="FK571"/>
      <c r="FL571"/>
      <c r="FM571"/>
      <c r="FN571"/>
      <c r="FO571"/>
      <c r="FP571"/>
      <c r="FQ571"/>
      <c r="FR571"/>
      <c r="FS571"/>
      <c r="FT571"/>
      <c r="FU571"/>
      <c r="FV571"/>
      <c r="FW571"/>
      <c r="FX571"/>
      <c r="FY571"/>
      <c r="FZ571"/>
      <c r="GA571"/>
      <c r="GB571"/>
      <c r="GC571"/>
      <c r="GD571"/>
      <c r="GE571"/>
      <c r="GF571"/>
      <c r="GG571"/>
      <c r="GH571"/>
      <c r="GI571"/>
      <c r="GJ571"/>
      <c r="GK571"/>
      <c r="GL571"/>
      <c r="GM571"/>
      <c r="GN571"/>
      <c r="GO571"/>
      <c r="GP571"/>
      <c r="GQ571"/>
      <c r="GR571"/>
      <c r="GS571"/>
      <c r="GT571"/>
      <c r="GU571"/>
      <c r="GV571"/>
      <c r="GW571"/>
      <c r="GX571"/>
      <c r="GY571"/>
      <c r="GZ571"/>
      <c r="HA571"/>
      <c r="HB571"/>
      <c r="HC571"/>
      <c r="HD571"/>
      <c r="HE571"/>
      <c r="HF571"/>
      <c r="HG571"/>
      <c r="HH571"/>
      <c r="HI571"/>
      <c r="HJ571"/>
      <c r="HK571"/>
      <c r="HL571"/>
      <c r="HM571"/>
      <c r="HN571"/>
      <c r="HO571"/>
      <c r="HP571"/>
      <c r="HQ571"/>
      <c r="HR571"/>
      <c r="HS571"/>
      <c r="HT571"/>
      <c r="HU571"/>
      <c r="HV571"/>
      <c r="HW571"/>
      <c r="HX571"/>
      <c r="HY571"/>
      <c r="HZ571"/>
      <c r="IA571"/>
      <c r="IB571"/>
      <c r="IC571"/>
      <c r="ID571"/>
      <c r="IE571"/>
      <c r="IF571"/>
      <c r="IG571"/>
      <c r="IH571"/>
      <c r="II571"/>
      <c r="IJ571"/>
      <c r="IK571"/>
      <c r="IL571"/>
      <c r="IM571"/>
      <c r="IN571"/>
      <c r="IO571"/>
      <c r="IP571"/>
      <c r="IQ571"/>
      <c r="IR571"/>
      <c r="IS571"/>
      <c r="IT571"/>
      <c r="IU571"/>
      <c r="IV571"/>
      <c r="IW571"/>
      <c r="IX571"/>
      <c r="IY571"/>
      <c r="IZ571"/>
      <c r="JA571"/>
      <c r="JB571"/>
      <c r="JC571"/>
      <c r="JD571"/>
      <c r="JE571"/>
      <c r="JF571"/>
      <c r="JG571"/>
      <c r="JH571"/>
      <c r="JI571"/>
      <c r="JJ571"/>
      <c r="JK571"/>
      <c r="JL571"/>
      <c r="JM571"/>
      <c r="JN571"/>
      <c r="JO571"/>
      <c r="JP571"/>
      <c r="JQ571"/>
      <c r="JR571"/>
      <c r="JS571"/>
      <c r="JT571"/>
      <c r="JU571"/>
      <c r="JV571"/>
      <c r="JW571"/>
      <c r="JX571"/>
      <c r="JY571"/>
      <c r="JZ571"/>
      <c r="KA571"/>
      <c r="KB571"/>
      <c r="KC571"/>
      <c r="KD571"/>
      <c r="KE571"/>
      <c r="KF571"/>
      <c r="KG571"/>
      <c r="KH571"/>
      <c r="KI571"/>
      <c r="KJ571"/>
      <c r="KK571"/>
      <c r="KL571"/>
      <c r="KM571"/>
      <c r="KN571"/>
      <c r="KO571"/>
      <c r="KP571"/>
      <c r="KQ571"/>
      <c r="KR571"/>
      <c r="KS571"/>
    </row>
    <row r="572" spans="2:305" hidden="1" x14ac:dyDescent="0.35">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c r="AL572"/>
      <c r="AM572"/>
      <c r="AN572"/>
      <c r="AO572"/>
      <c r="AP572"/>
      <c r="AQ572"/>
      <c r="AR572"/>
      <c r="AS572"/>
      <c r="AT572"/>
      <c r="AU572"/>
      <c r="AV572"/>
      <c r="AW572"/>
      <c r="AX572"/>
      <c r="AY572"/>
      <c r="AZ572"/>
      <c r="BA572"/>
      <c r="BB572"/>
      <c r="BC572"/>
      <c r="BD572"/>
      <c r="BE572"/>
      <c r="BF572"/>
      <c r="BG572"/>
      <c r="BH572"/>
      <c r="BI572"/>
      <c r="BJ572"/>
      <c r="BK572"/>
      <c r="BL572"/>
      <c r="BM572"/>
      <c r="BN572"/>
      <c r="BO572"/>
      <c r="BP572"/>
      <c r="BQ572"/>
      <c r="BR572"/>
      <c r="BS572"/>
      <c r="BT572"/>
      <c r="BU572"/>
      <c r="BV572"/>
      <c r="BW572"/>
      <c r="BX572"/>
      <c r="BY572"/>
      <c r="BZ572"/>
      <c r="CA572"/>
      <c r="CB572"/>
      <c r="CC572"/>
      <c r="CD572"/>
      <c r="CE572"/>
      <c r="CF572"/>
      <c r="CG572"/>
      <c r="CH572"/>
      <c r="CI572"/>
      <c r="CJ572"/>
      <c r="CK572"/>
      <c r="CL572"/>
      <c r="CM572"/>
      <c r="CN572"/>
      <c r="CO572"/>
      <c r="CP572"/>
      <c r="CQ572"/>
      <c r="CR572"/>
      <c r="CS572"/>
      <c r="CT572"/>
      <c r="CU572"/>
      <c r="CV572"/>
      <c r="CW572"/>
      <c r="CX572"/>
      <c r="CY572"/>
      <c r="CZ572"/>
      <c r="DA572"/>
      <c r="DB572"/>
      <c r="DC572"/>
      <c r="DD572"/>
      <c r="DE572"/>
      <c r="DF572"/>
      <c r="DG572"/>
      <c r="DH572"/>
      <c r="DI572"/>
      <c r="DJ572"/>
      <c r="DK572"/>
      <c r="DL572"/>
      <c r="DM572"/>
      <c r="DN572"/>
      <c r="DO572"/>
      <c r="DP572"/>
      <c r="DQ572"/>
      <c r="DR572"/>
      <c r="DS572"/>
      <c r="DT572"/>
      <c r="DU572"/>
      <c r="DV572"/>
      <c r="DW572"/>
      <c r="DX572"/>
      <c r="DY572"/>
      <c r="DZ572"/>
      <c r="EA572"/>
      <c r="EB572"/>
      <c r="EC572"/>
      <c r="ED572"/>
      <c r="EE572"/>
      <c r="EF572"/>
      <c r="EG572"/>
      <c r="EH572"/>
      <c r="EI572"/>
      <c r="EJ572"/>
      <c r="EK572"/>
      <c r="EL572"/>
      <c r="EM572"/>
      <c r="EN572"/>
      <c r="EO572"/>
      <c r="EP572"/>
      <c r="EQ572"/>
      <c r="ER572"/>
      <c r="ES572"/>
      <c r="ET572"/>
      <c r="EU572"/>
      <c r="EV572"/>
      <c r="EW572"/>
      <c r="EX572"/>
      <c r="EY572"/>
      <c r="EZ572"/>
      <c r="FA572"/>
      <c r="FB572"/>
      <c r="FC572"/>
      <c r="FD572"/>
      <c r="FE572"/>
      <c r="FF572"/>
      <c r="FG572"/>
      <c r="FH572"/>
      <c r="FI572"/>
      <c r="FJ572"/>
      <c r="FK572"/>
      <c r="FL572"/>
      <c r="FM572"/>
      <c r="FN572"/>
      <c r="FO572"/>
      <c r="FP572"/>
      <c r="FQ572"/>
      <c r="FR572"/>
      <c r="FS572"/>
      <c r="FT572"/>
      <c r="FU572"/>
      <c r="FV572"/>
      <c r="FW572"/>
      <c r="FX572"/>
      <c r="FY572"/>
      <c r="FZ572"/>
      <c r="GA572"/>
      <c r="GB572"/>
      <c r="GC572"/>
      <c r="GD572"/>
      <c r="GE572"/>
      <c r="GF572"/>
      <c r="GG572"/>
      <c r="GH572"/>
      <c r="GI572"/>
      <c r="GJ572"/>
      <c r="GK572"/>
      <c r="GL572"/>
      <c r="GM572"/>
      <c r="GN572"/>
      <c r="GO572"/>
      <c r="GP572"/>
      <c r="GQ572"/>
      <c r="GR572"/>
      <c r="GS572"/>
      <c r="GT572"/>
      <c r="GU572"/>
      <c r="GV572"/>
      <c r="GW572"/>
      <c r="GX572"/>
      <c r="GY572"/>
      <c r="GZ572"/>
      <c r="HA572"/>
      <c r="HB572"/>
      <c r="HC572"/>
      <c r="HD572"/>
      <c r="HE572"/>
      <c r="HF572"/>
      <c r="HG572"/>
      <c r="HH572"/>
      <c r="HI572"/>
      <c r="HJ572"/>
      <c r="HK572"/>
      <c r="HL572"/>
      <c r="HM572"/>
      <c r="HN572"/>
      <c r="HO572"/>
      <c r="HP572"/>
      <c r="HQ572"/>
      <c r="HR572"/>
      <c r="HS572"/>
      <c r="HT572"/>
      <c r="HU572"/>
      <c r="HV572"/>
      <c r="HW572"/>
      <c r="HX572"/>
      <c r="HY572"/>
      <c r="HZ572"/>
      <c r="IA572"/>
      <c r="IB572"/>
      <c r="IC572"/>
      <c r="ID572"/>
      <c r="IE572"/>
      <c r="IF572"/>
      <c r="IG572"/>
      <c r="IH572"/>
      <c r="II572"/>
      <c r="IJ572"/>
      <c r="IK572"/>
      <c r="IL572"/>
      <c r="IM572"/>
      <c r="IN572"/>
      <c r="IO572"/>
      <c r="IP572"/>
      <c r="IQ572"/>
      <c r="IR572"/>
      <c r="IS572"/>
      <c r="IT572"/>
      <c r="IU572"/>
      <c r="IV572"/>
      <c r="IW572"/>
      <c r="IX572"/>
      <c r="IY572"/>
      <c r="IZ572"/>
      <c r="JA572"/>
      <c r="JB572"/>
      <c r="JC572"/>
      <c r="JD572"/>
      <c r="JE572"/>
      <c r="JF572"/>
      <c r="JG572"/>
      <c r="JH572"/>
      <c r="JI572"/>
      <c r="JJ572"/>
      <c r="JK572"/>
      <c r="JL572"/>
      <c r="JM572"/>
      <c r="JN572"/>
      <c r="JO572"/>
      <c r="JP572"/>
      <c r="JQ572"/>
      <c r="JR572"/>
      <c r="JS572"/>
      <c r="JT572"/>
      <c r="JU572"/>
      <c r="JV572"/>
      <c r="JW572"/>
      <c r="JX572"/>
      <c r="JY572"/>
      <c r="JZ572"/>
      <c r="KA572"/>
      <c r="KB572"/>
      <c r="KC572"/>
      <c r="KD572"/>
      <c r="KE572"/>
      <c r="KF572"/>
      <c r="KG572"/>
      <c r="KH572"/>
      <c r="KI572"/>
      <c r="KJ572"/>
      <c r="KK572"/>
      <c r="KL572"/>
      <c r="KM572"/>
      <c r="KN572"/>
      <c r="KO572"/>
      <c r="KP572"/>
      <c r="KQ572"/>
      <c r="KR572"/>
      <c r="KS572"/>
    </row>
    <row r="573" spans="2:305" hidden="1" x14ac:dyDescent="0.35">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c r="AL573"/>
      <c r="AM573"/>
      <c r="AN573"/>
      <c r="AO573"/>
      <c r="AP573"/>
      <c r="AQ573"/>
      <c r="AR573"/>
      <c r="AS573"/>
      <c r="AT573"/>
      <c r="AU573"/>
      <c r="AV573"/>
      <c r="AW573"/>
      <c r="AX573"/>
      <c r="AY573"/>
      <c r="AZ573"/>
      <c r="BA573"/>
      <c r="BB573"/>
      <c r="BC573"/>
      <c r="BD573"/>
      <c r="BE573"/>
      <c r="BF573"/>
      <c r="BG573"/>
      <c r="BH573"/>
      <c r="BI573"/>
      <c r="BJ573"/>
      <c r="BK573"/>
      <c r="BL573"/>
      <c r="BM573"/>
      <c r="BN573"/>
      <c r="BO573"/>
      <c r="BP573"/>
      <c r="BQ573"/>
      <c r="BR573"/>
      <c r="BS573"/>
      <c r="BT573"/>
      <c r="BU573"/>
      <c r="BV573"/>
      <c r="BW573"/>
      <c r="BX573"/>
      <c r="BY573"/>
      <c r="BZ573"/>
      <c r="CA573"/>
      <c r="CB573"/>
      <c r="CC573"/>
      <c r="CD573"/>
      <c r="CE573"/>
      <c r="CF573"/>
      <c r="CG573"/>
      <c r="CH573"/>
      <c r="CI573"/>
      <c r="CJ573"/>
      <c r="CK573"/>
      <c r="CL573"/>
      <c r="CM573"/>
      <c r="CN573"/>
      <c r="CO573"/>
      <c r="CP573"/>
      <c r="CQ573"/>
      <c r="CR573"/>
      <c r="CS573"/>
      <c r="CT573"/>
      <c r="CU573"/>
      <c r="CV573"/>
      <c r="CW573"/>
      <c r="CX573"/>
      <c r="CY573"/>
      <c r="CZ573"/>
      <c r="DA573"/>
      <c r="DB573"/>
      <c r="DC573"/>
      <c r="DD573"/>
      <c r="DE573"/>
      <c r="DF573"/>
      <c r="DG573"/>
      <c r="DH573"/>
      <c r="DI573"/>
      <c r="DJ573"/>
      <c r="DK573"/>
      <c r="DL573"/>
      <c r="DM573"/>
      <c r="DN573"/>
      <c r="DO573"/>
      <c r="DP573"/>
      <c r="DQ573"/>
      <c r="DR573"/>
      <c r="DS573"/>
      <c r="DT573"/>
      <c r="DU573"/>
      <c r="DV573"/>
      <c r="DW573"/>
      <c r="DX573"/>
      <c r="DY573"/>
      <c r="DZ573"/>
      <c r="EA573"/>
      <c r="EB573"/>
      <c r="EC573"/>
      <c r="ED573"/>
      <c r="EE573"/>
      <c r="EF573"/>
      <c r="EG573"/>
      <c r="EH573"/>
      <c r="EI573"/>
      <c r="EJ573"/>
      <c r="EK573"/>
      <c r="EL573"/>
      <c r="EM573"/>
      <c r="EN573"/>
      <c r="EO573"/>
      <c r="EP573"/>
      <c r="EQ573"/>
      <c r="ER573"/>
      <c r="ES573"/>
      <c r="ET573"/>
      <c r="EU573"/>
      <c r="EV573"/>
      <c r="EW573"/>
      <c r="EX573"/>
      <c r="EY573"/>
      <c r="EZ573"/>
      <c r="FA573"/>
      <c r="FB573"/>
      <c r="FC573"/>
      <c r="FD573"/>
      <c r="FE573"/>
      <c r="FF573"/>
      <c r="FG573"/>
      <c r="FH573"/>
      <c r="FI573"/>
      <c r="FJ573"/>
      <c r="FK573"/>
      <c r="FL573"/>
      <c r="FM573"/>
      <c r="FN573"/>
      <c r="FO573"/>
      <c r="FP573"/>
      <c r="FQ573"/>
      <c r="FR573"/>
      <c r="FS573"/>
      <c r="FT573"/>
      <c r="FU573"/>
      <c r="FV573"/>
      <c r="FW573"/>
      <c r="FX573"/>
      <c r="FY573"/>
      <c r="FZ573"/>
      <c r="GA573"/>
      <c r="GB573"/>
      <c r="GC573"/>
      <c r="GD573"/>
      <c r="GE573"/>
      <c r="GF573"/>
      <c r="GG573"/>
      <c r="GH573"/>
      <c r="GI573"/>
      <c r="GJ573"/>
      <c r="GK573"/>
      <c r="GL573"/>
      <c r="GM573"/>
      <c r="GN573"/>
      <c r="GO573"/>
      <c r="GP573"/>
      <c r="GQ573"/>
      <c r="GR573"/>
      <c r="GS573"/>
      <c r="GT573"/>
      <c r="GU573"/>
      <c r="GV573"/>
      <c r="GW573"/>
      <c r="GX573"/>
      <c r="GY573"/>
      <c r="GZ573"/>
      <c r="HA573"/>
      <c r="HB573"/>
      <c r="HC573"/>
      <c r="HD573"/>
      <c r="HE573"/>
      <c r="HF573"/>
      <c r="HG573"/>
      <c r="HH573"/>
      <c r="HI573"/>
      <c r="HJ573"/>
      <c r="HK573"/>
      <c r="HL573"/>
      <c r="HM573"/>
      <c r="HN573"/>
      <c r="HO573"/>
      <c r="HP573"/>
      <c r="HQ573"/>
      <c r="HR573"/>
      <c r="HS573"/>
      <c r="HT573"/>
      <c r="HU573"/>
      <c r="HV573"/>
      <c r="HW573"/>
      <c r="HX573"/>
      <c r="HY573"/>
      <c r="HZ573"/>
      <c r="IA573"/>
      <c r="IB573"/>
      <c r="IC573"/>
      <c r="ID573"/>
      <c r="IE573"/>
      <c r="IF573"/>
      <c r="IG573"/>
      <c r="IH573"/>
      <c r="II573"/>
      <c r="IJ573"/>
      <c r="IK573"/>
      <c r="IL573"/>
      <c r="IM573"/>
      <c r="IN573"/>
      <c r="IO573"/>
      <c r="IP573"/>
      <c r="IQ573"/>
      <c r="IR573"/>
      <c r="IS573"/>
      <c r="IT573"/>
      <c r="IU573"/>
      <c r="IV573"/>
      <c r="IW573"/>
      <c r="IX573"/>
      <c r="IY573"/>
      <c r="IZ573"/>
      <c r="JA573"/>
      <c r="JB573"/>
      <c r="JC573"/>
      <c r="JD573"/>
      <c r="JE573"/>
      <c r="JF573"/>
      <c r="JG573"/>
      <c r="JH573"/>
      <c r="JI573"/>
      <c r="JJ573"/>
      <c r="JK573"/>
      <c r="JL573"/>
      <c r="JM573"/>
      <c r="JN573"/>
      <c r="JO573"/>
      <c r="JP573"/>
      <c r="JQ573"/>
      <c r="JR573"/>
      <c r="JS573"/>
      <c r="JT573"/>
      <c r="JU573"/>
      <c r="JV573"/>
      <c r="JW573"/>
      <c r="JX573"/>
      <c r="JY573"/>
      <c r="JZ573"/>
      <c r="KA573"/>
      <c r="KB573"/>
      <c r="KC573"/>
      <c r="KD573"/>
      <c r="KE573"/>
      <c r="KF573"/>
      <c r="KG573"/>
      <c r="KH573"/>
      <c r="KI573"/>
      <c r="KJ573"/>
      <c r="KK573"/>
      <c r="KL573"/>
      <c r="KM573"/>
      <c r="KN573"/>
      <c r="KO573"/>
      <c r="KP573"/>
      <c r="KQ573"/>
      <c r="KR573"/>
      <c r="KS573"/>
    </row>
    <row r="574" spans="2:305" hidden="1" x14ac:dyDescent="0.35">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c r="AL574"/>
      <c r="AM574"/>
      <c r="AN574"/>
      <c r="AO574"/>
      <c r="AP574"/>
      <c r="AQ574"/>
      <c r="AR574"/>
      <c r="AS574"/>
      <c r="AT574"/>
      <c r="AU574"/>
      <c r="AV574"/>
      <c r="AW574"/>
      <c r="AX574"/>
      <c r="AY574"/>
      <c r="AZ574"/>
      <c r="BA574"/>
      <c r="BB574"/>
      <c r="BC574"/>
      <c r="BD574"/>
      <c r="BE574"/>
      <c r="BF574"/>
      <c r="BG574"/>
      <c r="BH574"/>
      <c r="BI574"/>
      <c r="BJ574"/>
      <c r="BK574"/>
      <c r="BL574"/>
      <c r="BM574"/>
      <c r="BN574"/>
      <c r="BO574"/>
      <c r="BP574"/>
      <c r="BQ574"/>
      <c r="BR574"/>
      <c r="BS574"/>
      <c r="BT574"/>
      <c r="BU574"/>
      <c r="BV574"/>
      <c r="BW574"/>
      <c r="BX574"/>
      <c r="BY574"/>
      <c r="BZ574"/>
      <c r="CA574"/>
      <c r="CB574"/>
      <c r="CC574"/>
      <c r="CD574"/>
      <c r="CE574"/>
      <c r="CF574"/>
      <c r="CG574"/>
      <c r="CH574"/>
      <c r="CI574"/>
      <c r="CJ574"/>
      <c r="CK574"/>
      <c r="CL574"/>
      <c r="CM574"/>
      <c r="CN574"/>
      <c r="CO574"/>
      <c r="CP574"/>
      <c r="CQ574"/>
      <c r="CR574"/>
      <c r="CS574"/>
      <c r="CT574"/>
      <c r="CU574"/>
      <c r="CV574"/>
      <c r="CW574"/>
      <c r="CX574"/>
      <c r="CY574"/>
      <c r="CZ574"/>
      <c r="DA574"/>
      <c r="DB574"/>
      <c r="DC574"/>
      <c r="DD574"/>
      <c r="DE574"/>
      <c r="DF574"/>
      <c r="DG574"/>
      <c r="DH574"/>
      <c r="DI574"/>
      <c r="DJ574"/>
      <c r="DK574"/>
      <c r="DL574"/>
      <c r="DM574"/>
      <c r="DN574"/>
      <c r="DO574"/>
      <c r="DP574"/>
      <c r="DQ574"/>
      <c r="DR574"/>
      <c r="DS574"/>
      <c r="DT574"/>
      <c r="DU574"/>
      <c r="DV574"/>
      <c r="DW574"/>
      <c r="DX574"/>
      <c r="DY574"/>
      <c r="DZ574"/>
      <c r="EA574"/>
      <c r="EB574"/>
      <c r="EC574"/>
      <c r="ED574"/>
      <c r="EE574"/>
      <c r="EF574"/>
      <c r="EG574"/>
      <c r="EH574"/>
      <c r="EI574"/>
      <c r="EJ574"/>
      <c r="EK574"/>
      <c r="EL574"/>
      <c r="EM574"/>
      <c r="EN574"/>
      <c r="EO574"/>
      <c r="EP574"/>
      <c r="EQ574"/>
      <c r="ER574"/>
      <c r="ES574"/>
      <c r="ET574"/>
      <c r="EU574"/>
      <c r="EV574"/>
      <c r="EW574"/>
      <c r="EX574"/>
      <c r="EY574"/>
      <c r="EZ574"/>
      <c r="FA574"/>
      <c r="FB574"/>
      <c r="FC574"/>
      <c r="FD574"/>
      <c r="FE574"/>
      <c r="FF574"/>
      <c r="FG574"/>
      <c r="FH574"/>
      <c r="FI574"/>
      <c r="FJ574"/>
      <c r="FK574"/>
      <c r="FL574"/>
      <c r="FM574"/>
      <c r="FN574"/>
      <c r="FO574"/>
      <c r="FP574"/>
      <c r="FQ574"/>
      <c r="FR574"/>
      <c r="FS574"/>
      <c r="FT574"/>
      <c r="FU574"/>
      <c r="FV574"/>
      <c r="FW574"/>
      <c r="FX574"/>
      <c r="FY574"/>
      <c r="FZ574"/>
      <c r="GA574"/>
      <c r="GB574"/>
      <c r="GC574"/>
      <c r="GD574"/>
      <c r="GE574"/>
      <c r="GF574"/>
      <c r="GG574"/>
      <c r="GH574"/>
      <c r="GI574"/>
      <c r="GJ574"/>
      <c r="GK574"/>
      <c r="GL574"/>
      <c r="GM574"/>
      <c r="GN574"/>
      <c r="GO574"/>
      <c r="GP574"/>
      <c r="GQ574"/>
      <c r="GR574"/>
      <c r="GS574"/>
      <c r="GT574"/>
      <c r="GU574"/>
      <c r="GV574"/>
      <c r="GW574"/>
      <c r="GX574"/>
      <c r="GY574"/>
      <c r="GZ574"/>
      <c r="HA574"/>
      <c r="HB574"/>
      <c r="HC574"/>
      <c r="HD574"/>
      <c r="HE574"/>
      <c r="HF574"/>
      <c r="HG574"/>
      <c r="HH574"/>
      <c r="HI574"/>
      <c r="HJ574"/>
      <c r="HK574"/>
      <c r="HL574"/>
      <c r="HM574"/>
      <c r="HN574"/>
      <c r="HO574"/>
      <c r="HP574"/>
      <c r="HQ574"/>
      <c r="HR574"/>
      <c r="HS574"/>
      <c r="HT574"/>
      <c r="HU574"/>
      <c r="HV574"/>
      <c r="HW574"/>
      <c r="HX574"/>
      <c r="HY574"/>
      <c r="HZ574"/>
      <c r="IA574"/>
      <c r="IB574"/>
      <c r="IC574"/>
      <c r="ID574"/>
      <c r="IE574"/>
      <c r="IF574"/>
      <c r="IG574"/>
      <c r="IH574"/>
      <c r="II574"/>
      <c r="IJ574"/>
      <c r="IK574"/>
      <c r="IL574"/>
      <c r="IM574"/>
      <c r="IN574"/>
      <c r="IO574"/>
      <c r="IP574"/>
      <c r="IQ574"/>
      <c r="IR574"/>
      <c r="IS574"/>
      <c r="IT574"/>
      <c r="IU574"/>
      <c r="IV574"/>
      <c r="IW574"/>
      <c r="IX574"/>
      <c r="IY574"/>
      <c r="IZ574"/>
      <c r="JA574"/>
      <c r="JB574"/>
      <c r="JC574"/>
      <c r="JD574"/>
      <c r="JE574"/>
      <c r="JF574"/>
      <c r="JG574"/>
      <c r="JH574"/>
      <c r="JI574"/>
      <c r="JJ574"/>
      <c r="JK574"/>
      <c r="JL574"/>
      <c r="JM574"/>
      <c r="JN574"/>
      <c r="JO574"/>
      <c r="JP574"/>
      <c r="JQ574"/>
      <c r="JR574"/>
      <c r="JS574"/>
      <c r="JT574"/>
      <c r="JU574"/>
      <c r="JV574"/>
      <c r="JW574"/>
      <c r="JX574"/>
      <c r="JY574"/>
      <c r="JZ574"/>
      <c r="KA574"/>
      <c r="KB574"/>
      <c r="KC574"/>
      <c r="KD574"/>
      <c r="KE574"/>
      <c r="KF574"/>
      <c r="KG574"/>
      <c r="KH574"/>
      <c r="KI574"/>
      <c r="KJ574"/>
      <c r="KK574"/>
      <c r="KL574"/>
      <c r="KM574"/>
      <c r="KN574"/>
      <c r="KO574"/>
      <c r="KP574"/>
      <c r="KQ574"/>
      <c r="KR574"/>
      <c r="KS574"/>
    </row>
    <row r="575" spans="2:305" hidden="1" x14ac:dyDescent="0.3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c r="AL575"/>
      <c r="AM575"/>
      <c r="AN575"/>
      <c r="AO575"/>
      <c r="AP575"/>
      <c r="AQ575"/>
      <c r="AR575"/>
      <c r="AS575"/>
      <c r="AT575"/>
      <c r="AU575"/>
      <c r="AV575"/>
      <c r="AW575"/>
      <c r="AX575"/>
      <c r="AY575"/>
      <c r="AZ575"/>
      <c r="BA575"/>
      <c r="BB575"/>
      <c r="BC575"/>
      <c r="BD575"/>
      <c r="BE575"/>
      <c r="BF575"/>
      <c r="BG575"/>
      <c r="BH575"/>
      <c r="BI575"/>
      <c r="BJ575"/>
      <c r="BK575"/>
      <c r="BL575"/>
      <c r="BM575"/>
      <c r="BN575"/>
      <c r="BO575"/>
      <c r="BP575"/>
      <c r="BQ575"/>
      <c r="BR575"/>
      <c r="BS575"/>
      <c r="BT575"/>
      <c r="BU575"/>
      <c r="BV575"/>
      <c r="BW575"/>
      <c r="BX575"/>
      <c r="BY575"/>
      <c r="BZ575"/>
      <c r="CA575"/>
      <c r="CB575"/>
      <c r="CC575"/>
      <c r="CD575"/>
      <c r="CE575"/>
      <c r="CF575"/>
      <c r="CG575"/>
      <c r="CH575"/>
      <c r="CI575"/>
      <c r="CJ575"/>
      <c r="CK575"/>
      <c r="CL575"/>
      <c r="CM575"/>
      <c r="CN575"/>
      <c r="CO575"/>
      <c r="CP575"/>
      <c r="CQ575"/>
      <c r="CR575"/>
      <c r="CS575"/>
      <c r="CT575"/>
      <c r="CU575"/>
      <c r="CV575"/>
      <c r="CW575"/>
      <c r="CX575"/>
      <c r="CY575"/>
      <c r="CZ575"/>
      <c r="DA575"/>
      <c r="DB575"/>
      <c r="DC575"/>
      <c r="DD575"/>
      <c r="DE575"/>
      <c r="DF575"/>
      <c r="DG575"/>
      <c r="DH575"/>
      <c r="DI575"/>
      <c r="DJ575"/>
      <c r="DK575"/>
      <c r="DL575"/>
      <c r="DM575"/>
      <c r="DN575"/>
      <c r="DO575"/>
      <c r="DP575"/>
      <c r="DQ575"/>
      <c r="DR575"/>
      <c r="DS575"/>
      <c r="DT575"/>
      <c r="DU575"/>
      <c r="DV575"/>
      <c r="DW575"/>
      <c r="DX575"/>
      <c r="DY575"/>
      <c r="DZ575"/>
      <c r="EA575"/>
      <c r="EB575"/>
      <c r="EC575"/>
      <c r="ED575"/>
      <c r="EE575"/>
      <c r="EF575"/>
      <c r="EG575"/>
      <c r="EH575"/>
      <c r="EI575"/>
      <c r="EJ575"/>
      <c r="EK575"/>
      <c r="EL575"/>
      <c r="EM575"/>
      <c r="EN575"/>
      <c r="EO575"/>
      <c r="EP575"/>
      <c r="EQ575"/>
      <c r="ER575"/>
      <c r="ES575"/>
      <c r="ET575"/>
      <c r="EU575"/>
      <c r="EV575"/>
      <c r="EW575"/>
      <c r="EX575"/>
      <c r="EY575"/>
      <c r="EZ575"/>
      <c r="FA575"/>
      <c r="FB575"/>
      <c r="FC575"/>
      <c r="FD575"/>
      <c r="FE575"/>
      <c r="FF575"/>
      <c r="FG575"/>
      <c r="FH575"/>
      <c r="FI575"/>
      <c r="FJ575"/>
      <c r="FK575"/>
      <c r="FL575"/>
      <c r="FM575"/>
      <c r="FN575"/>
      <c r="FO575"/>
      <c r="FP575"/>
      <c r="FQ575"/>
      <c r="FR575"/>
      <c r="FS575"/>
      <c r="FT575"/>
      <c r="FU575"/>
      <c r="FV575"/>
      <c r="FW575"/>
      <c r="FX575"/>
      <c r="FY575"/>
      <c r="FZ575"/>
      <c r="GA575"/>
      <c r="GB575"/>
      <c r="GC575"/>
      <c r="GD575"/>
      <c r="GE575"/>
      <c r="GF575"/>
      <c r="GG575"/>
      <c r="GH575"/>
      <c r="GI575"/>
      <c r="GJ575"/>
      <c r="GK575"/>
      <c r="GL575"/>
      <c r="GM575"/>
      <c r="GN575"/>
      <c r="GO575"/>
      <c r="GP575"/>
      <c r="GQ575"/>
      <c r="GR575"/>
      <c r="GS575"/>
      <c r="GT575"/>
      <c r="GU575"/>
      <c r="GV575"/>
      <c r="GW575"/>
      <c r="GX575"/>
      <c r="GY575"/>
      <c r="GZ575"/>
      <c r="HA575"/>
      <c r="HB575"/>
      <c r="HC575"/>
      <c r="HD575"/>
      <c r="HE575"/>
      <c r="HF575"/>
      <c r="HG575"/>
      <c r="HH575"/>
      <c r="HI575"/>
      <c r="HJ575"/>
      <c r="HK575"/>
      <c r="HL575"/>
      <c r="HM575"/>
      <c r="HN575"/>
      <c r="HO575"/>
      <c r="HP575"/>
      <c r="HQ575"/>
      <c r="HR575"/>
      <c r="HS575"/>
      <c r="HT575"/>
      <c r="HU575"/>
      <c r="HV575"/>
      <c r="HW575"/>
      <c r="HX575"/>
      <c r="HY575"/>
      <c r="HZ575"/>
      <c r="IA575"/>
      <c r="IB575"/>
      <c r="IC575"/>
      <c r="ID575"/>
      <c r="IE575"/>
      <c r="IF575"/>
      <c r="IG575"/>
      <c r="IH575"/>
      <c r="II575"/>
      <c r="IJ575"/>
      <c r="IK575"/>
      <c r="IL575"/>
      <c r="IM575"/>
      <c r="IN575"/>
      <c r="IO575"/>
      <c r="IP575"/>
      <c r="IQ575"/>
      <c r="IR575"/>
      <c r="IS575"/>
      <c r="IT575"/>
      <c r="IU575"/>
      <c r="IV575"/>
      <c r="IW575"/>
      <c r="IX575"/>
      <c r="IY575"/>
      <c r="IZ575"/>
      <c r="JA575"/>
      <c r="JB575"/>
      <c r="JC575"/>
      <c r="JD575"/>
      <c r="JE575"/>
      <c r="JF575"/>
      <c r="JG575"/>
      <c r="JH575"/>
      <c r="JI575"/>
      <c r="JJ575"/>
      <c r="JK575"/>
      <c r="JL575"/>
      <c r="JM575"/>
      <c r="JN575"/>
      <c r="JO575"/>
      <c r="JP575"/>
      <c r="JQ575"/>
      <c r="JR575"/>
      <c r="JS575"/>
      <c r="JT575"/>
      <c r="JU575"/>
      <c r="JV575"/>
      <c r="JW575"/>
      <c r="JX575"/>
      <c r="JY575"/>
      <c r="JZ575"/>
      <c r="KA575"/>
      <c r="KB575"/>
      <c r="KC575"/>
      <c r="KD575"/>
      <c r="KE575"/>
      <c r="KF575"/>
      <c r="KG575"/>
      <c r="KH575"/>
      <c r="KI575"/>
      <c r="KJ575"/>
      <c r="KK575"/>
      <c r="KL575"/>
      <c r="KM575"/>
      <c r="KN575"/>
      <c r="KO575"/>
      <c r="KP575"/>
      <c r="KQ575"/>
      <c r="KR575"/>
      <c r="KS575"/>
    </row>
    <row r="576" spans="2:305" hidden="1" x14ac:dyDescent="0.35">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c r="AL576"/>
      <c r="AM576"/>
      <c r="AN576"/>
      <c r="AO576"/>
      <c r="AP576"/>
      <c r="AQ576"/>
      <c r="AR576"/>
      <c r="AS576"/>
      <c r="AT576"/>
      <c r="AU576"/>
      <c r="AV576"/>
      <c r="AW576"/>
      <c r="AX576"/>
      <c r="AY576"/>
      <c r="AZ576"/>
      <c r="BA576"/>
      <c r="BB576"/>
      <c r="BC576"/>
      <c r="BD576"/>
      <c r="BE576"/>
      <c r="BF576"/>
      <c r="BG576"/>
      <c r="BH576"/>
      <c r="BI576"/>
      <c r="BJ576"/>
      <c r="BK576"/>
      <c r="BL576"/>
      <c r="BM576"/>
      <c r="BN576"/>
      <c r="BO576"/>
      <c r="BP576"/>
      <c r="BQ576"/>
      <c r="BR576"/>
      <c r="BS576"/>
      <c r="BT576"/>
      <c r="BU576"/>
      <c r="BV576"/>
      <c r="BW576"/>
      <c r="BX576"/>
      <c r="BY576"/>
      <c r="BZ576"/>
      <c r="CA576"/>
      <c r="CB576"/>
      <c r="CC576"/>
      <c r="CD576"/>
      <c r="CE576"/>
      <c r="CF576"/>
      <c r="CG576"/>
      <c r="CH576"/>
      <c r="CI576"/>
      <c r="CJ576"/>
      <c r="CK576"/>
      <c r="CL576"/>
      <c r="CM576"/>
      <c r="CN576"/>
      <c r="CO576"/>
      <c r="CP576"/>
      <c r="CQ576"/>
      <c r="CR576"/>
      <c r="CS576"/>
      <c r="CT576"/>
      <c r="CU576"/>
      <c r="CV576"/>
      <c r="CW576"/>
      <c r="CX576"/>
      <c r="CY576"/>
      <c r="CZ576"/>
      <c r="DA576"/>
      <c r="DB576"/>
      <c r="DC576"/>
      <c r="DD576"/>
      <c r="DE576"/>
      <c r="DF576"/>
      <c r="DG576"/>
      <c r="DH576"/>
      <c r="DI576"/>
      <c r="DJ576"/>
      <c r="DK576"/>
      <c r="DL576"/>
      <c r="DM576"/>
      <c r="DN576"/>
      <c r="DO576"/>
      <c r="DP576"/>
      <c r="DQ576"/>
      <c r="DR576"/>
      <c r="DS576"/>
      <c r="DT576"/>
      <c r="DU576"/>
      <c r="DV576"/>
      <c r="DW576"/>
      <c r="DX576"/>
      <c r="DY576"/>
      <c r="DZ576"/>
      <c r="EA576"/>
      <c r="EB576"/>
      <c r="EC576"/>
      <c r="ED576"/>
      <c r="EE576"/>
      <c r="EF576"/>
      <c r="EG576"/>
      <c r="EH576"/>
      <c r="EI576"/>
      <c r="EJ576"/>
      <c r="EK576"/>
      <c r="EL576"/>
      <c r="EM576"/>
      <c r="EN576"/>
      <c r="EO576"/>
      <c r="EP576"/>
      <c r="EQ576"/>
      <c r="ER576"/>
      <c r="ES576"/>
      <c r="ET576"/>
      <c r="EU576"/>
      <c r="EV576"/>
      <c r="EW576"/>
      <c r="EX576"/>
      <c r="EY576"/>
      <c r="EZ576"/>
      <c r="FA576"/>
      <c r="FB576"/>
      <c r="FC576"/>
      <c r="FD576"/>
      <c r="FE576"/>
      <c r="FF576"/>
      <c r="FG576"/>
      <c r="FH576"/>
      <c r="FI576"/>
      <c r="FJ576"/>
      <c r="FK576"/>
      <c r="FL576"/>
      <c r="FM576"/>
      <c r="FN576"/>
      <c r="FO576"/>
      <c r="FP576"/>
      <c r="FQ576"/>
      <c r="FR576"/>
      <c r="FS576"/>
      <c r="FT576"/>
      <c r="FU576"/>
      <c r="FV576"/>
      <c r="FW576"/>
      <c r="FX576"/>
      <c r="FY576"/>
      <c r="FZ576"/>
      <c r="GA576"/>
      <c r="GB576"/>
      <c r="GC576"/>
      <c r="GD576"/>
      <c r="GE576"/>
      <c r="GF576"/>
      <c r="GG576"/>
      <c r="GH576"/>
      <c r="GI576"/>
      <c r="GJ576"/>
      <c r="GK576"/>
      <c r="GL576"/>
      <c r="GM576"/>
      <c r="GN576"/>
      <c r="GO576"/>
      <c r="GP576"/>
      <c r="GQ576"/>
      <c r="GR576"/>
      <c r="GS576"/>
      <c r="GT576"/>
      <c r="GU576"/>
      <c r="GV576"/>
      <c r="GW576"/>
      <c r="GX576"/>
      <c r="GY576"/>
      <c r="GZ576"/>
      <c r="HA576"/>
      <c r="HB576"/>
      <c r="HC576"/>
      <c r="HD576"/>
      <c r="HE576"/>
      <c r="HF576"/>
      <c r="HG576"/>
      <c r="HH576"/>
      <c r="HI576"/>
      <c r="HJ576"/>
      <c r="HK576"/>
      <c r="HL576"/>
      <c r="HM576"/>
      <c r="HN576"/>
      <c r="HO576"/>
      <c r="HP576"/>
      <c r="HQ576"/>
      <c r="HR576"/>
      <c r="HS576"/>
      <c r="HT576"/>
      <c r="HU576"/>
      <c r="HV576"/>
      <c r="HW576"/>
      <c r="HX576"/>
      <c r="HY576"/>
      <c r="HZ576"/>
      <c r="IA576"/>
      <c r="IB576"/>
      <c r="IC576"/>
      <c r="ID576"/>
      <c r="IE576"/>
      <c r="IF576"/>
      <c r="IG576"/>
      <c r="IH576"/>
      <c r="II576"/>
      <c r="IJ576"/>
      <c r="IK576"/>
      <c r="IL576"/>
      <c r="IM576"/>
      <c r="IN576"/>
      <c r="IO576"/>
      <c r="IP576"/>
      <c r="IQ576"/>
      <c r="IR576"/>
      <c r="IS576"/>
      <c r="IT576"/>
      <c r="IU576"/>
      <c r="IV576"/>
      <c r="IW576"/>
      <c r="IX576"/>
      <c r="IY576"/>
      <c r="IZ576"/>
      <c r="JA576"/>
      <c r="JB576"/>
      <c r="JC576"/>
      <c r="JD576"/>
      <c r="JE576"/>
      <c r="JF576"/>
      <c r="JG576"/>
      <c r="JH576"/>
      <c r="JI576"/>
      <c r="JJ576"/>
      <c r="JK576"/>
      <c r="JL576"/>
      <c r="JM576"/>
      <c r="JN576"/>
      <c r="JO576"/>
      <c r="JP576"/>
      <c r="JQ576"/>
      <c r="JR576"/>
      <c r="JS576"/>
      <c r="JT576"/>
      <c r="JU576"/>
      <c r="JV576"/>
      <c r="JW576"/>
      <c r="JX576"/>
      <c r="JY576"/>
      <c r="JZ576"/>
      <c r="KA576"/>
      <c r="KB576"/>
      <c r="KC576"/>
      <c r="KD576"/>
      <c r="KE576"/>
      <c r="KF576"/>
      <c r="KG576"/>
      <c r="KH576"/>
      <c r="KI576"/>
      <c r="KJ576"/>
      <c r="KK576"/>
      <c r="KL576"/>
      <c r="KM576"/>
      <c r="KN576"/>
      <c r="KO576"/>
      <c r="KP576"/>
      <c r="KQ576"/>
      <c r="KR576"/>
      <c r="KS576"/>
    </row>
    <row r="577" spans="2:305" hidden="1" x14ac:dyDescent="0.35">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c r="AL577"/>
      <c r="AM577"/>
      <c r="AN577"/>
      <c r="AO577"/>
      <c r="AP577"/>
      <c r="AQ577"/>
      <c r="AR577"/>
      <c r="AS577"/>
      <c r="AT577"/>
      <c r="AU577"/>
      <c r="AV577"/>
      <c r="AW577"/>
      <c r="AX577"/>
      <c r="AY577"/>
      <c r="AZ577"/>
      <c r="BA577"/>
      <c r="BB577"/>
      <c r="BC577"/>
      <c r="BD577"/>
      <c r="BE577"/>
      <c r="BF577"/>
      <c r="BG577"/>
      <c r="BH577"/>
      <c r="BI577"/>
      <c r="BJ577"/>
      <c r="BK577"/>
      <c r="BL577"/>
      <c r="BM577"/>
      <c r="BN577"/>
      <c r="BO577"/>
      <c r="BP577"/>
      <c r="BQ577"/>
      <c r="BR577"/>
      <c r="BS577"/>
      <c r="BT577"/>
      <c r="BU577"/>
      <c r="BV577"/>
      <c r="BW577"/>
      <c r="BX577"/>
      <c r="BY577"/>
      <c r="BZ577"/>
      <c r="CA577"/>
      <c r="CB577"/>
      <c r="CC577"/>
      <c r="CD577"/>
      <c r="CE577"/>
      <c r="CF577"/>
      <c r="CG577"/>
      <c r="CH577"/>
      <c r="CI577"/>
      <c r="CJ577"/>
      <c r="CK577"/>
      <c r="CL577"/>
      <c r="CM577"/>
      <c r="CN577"/>
      <c r="CO577"/>
      <c r="CP577"/>
      <c r="CQ577"/>
      <c r="CR577"/>
      <c r="CS577"/>
      <c r="CT577"/>
      <c r="CU577"/>
      <c r="CV577"/>
      <c r="CW577"/>
      <c r="CX577"/>
      <c r="CY577"/>
      <c r="CZ577"/>
      <c r="DA577"/>
      <c r="DB577"/>
      <c r="DC577"/>
      <c r="DD577"/>
      <c r="DE577"/>
      <c r="DF577"/>
      <c r="DG577"/>
      <c r="DH577"/>
      <c r="DI577"/>
      <c r="DJ577"/>
      <c r="DK577"/>
      <c r="DL577"/>
      <c r="DM577"/>
      <c r="DN577"/>
      <c r="DO577"/>
      <c r="DP577"/>
      <c r="DQ577"/>
      <c r="DR577"/>
      <c r="DS577"/>
      <c r="DT577"/>
      <c r="DU577"/>
      <c r="DV577"/>
      <c r="DW577"/>
      <c r="DX577"/>
      <c r="DY577"/>
      <c r="DZ577"/>
      <c r="EA577"/>
      <c r="EB577"/>
      <c r="EC577"/>
      <c r="ED577"/>
      <c r="EE577"/>
      <c r="EF577"/>
      <c r="EG577"/>
      <c r="EH577"/>
      <c r="EI577"/>
      <c r="EJ577"/>
      <c r="EK577"/>
      <c r="EL577"/>
      <c r="EM577"/>
      <c r="EN577"/>
      <c r="EO577"/>
      <c r="EP577"/>
      <c r="EQ577"/>
      <c r="ER577"/>
      <c r="ES577"/>
      <c r="ET577"/>
      <c r="EU577"/>
      <c r="EV577"/>
      <c r="EW577"/>
      <c r="EX577"/>
      <c r="EY577"/>
      <c r="EZ577"/>
      <c r="FA577"/>
      <c r="FB577"/>
      <c r="FC577"/>
      <c r="FD577"/>
      <c r="FE577"/>
      <c r="FF577"/>
      <c r="FG577"/>
      <c r="FH577"/>
      <c r="FI577"/>
      <c r="FJ577"/>
      <c r="FK577"/>
      <c r="FL577"/>
      <c r="FM577"/>
      <c r="FN577"/>
      <c r="FO577"/>
      <c r="FP577"/>
      <c r="FQ577"/>
      <c r="FR577"/>
      <c r="FS577"/>
      <c r="FT577"/>
      <c r="FU577"/>
      <c r="FV577"/>
      <c r="FW577"/>
      <c r="FX577"/>
      <c r="FY577"/>
      <c r="FZ577"/>
      <c r="GA577"/>
      <c r="GB577"/>
      <c r="GC577"/>
      <c r="GD577"/>
      <c r="GE577"/>
      <c r="GF577"/>
      <c r="GG577"/>
      <c r="GH577"/>
      <c r="GI577"/>
      <c r="GJ577"/>
      <c r="GK577"/>
      <c r="GL577"/>
      <c r="GM577"/>
      <c r="GN577"/>
      <c r="GO577"/>
      <c r="GP577"/>
      <c r="GQ577"/>
      <c r="GR577"/>
      <c r="GS577"/>
      <c r="GT577"/>
      <c r="GU577"/>
      <c r="GV577"/>
      <c r="GW577"/>
      <c r="GX577"/>
      <c r="GY577"/>
      <c r="GZ577"/>
      <c r="HA577"/>
      <c r="HB577"/>
      <c r="HC577"/>
      <c r="HD577"/>
      <c r="HE577"/>
      <c r="HF577"/>
      <c r="HG577"/>
      <c r="HH577"/>
      <c r="HI577"/>
      <c r="HJ577"/>
      <c r="HK577"/>
      <c r="HL577"/>
      <c r="HM577"/>
      <c r="HN577"/>
      <c r="HO577"/>
      <c r="HP577"/>
      <c r="HQ577"/>
      <c r="HR577"/>
      <c r="HS577"/>
      <c r="HT577"/>
      <c r="HU577"/>
      <c r="HV577"/>
      <c r="HW577"/>
      <c r="HX577"/>
      <c r="HY577"/>
      <c r="HZ577"/>
      <c r="IA577"/>
      <c r="IB577"/>
      <c r="IC577"/>
      <c r="ID577"/>
      <c r="IE577"/>
      <c r="IF577"/>
      <c r="IG577"/>
      <c r="IH577"/>
      <c r="II577"/>
      <c r="IJ577"/>
      <c r="IK577"/>
      <c r="IL577"/>
      <c r="IM577"/>
      <c r="IN577"/>
      <c r="IO577"/>
      <c r="IP577"/>
      <c r="IQ577"/>
      <c r="IR577"/>
      <c r="IS577"/>
      <c r="IT577"/>
      <c r="IU577"/>
      <c r="IV577"/>
      <c r="IW577"/>
      <c r="IX577"/>
      <c r="IY577"/>
      <c r="IZ577"/>
      <c r="JA577"/>
      <c r="JB577"/>
      <c r="JC577"/>
      <c r="JD577"/>
      <c r="JE577"/>
      <c r="JF577"/>
      <c r="JG577"/>
      <c r="JH577"/>
      <c r="JI577"/>
      <c r="JJ577"/>
      <c r="JK577"/>
      <c r="JL577"/>
      <c r="JM577"/>
      <c r="JN577"/>
      <c r="JO577"/>
      <c r="JP577"/>
      <c r="JQ577"/>
      <c r="JR577"/>
      <c r="JS577"/>
      <c r="JT577"/>
      <c r="JU577"/>
      <c r="JV577"/>
      <c r="JW577"/>
      <c r="JX577"/>
      <c r="JY577"/>
      <c r="JZ577"/>
      <c r="KA577"/>
      <c r="KB577"/>
      <c r="KC577"/>
      <c r="KD577"/>
      <c r="KE577"/>
      <c r="KF577"/>
      <c r="KG577"/>
      <c r="KH577"/>
      <c r="KI577"/>
      <c r="KJ577"/>
      <c r="KK577"/>
      <c r="KL577"/>
      <c r="KM577"/>
      <c r="KN577"/>
      <c r="KO577"/>
      <c r="KP577"/>
      <c r="KQ577"/>
      <c r="KR577"/>
      <c r="KS577"/>
    </row>
    <row r="578" spans="2:305" hidden="1" x14ac:dyDescent="0.35">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c r="AL578"/>
      <c r="AM578"/>
      <c r="AN578"/>
      <c r="AO578"/>
      <c r="AP578"/>
      <c r="AQ578"/>
      <c r="AR578"/>
      <c r="AS578"/>
      <c r="AT578"/>
      <c r="AU578"/>
      <c r="AV578"/>
      <c r="AW578"/>
      <c r="AX578"/>
      <c r="AY578"/>
      <c r="AZ578"/>
      <c r="BA578"/>
      <c r="BB578"/>
      <c r="BC578"/>
      <c r="BD578"/>
      <c r="BE578"/>
      <c r="BF578"/>
      <c r="BG578"/>
      <c r="BH578"/>
      <c r="BI578"/>
      <c r="BJ578"/>
      <c r="BK578"/>
      <c r="BL578"/>
      <c r="BM578"/>
      <c r="BN578"/>
      <c r="BO578"/>
      <c r="BP578"/>
      <c r="BQ578"/>
      <c r="BR578"/>
      <c r="BS578"/>
      <c r="BT578"/>
      <c r="BU578"/>
      <c r="BV578"/>
      <c r="BW578"/>
      <c r="BX578"/>
      <c r="BY578"/>
      <c r="BZ578"/>
      <c r="CA578"/>
      <c r="CB578"/>
      <c r="CC578"/>
      <c r="CD578"/>
      <c r="CE578"/>
      <c r="CF578"/>
      <c r="CG578"/>
      <c r="CH578"/>
      <c r="CI578"/>
      <c r="CJ578"/>
      <c r="CK578"/>
      <c r="CL578"/>
      <c r="CM578"/>
      <c r="CN578"/>
      <c r="CO578"/>
      <c r="CP578"/>
      <c r="CQ578"/>
      <c r="CR578"/>
      <c r="CS578"/>
      <c r="CT578"/>
      <c r="CU578"/>
      <c r="CV578"/>
      <c r="CW578"/>
      <c r="CX578"/>
      <c r="CY578"/>
      <c r="CZ578"/>
      <c r="DA578"/>
      <c r="DB578"/>
      <c r="DC578"/>
      <c r="DD578"/>
      <c r="DE578"/>
      <c r="DF578"/>
      <c r="DG578"/>
      <c r="DH578"/>
      <c r="DI578"/>
      <c r="DJ578"/>
      <c r="DK578"/>
      <c r="DL578"/>
      <c r="DM578"/>
      <c r="DN578"/>
      <c r="DO578"/>
      <c r="DP578"/>
      <c r="DQ578"/>
      <c r="DR578"/>
      <c r="DS578"/>
      <c r="DT578"/>
      <c r="DU578"/>
      <c r="DV578"/>
      <c r="DW578"/>
      <c r="DX578"/>
      <c r="DY578"/>
      <c r="DZ578"/>
      <c r="EA578"/>
      <c r="EB578"/>
      <c r="EC578"/>
      <c r="ED578"/>
      <c r="EE578"/>
      <c r="EF578"/>
      <c r="EG578"/>
      <c r="EH578"/>
      <c r="EI578"/>
      <c r="EJ578"/>
      <c r="EK578"/>
      <c r="EL578"/>
      <c r="EM578"/>
      <c r="EN578"/>
      <c r="EO578"/>
      <c r="EP578"/>
      <c r="EQ578"/>
      <c r="ER578"/>
      <c r="ES578"/>
      <c r="ET578"/>
      <c r="EU578"/>
      <c r="EV578"/>
      <c r="EW578"/>
      <c r="EX578"/>
      <c r="EY578"/>
      <c r="EZ578"/>
      <c r="FA578"/>
      <c r="FB578"/>
      <c r="FC578"/>
      <c r="FD578"/>
      <c r="FE578"/>
      <c r="FF578"/>
      <c r="FG578"/>
      <c r="FH578"/>
      <c r="FI578"/>
      <c r="FJ578"/>
      <c r="FK578"/>
      <c r="FL578"/>
      <c r="FM578"/>
      <c r="FN578"/>
      <c r="FO578"/>
      <c r="FP578"/>
      <c r="FQ578"/>
      <c r="FR578"/>
      <c r="FS578"/>
      <c r="FT578"/>
      <c r="FU578"/>
      <c r="FV578"/>
      <c r="FW578"/>
      <c r="FX578"/>
      <c r="FY578"/>
      <c r="FZ578"/>
      <c r="GA578"/>
      <c r="GB578"/>
      <c r="GC578"/>
      <c r="GD578"/>
      <c r="GE578"/>
      <c r="GF578"/>
      <c r="GG578"/>
      <c r="GH578"/>
      <c r="GI578"/>
      <c r="GJ578"/>
      <c r="GK578"/>
      <c r="GL578"/>
      <c r="GM578"/>
      <c r="GN578"/>
      <c r="GO578"/>
      <c r="GP578"/>
      <c r="GQ578"/>
      <c r="GR578"/>
      <c r="GS578"/>
      <c r="GT578"/>
      <c r="GU578"/>
      <c r="GV578"/>
      <c r="GW578"/>
      <c r="GX578"/>
      <c r="GY578"/>
      <c r="GZ578"/>
      <c r="HA578"/>
      <c r="HB578"/>
      <c r="HC578"/>
      <c r="HD578"/>
      <c r="HE578"/>
      <c r="HF578"/>
      <c r="HG578"/>
      <c r="HH578"/>
      <c r="HI578"/>
      <c r="HJ578"/>
      <c r="HK578"/>
      <c r="HL578"/>
      <c r="HM578"/>
      <c r="HN578"/>
      <c r="HO578"/>
      <c r="HP578"/>
      <c r="HQ578"/>
      <c r="HR578"/>
      <c r="HS578"/>
      <c r="HT578"/>
      <c r="HU578"/>
      <c r="HV578"/>
      <c r="HW578"/>
      <c r="HX578"/>
      <c r="HY578"/>
      <c r="HZ578"/>
      <c r="IA578"/>
      <c r="IB578"/>
      <c r="IC578"/>
      <c r="ID578"/>
      <c r="IE578"/>
      <c r="IF578"/>
      <c r="IG578"/>
      <c r="IH578"/>
      <c r="II578"/>
      <c r="IJ578"/>
      <c r="IK578"/>
      <c r="IL578"/>
      <c r="IM578"/>
      <c r="IN578"/>
      <c r="IO578"/>
      <c r="IP578"/>
      <c r="IQ578"/>
      <c r="IR578"/>
      <c r="IS578"/>
      <c r="IT578"/>
      <c r="IU578"/>
      <c r="IV578"/>
      <c r="IW578"/>
      <c r="IX578"/>
      <c r="IY578"/>
      <c r="IZ578"/>
      <c r="JA578"/>
      <c r="JB578"/>
      <c r="JC578"/>
      <c r="JD578"/>
      <c r="JE578"/>
      <c r="JF578"/>
      <c r="JG578"/>
      <c r="JH578"/>
      <c r="JI578"/>
      <c r="JJ578"/>
      <c r="JK578"/>
      <c r="JL578"/>
      <c r="JM578"/>
      <c r="JN578"/>
      <c r="JO578"/>
      <c r="JP578"/>
      <c r="JQ578"/>
      <c r="JR578"/>
      <c r="JS578"/>
      <c r="JT578"/>
      <c r="JU578"/>
      <c r="JV578"/>
      <c r="JW578"/>
      <c r="JX578"/>
      <c r="JY578"/>
      <c r="JZ578"/>
      <c r="KA578"/>
      <c r="KB578"/>
      <c r="KC578"/>
      <c r="KD578"/>
      <c r="KE578"/>
      <c r="KF578"/>
      <c r="KG578"/>
      <c r="KH578"/>
      <c r="KI578"/>
      <c r="KJ578"/>
      <c r="KK578"/>
      <c r="KL578"/>
      <c r="KM578"/>
      <c r="KN578"/>
      <c r="KO578"/>
      <c r="KP578"/>
      <c r="KQ578"/>
      <c r="KR578"/>
      <c r="KS578"/>
    </row>
    <row r="579" spans="2:305" hidden="1" x14ac:dyDescent="0.35">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c r="AL579"/>
      <c r="AM579"/>
      <c r="AN579"/>
      <c r="AO579"/>
      <c r="AP579"/>
      <c r="AQ579"/>
      <c r="AR579"/>
      <c r="AS579"/>
      <c r="AT579"/>
      <c r="AU579"/>
      <c r="AV579"/>
      <c r="AW579"/>
      <c r="AX579"/>
      <c r="AY579"/>
      <c r="AZ579"/>
      <c r="BA579"/>
      <c r="BB579"/>
      <c r="BC579"/>
      <c r="BD579"/>
      <c r="BE579"/>
      <c r="BF579"/>
      <c r="BG579"/>
      <c r="BH579"/>
      <c r="BI579"/>
      <c r="BJ579"/>
      <c r="BK579"/>
      <c r="BL579"/>
      <c r="BM579"/>
      <c r="BN579"/>
      <c r="BO579"/>
      <c r="BP579"/>
      <c r="BQ579"/>
      <c r="BR579"/>
      <c r="BS579"/>
      <c r="BT579"/>
      <c r="BU579"/>
      <c r="BV579"/>
      <c r="BW579"/>
      <c r="BX579"/>
      <c r="BY579"/>
      <c r="BZ579"/>
      <c r="CA579"/>
      <c r="CB579"/>
      <c r="CC579"/>
      <c r="CD579"/>
      <c r="CE579"/>
      <c r="CF579"/>
      <c r="CG579"/>
      <c r="CH579"/>
      <c r="CI579"/>
      <c r="CJ579"/>
      <c r="CK579"/>
      <c r="CL579"/>
      <c r="CM579"/>
      <c r="CN579"/>
      <c r="CO579"/>
      <c r="CP579"/>
      <c r="CQ579"/>
      <c r="CR579"/>
      <c r="CS579"/>
      <c r="CT579"/>
      <c r="CU579"/>
      <c r="CV579"/>
      <c r="CW579"/>
      <c r="CX579"/>
      <c r="CY579"/>
      <c r="CZ579"/>
      <c r="DA579"/>
      <c r="DB579"/>
      <c r="DC579"/>
      <c r="DD579"/>
      <c r="DE579"/>
      <c r="DF579"/>
      <c r="DG579"/>
      <c r="DH579"/>
      <c r="DI579"/>
      <c r="DJ579"/>
      <c r="DK579"/>
      <c r="DL579"/>
      <c r="DM579"/>
      <c r="DN579"/>
      <c r="DO579"/>
      <c r="DP579"/>
      <c r="DQ579"/>
      <c r="DR579"/>
      <c r="DS579"/>
      <c r="DT579"/>
      <c r="DU579"/>
      <c r="DV579"/>
      <c r="DW579"/>
      <c r="DX579"/>
      <c r="DY579"/>
      <c r="DZ579"/>
      <c r="EA579"/>
      <c r="EB579"/>
      <c r="EC579"/>
      <c r="ED579"/>
      <c r="EE579"/>
      <c r="EF579"/>
      <c r="EG579"/>
      <c r="EH579"/>
      <c r="EI579"/>
      <c r="EJ579"/>
      <c r="EK579"/>
      <c r="EL579"/>
      <c r="EM579"/>
      <c r="EN579"/>
      <c r="EO579"/>
      <c r="EP579"/>
      <c r="EQ579"/>
      <c r="ER579"/>
      <c r="ES579"/>
      <c r="ET579"/>
      <c r="EU579"/>
      <c r="EV579"/>
      <c r="EW579"/>
      <c r="EX579"/>
      <c r="EY579"/>
      <c r="EZ579"/>
      <c r="FA579"/>
      <c r="FB579"/>
      <c r="FC579"/>
      <c r="FD579"/>
      <c r="FE579"/>
      <c r="FF579"/>
      <c r="FG579"/>
      <c r="FH579"/>
      <c r="FI579"/>
      <c r="FJ579"/>
      <c r="FK579"/>
      <c r="FL579"/>
      <c r="FM579"/>
      <c r="FN579"/>
      <c r="FO579"/>
      <c r="FP579"/>
      <c r="FQ579"/>
      <c r="FR579"/>
      <c r="FS579"/>
      <c r="FT579"/>
      <c r="FU579"/>
      <c r="FV579"/>
      <c r="FW579"/>
      <c r="FX579"/>
      <c r="FY579"/>
      <c r="FZ579"/>
      <c r="GA579"/>
      <c r="GB579"/>
      <c r="GC579"/>
      <c r="GD579"/>
      <c r="GE579"/>
      <c r="GF579"/>
      <c r="GG579"/>
      <c r="GH579"/>
      <c r="GI579"/>
      <c r="GJ579"/>
      <c r="GK579"/>
      <c r="GL579"/>
      <c r="GM579"/>
      <c r="GN579"/>
      <c r="GO579"/>
      <c r="GP579"/>
      <c r="GQ579"/>
      <c r="GR579"/>
      <c r="GS579"/>
      <c r="GT579"/>
      <c r="GU579"/>
      <c r="GV579"/>
      <c r="GW579"/>
      <c r="GX579"/>
      <c r="GY579"/>
      <c r="GZ579"/>
      <c r="HA579"/>
      <c r="HB579"/>
      <c r="HC579"/>
      <c r="HD579"/>
      <c r="HE579"/>
      <c r="HF579"/>
      <c r="HG579"/>
      <c r="HH579"/>
      <c r="HI579"/>
      <c r="HJ579"/>
      <c r="HK579"/>
      <c r="HL579"/>
      <c r="HM579"/>
      <c r="HN579"/>
      <c r="HO579"/>
      <c r="HP579"/>
      <c r="HQ579"/>
      <c r="HR579"/>
      <c r="HS579"/>
      <c r="HT579"/>
      <c r="HU579"/>
      <c r="HV579"/>
      <c r="HW579"/>
      <c r="HX579"/>
      <c r="HY579"/>
      <c r="HZ579"/>
      <c r="IA579"/>
      <c r="IB579"/>
      <c r="IC579"/>
      <c r="ID579"/>
      <c r="IE579"/>
      <c r="IF579"/>
      <c r="IG579"/>
      <c r="IH579"/>
      <c r="II579"/>
      <c r="IJ579"/>
      <c r="IK579"/>
      <c r="IL579"/>
      <c r="IM579"/>
      <c r="IN579"/>
      <c r="IO579"/>
      <c r="IP579"/>
      <c r="IQ579"/>
      <c r="IR579"/>
      <c r="IS579"/>
      <c r="IT579"/>
      <c r="IU579"/>
      <c r="IV579"/>
      <c r="IW579"/>
      <c r="IX579"/>
      <c r="IY579"/>
      <c r="IZ579"/>
      <c r="JA579"/>
      <c r="JB579"/>
      <c r="JC579"/>
      <c r="JD579"/>
      <c r="JE579"/>
      <c r="JF579"/>
      <c r="JG579"/>
      <c r="JH579"/>
      <c r="JI579"/>
      <c r="JJ579"/>
      <c r="JK579"/>
      <c r="JL579"/>
      <c r="JM579"/>
      <c r="JN579"/>
      <c r="JO579"/>
      <c r="JP579"/>
      <c r="JQ579"/>
      <c r="JR579"/>
      <c r="JS579"/>
      <c r="JT579"/>
      <c r="JU579"/>
      <c r="JV579"/>
      <c r="JW579"/>
      <c r="JX579"/>
      <c r="JY579"/>
      <c r="JZ579"/>
      <c r="KA579"/>
      <c r="KB579"/>
      <c r="KC579"/>
      <c r="KD579"/>
      <c r="KE579"/>
      <c r="KF579"/>
      <c r="KG579"/>
      <c r="KH579"/>
      <c r="KI579"/>
      <c r="KJ579"/>
      <c r="KK579"/>
      <c r="KL579"/>
      <c r="KM579"/>
      <c r="KN579"/>
      <c r="KO579"/>
      <c r="KP579"/>
      <c r="KQ579"/>
      <c r="KR579"/>
      <c r="KS579"/>
    </row>
    <row r="580" spans="2:305" hidden="1" x14ac:dyDescent="0.35">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c r="AL580"/>
      <c r="AM580"/>
      <c r="AN580"/>
      <c r="AO580"/>
      <c r="AP580"/>
      <c r="AQ580"/>
      <c r="AR580"/>
      <c r="AS580"/>
      <c r="AT580"/>
      <c r="AU580"/>
      <c r="AV580"/>
      <c r="AW580"/>
      <c r="AX580"/>
      <c r="AY580"/>
      <c r="AZ580"/>
      <c r="BA580"/>
      <c r="BB580"/>
      <c r="BC580"/>
      <c r="BD580"/>
      <c r="BE580"/>
      <c r="BF580"/>
      <c r="BG580"/>
      <c r="BH580"/>
      <c r="BI580"/>
      <c r="BJ580"/>
      <c r="BK580"/>
      <c r="BL580"/>
      <c r="BM580"/>
      <c r="BN580"/>
      <c r="BO580"/>
      <c r="BP580"/>
      <c r="BQ580"/>
      <c r="BR580"/>
      <c r="BS580"/>
      <c r="BT580"/>
      <c r="BU580"/>
      <c r="BV580"/>
      <c r="BW580"/>
      <c r="BX580"/>
      <c r="BY580"/>
      <c r="BZ580"/>
      <c r="CA580"/>
      <c r="CB580"/>
      <c r="CC580"/>
      <c r="CD580"/>
      <c r="CE580"/>
      <c r="CF580"/>
      <c r="CG580"/>
      <c r="CH580"/>
      <c r="CI580"/>
      <c r="CJ580"/>
      <c r="CK580"/>
      <c r="CL580"/>
      <c r="CM580"/>
      <c r="CN580"/>
      <c r="CO580"/>
      <c r="CP580"/>
      <c r="CQ580"/>
      <c r="CR580"/>
      <c r="CS580"/>
      <c r="CT580"/>
      <c r="CU580"/>
      <c r="CV580"/>
      <c r="CW580"/>
      <c r="CX580"/>
      <c r="CY580"/>
      <c r="CZ580"/>
      <c r="DA580"/>
      <c r="DB580"/>
      <c r="DC580"/>
      <c r="DD580"/>
      <c r="DE580"/>
      <c r="DF580"/>
      <c r="DG580"/>
      <c r="DH580"/>
      <c r="DI580"/>
      <c r="DJ580"/>
      <c r="DK580"/>
      <c r="DL580"/>
      <c r="DM580"/>
      <c r="DN580"/>
      <c r="DO580"/>
      <c r="DP580"/>
      <c r="DQ580"/>
      <c r="DR580"/>
      <c r="DS580"/>
      <c r="DT580"/>
      <c r="DU580"/>
      <c r="DV580"/>
      <c r="DW580"/>
      <c r="DX580"/>
      <c r="DY580"/>
      <c r="DZ580"/>
      <c r="EA580"/>
      <c r="EB580"/>
      <c r="EC580"/>
      <c r="ED580"/>
      <c r="EE580"/>
      <c r="EF580"/>
      <c r="EG580"/>
      <c r="EH580"/>
      <c r="EI580"/>
      <c r="EJ580"/>
      <c r="EK580"/>
      <c r="EL580"/>
      <c r="EM580"/>
      <c r="EN580"/>
      <c r="EO580"/>
      <c r="EP580"/>
      <c r="EQ580"/>
      <c r="ER580"/>
      <c r="ES580"/>
      <c r="ET580"/>
      <c r="EU580"/>
      <c r="EV580"/>
      <c r="EW580"/>
      <c r="EX580"/>
      <c r="EY580"/>
      <c r="EZ580"/>
      <c r="FA580"/>
      <c r="FB580"/>
      <c r="FC580"/>
      <c r="FD580"/>
      <c r="FE580"/>
      <c r="FF580"/>
      <c r="FG580"/>
      <c r="FH580"/>
      <c r="FI580"/>
      <c r="FJ580"/>
      <c r="FK580"/>
      <c r="FL580"/>
      <c r="FM580"/>
      <c r="FN580"/>
      <c r="FO580"/>
      <c r="FP580"/>
      <c r="FQ580"/>
      <c r="FR580"/>
      <c r="FS580"/>
      <c r="FT580"/>
      <c r="FU580"/>
      <c r="FV580"/>
      <c r="FW580"/>
      <c r="FX580"/>
      <c r="FY580"/>
      <c r="FZ580"/>
      <c r="GA580"/>
      <c r="GB580"/>
      <c r="GC580"/>
      <c r="GD580"/>
      <c r="GE580"/>
      <c r="GF580"/>
      <c r="GG580"/>
      <c r="GH580"/>
      <c r="GI580"/>
      <c r="GJ580"/>
      <c r="GK580"/>
      <c r="GL580"/>
      <c r="GM580"/>
      <c r="GN580"/>
      <c r="GO580"/>
      <c r="GP580"/>
      <c r="GQ580"/>
      <c r="GR580"/>
      <c r="GS580"/>
      <c r="GT580"/>
      <c r="GU580"/>
      <c r="GV580"/>
      <c r="GW580"/>
      <c r="GX580"/>
      <c r="GY580"/>
      <c r="GZ580"/>
      <c r="HA580"/>
      <c r="HB580"/>
      <c r="HC580"/>
      <c r="HD580"/>
      <c r="HE580"/>
      <c r="HF580"/>
      <c r="HG580"/>
      <c r="HH580"/>
      <c r="HI580"/>
      <c r="HJ580"/>
      <c r="HK580"/>
      <c r="HL580"/>
      <c r="HM580"/>
      <c r="HN580"/>
      <c r="HO580"/>
      <c r="HP580"/>
      <c r="HQ580"/>
      <c r="HR580"/>
      <c r="HS580"/>
      <c r="HT580"/>
      <c r="HU580"/>
      <c r="HV580"/>
      <c r="HW580"/>
      <c r="HX580"/>
      <c r="HY580"/>
      <c r="HZ580"/>
      <c r="IA580"/>
      <c r="IB580"/>
      <c r="IC580"/>
      <c r="ID580"/>
      <c r="IE580"/>
      <c r="IF580"/>
      <c r="IG580"/>
      <c r="IH580"/>
      <c r="II580"/>
      <c r="IJ580"/>
      <c r="IK580"/>
      <c r="IL580"/>
      <c r="IM580"/>
      <c r="IN580"/>
      <c r="IO580"/>
      <c r="IP580"/>
      <c r="IQ580"/>
      <c r="IR580"/>
      <c r="IS580"/>
      <c r="IT580"/>
      <c r="IU580"/>
      <c r="IV580"/>
      <c r="IW580"/>
      <c r="IX580"/>
      <c r="IY580"/>
      <c r="IZ580"/>
      <c r="JA580"/>
      <c r="JB580"/>
      <c r="JC580"/>
      <c r="JD580"/>
      <c r="JE580"/>
      <c r="JF580"/>
      <c r="JG580"/>
      <c r="JH580"/>
      <c r="JI580"/>
      <c r="JJ580"/>
      <c r="JK580"/>
      <c r="JL580"/>
      <c r="JM580"/>
      <c r="JN580"/>
      <c r="JO580"/>
      <c r="JP580"/>
      <c r="JQ580"/>
      <c r="JR580"/>
      <c r="JS580"/>
      <c r="JT580"/>
      <c r="JU580"/>
      <c r="JV580"/>
      <c r="JW580"/>
      <c r="JX580"/>
      <c r="JY580"/>
      <c r="JZ580"/>
      <c r="KA580"/>
      <c r="KB580"/>
      <c r="KC580"/>
      <c r="KD580"/>
      <c r="KE580"/>
      <c r="KF580"/>
      <c r="KG580"/>
      <c r="KH580"/>
      <c r="KI580"/>
      <c r="KJ580"/>
      <c r="KK580"/>
      <c r="KL580"/>
      <c r="KM580"/>
      <c r="KN580"/>
      <c r="KO580"/>
      <c r="KP580"/>
      <c r="KQ580"/>
      <c r="KR580"/>
      <c r="KS580"/>
    </row>
    <row r="581" spans="2:305" hidden="1" x14ac:dyDescent="0.35">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c r="AL581"/>
      <c r="AM581"/>
      <c r="AN581"/>
      <c r="AO581"/>
      <c r="AP581"/>
      <c r="AQ581"/>
      <c r="AR581"/>
      <c r="AS581"/>
      <c r="AT581"/>
      <c r="AU581"/>
      <c r="AV581"/>
      <c r="AW581"/>
      <c r="AX581"/>
      <c r="AY581"/>
      <c r="AZ581"/>
      <c r="BA581"/>
      <c r="BB581"/>
      <c r="BC581"/>
      <c r="BD581"/>
      <c r="BE581"/>
      <c r="BF581"/>
      <c r="BG581"/>
      <c r="BH581"/>
      <c r="BI581"/>
      <c r="BJ581"/>
      <c r="BK581"/>
      <c r="BL581"/>
      <c r="BM581"/>
      <c r="BN581"/>
      <c r="BO581"/>
      <c r="BP581"/>
      <c r="BQ581"/>
      <c r="BR581"/>
      <c r="BS581"/>
      <c r="BT581"/>
      <c r="BU581"/>
      <c r="BV581"/>
      <c r="BW581"/>
      <c r="BX581"/>
      <c r="BY581"/>
      <c r="BZ581"/>
      <c r="CA581"/>
      <c r="CB581"/>
      <c r="CC581"/>
      <c r="CD581"/>
      <c r="CE581"/>
      <c r="CF581"/>
      <c r="CG581"/>
      <c r="CH581"/>
      <c r="CI581"/>
      <c r="CJ581"/>
      <c r="CK581"/>
      <c r="CL581"/>
      <c r="CM581"/>
      <c r="CN581"/>
      <c r="CO581"/>
      <c r="CP581"/>
      <c r="CQ581"/>
      <c r="CR581"/>
      <c r="CS581"/>
      <c r="CT581"/>
      <c r="CU581"/>
      <c r="CV581"/>
      <c r="CW581"/>
      <c r="CX581"/>
      <c r="CY581"/>
      <c r="CZ581"/>
      <c r="DA581"/>
      <c r="DB581"/>
      <c r="DC581"/>
      <c r="DD581"/>
      <c r="DE581"/>
      <c r="DF581"/>
      <c r="DG581"/>
      <c r="DH581"/>
      <c r="DI581"/>
      <c r="DJ581"/>
      <c r="DK581"/>
      <c r="DL581"/>
      <c r="DM581"/>
      <c r="DN581"/>
      <c r="DO581"/>
      <c r="DP581"/>
      <c r="DQ581"/>
      <c r="DR581"/>
      <c r="DS581"/>
      <c r="DT581"/>
      <c r="DU581"/>
      <c r="DV581"/>
      <c r="DW581"/>
      <c r="DX581"/>
      <c r="DY581"/>
      <c r="DZ581"/>
      <c r="EA581"/>
      <c r="EB581"/>
      <c r="EC581"/>
      <c r="ED581"/>
      <c r="EE581"/>
      <c r="EF581"/>
      <c r="EG581"/>
      <c r="EH581"/>
      <c r="EI581"/>
      <c r="EJ581"/>
      <c r="EK581"/>
      <c r="EL581"/>
      <c r="EM581"/>
      <c r="EN581"/>
      <c r="EO581"/>
      <c r="EP581"/>
      <c r="EQ581"/>
      <c r="ER581"/>
      <c r="ES581"/>
      <c r="ET581"/>
      <c r="EU581"/>
      <c r="EV581"/>
      <c r="EW581"/>
      <c r="EX581"/>
      <c r="EY581"/>
      <c r="EZ581"/>
      <c r="FA581"/>
      <c r="FB581"/>
      <c r="FC581"/>
      <c r="FD581"/>
      <c r="FE581"/>
      <c r="FF581"/>
      <c r="FG581"/>
      <c r="FH581"/>
      <c r="FI581"/>
      <c r="FJ581"/>
      <c r="FK581"/>
      <c r="FL581"/>
      <c r="FM581"/>
      <c r="FN581"/>
      <c r="FO581"/>
      <c r="FP581"/>
      <c r="FQ581"/>
      <c r="FR581"/>
      <c r="FS581"/>
      <c r="FT581"/>
      <c r="FU581"/>
      <c r="FV581"/>
      <c r="FW581"/>
      <c r="FX581"/>
      <c r="FY581"/>
      <c r="FZ581"/>
      <c r="GA581"/>
      <c r="GB581"/>
      <c r="GC581"/>
      <c r="GD581"/>
      <c r="GE581"/>
      <c r="GF581"/>
      <c r="GG581"/>
      <c r="GH581"/>
      <c r="GI581"/>
      <c r="GJ581"/>
      <c r="GK581"/>
      <c r="GL581"/>
      <c r="GM581"/>
      <c r="GN581"/>
      <c r="GO581"/>
      <c r="GP581"/>
      <c r="GQ581"/>
      <c r="GR581"/>
      <c r="GS581"/>
      <c r="GT581"/>
      <c r="GU581"/>
      <c r="GV581"/>
      <c r="GW581"/>
      <c r="GX581"/>
      <c r="GY581"/>
      <c r="GZ581"/>
      <c r="HA581"/>
      <c r="HB581"/>
      <c r="HC581"/>
      <c r="HD581"/>
      <c r="HE581"/>
      <c r="HF581"/>
      <c r="HG581"/>
      <c r="HH581"/>
      <c r="HI581"/>
      <c r="HJ581"/>
      <c r="HK581"/>
      <c r="HL581"/>
      <c r="HM581"/>
      <c r="HN581"/>
      <c r="HO581"/>
      <c r="HP581"/>
      <c r="HQ581"/>
      <c r="HR581"/>
      <c r="HS581"/>
      <c r="HT581"/>
      <c r="HU581"/>
      <c r="HV581"/>
      <c r="HW581"/>
      <c r="HX581"/>
      <c r="HY581"/>
      <c r="HZ581"/>
      <c r="IA581"/>
      <c r="IB581"/>
      <c r="IC581"/>
      <c r="ID581"/>
      <c r="IE581"/>
      <c r="IF581"/>
      <c r="IG581"/>
      <c r="IH581"/>
      <c r="II581"/>
      <c r="IJ581"/>
      <c r="IK581"/>
      <c r="IL581"/>
      <c r="IM581"/>
      <c r="IN581"/>
      <c r="IO581"/>
      <c r="IP581"/>
      <c r="IQ581"/>
      <c r="IR581"/>
      <c r="IS581"/>
      <c r="IT581"/>
      <c r="IU581"/>
      <c r="IV581"/>
      <c r="IW581"/>
      <c r="IX581"/>
      <c r="IY581"/>
      <c r="IZ581"/>
      <c r="JA581"/>
      <c r="JB581"/>
      <c r="JC581"/>
      <c r="JD581"/>
      <c r="JE581"/>
      <c r="JF581"/>
      <c r="JG581"/>
      <c r="JH581"/>
      <c r="JI581"/>
      <c r="JJ581"/>
      <c r="JK581"/>
      <c r="JL581"/>
      <c r="JM581"/>
      <c r="JN581"/>
      <c r="JO581"/>
      <c r="JP581"/>
      <c r="JQ581"/>
      <c r="JR581"/>
      <c r="JS581"/>
      <c r="JT581"/>
      <c r="JU581"/>
      <c r="JV581"/>
      <c r="JW581"/>
      <c r="JX581"/>
      <c r="JY581"/>
      <c r="JZ581"/>
      <c r="KA581"/>
      <c r="KB581"/>
      <c r="KC581"/>
      <c r="KD581"/>
      <c r="KE581"/>
      <c r="KF581"/>
      <c r="KG581"/>
      <c r="KH581"/>
      <c r="KI581"/>
      <c r="KJ581"/>
      <c r="KK581"/>
      <c r="KL581"/>
      <c r="KM581"/>
      <c r="KN581"/>
      <c r="KO581"/>
      <c r="KP581"/>
      <c r="KQ581"/>
      <c r="KR581"/>
      <c r="KS581"/>
    </row>
    <row r="582" spans="2:305" hidden="1" x14ac:dyDescent="0.35">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c r="AL582"/>
      <c r="AM582"/>
      <c r="AN582"/>
      <c r="AO582"/>
      <c r="AP582"/>
      <c r="AQ582"/>
      <c r="AR582"/>
      <c r="AS582"/>
      <c r="AT582"/>
      <c r="AU582"/>
      <c r="AV582"/>
      <c r="AW582"/>
      <c r="AX582"/>
      <c r="AY582"/>
      <c r="AZ582"/>
      <c r="BA582"/>
      <c r="BB582"/>
      <c r="BC582"/>
      <c r="BD582"/>
      <c r="BE582"/>
      <c r="BF582"/>
      <c r="BG582"/>
      <c r="BH582"/>
      <c r="BI582"/>
      <c r="BJ582"/>
      <c r="BK582"/>
      <c r="BL582"/>
      <c r="BM582"/>
      <c r="BN582"/>
      <c r="BO582"/>
      <c r="BP582"/>
      <c r="BQ582"/>
      <c r="BR582"/>
      <c r="BS582"/>
      <c r="BT582"/>
      <c r="BU582"/>
      <c r="BV582"/>
      <c r="BW582"/>
      <c r="BX582"/>
      <c r="BY582"/>
      <c r="BZ582"/>
      <c r="CA582"/>
      <c r="CB582"/>
      <c r="CC582"/>
      <c r="CD582"/>
      <c r="CE582"/>
      <c r="CF582"/>
      <c r="CG582"/>
      <c r="CH582"/>
      <c r="CI582"/>
      <c r="CJ582"/>
      <c r="CK582"/>
      <c r="CL582"/>
      <c r="CM582"/>
      <c r="CN582"/>
      <c r="CO582"/>
      <c r="CP582"/>
      <c r="CQ582"/>
      <c r="CR582"/>
      <c r="CS582"/>
      <c r="CT582"/>
      <c r="CU582"/>
      <c r="CV582"/>
      <c r="CW582"/>
      <c r="CX582"/>
      <c r="CY582"/>
      <c r="CZ582"/>
      <c r="DA582"/>
      <c r="DB582"/>
      <c r="DC582"/>
      <c r="DD582"/>
      <c r="DE582"/>
      <c r="DF582"/>
      <c r="DG582"/>
      <c r="DH582"/>
      <c r="DI582"/>
      <c r="DJ582"/>
      <c r="DK582"/>
      <c r="DL582"/>
      <c r="DM582"/>
      <c r="DN582"/>
      <c r="DO582"/>
      <c r="DP582"/>
      <c r="DQ582"/>
      <c r="DR582"/>
      <c r="DS582"/>
      <c r="DT582"/>
      <c r="DU582"/>
      <c r="DV582"/>
      <c r="DW582"/>
      <c r="DX582"/>
      <c r="DY582"/>
      <c r="DZ582"/>
      <c r="EA582"/>
      <c r="EB582"/>
      <c r="EC582"/>
      <c r="ED582"/>
      <c r="EE582"/>
      <c r="EF582"/>
      <c r="EG582"/>
      <c r="EH582"/>
      <c r="EI582"/>
      <c r="EJ582"/>
      <c r="EK582"/>
      <c r="EL582"/>
      <c r="EM582"/>
      <c r="EN582"/>
      <c r="EO582"/>
      <c r="EP582"/>
      <c r="EQ582"/>
      <c r="ER582"/>
      <c r="ES582"/>
      <c r="ET582"/>
      <c r="EU582"/>
      <c r="EV582"/>
      <c r="EW582"/>
      <c r="EX582"/>
      <c r="EY582"/>
      <c r="EZ582"/>
      <c r="FA582"/>
      <c r="FB582"/>
      <c r="FC582"/>
      <c r="FD582"/>
      <c r="FE582"/>
      <c r="FF582"/>
      <c r="FG582"/>
      <c r="FH582"/>
      <c r="FI582"/>
      <c r="FJ582"/>
      <c r="FK582"/>
      <c r="FL582"/>
      <c r="FM582"/>
      <c r="FN582"/>
      <c r="FO582"/>
      <c r="FP582"/>
      <c r="FQ582"/>
      <c r="FR582"/>
      <c r="FS582"/>
      <c r="FT582"/>
      <c r="FU582"/>
      <c r="FV582"/>
      <c r="FW582"/>
      <c r="FX582"/>
      <c r="FY582"/>
      <c r="FZ582"/>
      <c r="GA582"/>
      <c r="GB582"/>
      <c r="GC582"/>
      <c r="GD582"/>
      <c r="GE582"/>
      <c r="GF582"/>
      <c r="GG582"/>
      <c r="GH582"/>
      <c r="GI582"/>
      <c r="GJ582"/>
      <c r="GK582"/>
      <c r="GL582"/>
      <c r="GM582"/>
      <c r="GN582"/>
      <c r="GO582"/>
      <c r="GP582"/>
      <c r="GQ582"/>
      <c r="GR582"/>
      <c r="GS582"/>
      <c r="GT582"/>
      <c r="GU582"/>
      <c r="GV582"/>
      <c r="GW582"/>
      <c r="GX582"/>
      <c r="GY582"/>
      <c r="GZ582"/>
      <c r="HA582"/>
      <c r="HB582"/>
      <c r="HC582"/>
      <c r="HD582"/>
      <c r="HE582"/>
      <c r="HF582"/>
      <c r="HG582"/>
      <c r="HH582"/>
      <c r="HI582"/>
      <c r="HJ582"/>
      <c r="HK582"/>
      <c r="HL582"/>
      <c r="HM582"/>
      <c r="HN582"/>
      <c r="HO582"/>
      <c r="HP582"/>
      <c r="HQ582"/>
      <c r="HR582"/>
      <c r="HS582"/>
      <c r="HT582"/>
      <c r="HU582"/>
      <c r="HV582"/>
      <c r="HW582"/>
      <c r="HX582"/>
      <c r="HY582"/>
      <c r="HZ582"/>
      <c r="IA582"/>
      <c r="IB582"/>
      <c r="IC582"/>
      <c r="ID582"/>
      <c r="IE582"/>
      <c r="IF582"/>
      <c r="IG582"/>
      <c r="IH582"/>
      <c r="II582"/>
      <c r="IJ582"/>
      <c r="IK582"/>
      <c r="IL582"/>
      <c r="IM582"/>
      <c r="IN582"/>
      <c r="IO582"/>
      <c r="IP582"/>
      <c r="IQ582"/>
      <c r="IR582"/>
      <c r="IS582"/>
      <c r="IT582"/>
      <c r="IU582"/>
      <c r="IV582"/>
      <c r="IW582"/>
      <c r="IX582"/>
      <c r="IY582"/>
      <c r="IZ582"/>
      <c r="JA582"/>
      <c r="JB582"/>
      <c r="JC582"/>
      <c r="JD582"/>
      <c r="JE582"/>
      <c r="JF582"/>
      <c r="JG582"/>
      <c r="JH582"/>
      <c r="JI582"/>
      <c r="JJ582"/>
      <c r="JK582"/>
      <c r="JL582"/>
      <c r="JM582"/>
      <c r="JN582"/>
      <c r="JO582"/>
      <c r="JP582"/>
      <c r="JQ582"/>
      <c r="JR582"/>
      <c r="JS582"/>
      <c r="JT582"/>
      <c r="JU582"/>
      <c r="JV582"/>
      <c r="JW582"/>
      <c r="JX582"/>
      <c r="JY582"/>
      <c r="JZ582"/>
      <c r="KA582"/>
      <c r="KB582"/>
      <c r="KC582"/>
      <c r="KD582"/>
      <c r="KE582"/>
      <c r="KF582"/>
      <c r="KG582"/>
      <c r="KH582"/>
      <c r="KI582"/>
      <c r="KJ582"/>
      <c r="KK582"/>
      <c r="KL582"/>
      <c r="KM582"/>
      <c r="KN582"/>
      <c r="KO582"/>
      <c r="KP582"/>
      <c r="KQ582"/>
      <c r="KR582"/>
      <c r="KS582"/>
    </row>
    <row r="583" spans="2:305" hidden="1" x14ac:dyDescent="0.35">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c r="AL583"/>
      <c r="AM583"/>
      <c r="AN583"/>
      <c r="AO583"/>
      <c r="AP583"/>
      <c r="AQ583"/>
      <c r="AR583"/>
      <c r="AS583"/>
      <c r="AT583"/>
      <c r="AU583"/>
      <c r="AV583"/>
      <c r="AW583"/>
      <c r="AX583"/>
      <c r="AY583"/>
      <c r="AZ583"/>
      <c r="BA583"/>
      <c r="BB583"/>
      <c r="BC583"/>
      <c r="BD583"/>
      <c r="BE583"/>
      <c r="BF583"/>
      <c r="BG583"/>
      <c r="BH583"/>
      <c r="BI583"/>
      <c r="BJ583"/>
      <c r="BK583"/>
      <c r="BL583"/>
      <c r="BM583"/>
      <c r="BN583"/>
      <c r="BO583"/>
      <c r="BP583"/>
      <c r="BQ583"/>
      <c r="BR583"/>
      <c r="BS583"/>
      <c r="BT583"/>
      <c r="BU583"/>
      <c r="BV583"/>
      <c r="BW583"/>
      <c r="BX583"/>
      <c r="BY583"/>
      <c r="BZ583"/>
      <c r="CA583"/>
      <c r="CB583"/>
      <c r="CC583"/>
      <c r="CD583"/>
      <c r="CE583"/>
      <c r="CF583"/>
      <c r="CG583"/>
      <c r="CH583"/>
      <c r="CI583"/>
      <c r="CJ583"/>
      <c r="CK583"/>
      <c r="CL583"/>
      <c r="CM583"/>
      <c r="CN583"/>
      <c r="CO583"/>
      <c r="CP583"/>
      <c r="CQ583"/>
      <c r="CR583"/>
      <c r="CS583"/>
      <c r="CT583"/>
      <c r="CU583"/>
      <c r="CV583"/>
      <c r="CW583"/>
      <c r="CX583"/>
      <c r="CY583"/>
      <c r="CZ583"/>
      <c r="DA583"/>
      <c r="DB583"/>
      <c r="DC583"/>
      <c r="DD583"/>
      <c r="DE583"/>
      <c r="DF583"/>
      <c r="DG583"/>
      <c r="DH583"/>
      <c r="DI583"/>
      <c r="DJ583"/>
      <c r="DK583"/>
      <c r="DL583"/>
      <c r="DM583"/>
      <c r="DN583"/>
      <c r="DO583"/>
      <c r="DP583"/>
      <c r="DQ583"/>
      <c r="DR583"/>
      <c r="DS583"/>
      <c r="DT583"/>
      <c r="DU583"/>
      <c r="DV583"/>
      <c r="DW583"/>
      <c r="DX583"/>
      <c r="DY583"/>
      <c r="DZ583"/>
      <c r="EA583"/>
      <c r="EB583"/>
      <c r="EC583"/>
      <c r="ED583"/>
      <c r="EE583"/>
      <c r="EF583"/>
      <c r="EG583"/>
      <c r="EH583"/>
      <c r="EI583"/>
      <c r="EJ583"/>
      <c r="EK583"/>
      <c r="EL583"/>
      <c r="EM583"/>
      <c r="EN583"/>
      <c r="EO583"/>
      <c r="EP583"/>
      <c r="EQ583"/>
      <c r="ER583"/>
      <c r="ES583"/>
      <c r="ET583"/>
      <c r="EU583"/>
      <c r="EV583"/>
      <c r="EW583"/>
      <c r="EX583"/>
      <c r="EY583"/>
      <c r="EZ583"/>
      <c r="FA583"/>
      <c r="FB583"/>
      <c r="FC583"/>
      <c r="FD583"/>
      <c r="FE583"/>
      <c r="FF583"/>
      <c r="FG583"/>
      <c r="FH583"/>
      <c r="FI583"/>
      <c r="FJ583"/>
      <c r="FK583"/>
      <c r="FL583"/>
      <c r="FM583"/>
      <c r="FN583"/>
      <c r="FO583"/>
      <c r="FP583"/>
      <c r="FQ583"/>
      <c r="FR583"/>
      <c r="FS583"/>
      <c r="FT583"/>
      <c r="FU583"/>
      <c r="FV583"/>
      <c r="FW583"/>
      <c r="FX583"/>
      <c r="FY583"/>
      <c r="FZ583"/>
      <c r="GA583"/>
      <c r="GB583"/>
      <c r="GC583"/>
      <c r="GD583"/>
      <c r="GE583"/>
      <c r="GF583"/>
      <c r="GG583"/>
      <c r="GH583"/>
      <c r="GI583"/>
      <c r="GJ583"/>
      <c r="GK583"/>
      <c r="GL583"/>
      <c r="GM583"/>
      <c r="GN583"/>
      <c r="GO583"/>
      <c r="GP583"/>
      <c r="GQ583"/>
      <c r="GR583"/>
      <c r="GS583"/>
      <c r="GT583"/>
      <c r="GU583"/>
      <c r="GV583"/>
      <c r="GW583"/>
      <c r="GX583"/>
      <c r="GY583"/>
      <c r="GZ583"/>
      <c r="HA583"/>
      <c r="HB583"/>
      <c r="HC583"/>
      <c r="HD583"/>
      <c r="HE583"/>
      <c r="HF583"/>
      <c r="HG583"/>
      <c r="HH583"/>
      <c r="HI583"/>
      <c r="HJ583"/>
      <c r="HK583"/>
      <c r="HL583"/>
      <c r="HM583"/>
      <c r="HN583"/>
      <c r="HO583"/>
      <c r="HP583"/>
      <c r="HQ583"/>
      <c r="HR583"/>
      <c r="HS583"/>
      <c r="HT583"/>
      <c r="HU583"/>
      <c r="HV583"/>
      <c r="HW583"/>
      <c r="HX583"/>
      <c r="HY583"/>
      <c r="HZ583"/>
      <c r="IA583"/>
      <c r="IB583"/>
      <c r="IC583"/>
      <c r="ID583"/>
      <c r="IE583"/>
      <c r="IF583"/>
      <c r="IG583"/>
      <c r="IH583"/>
      <c r="II583"/>
      <c r="IJ583"/>
      <c r="IK583"/>
      <c r="IL583"/>
      <c r="IM583"/>
      <c r="IN583"/>
      <c r="IO583"/>
      <c r="IP583"/>
      <c r="IQ583"/>
      <c r="IR583"/>
      <c r="IS583"/>
      <c r="IT583"/>
      <c r="IU583"/>
      <c r="IV583"/>
      <c r="IW583"/>
      <c r="IX583"/>
      <c r="IY583"/>
      <c r="IZ583"/>
      <c r="JA583"/>
      <c r="JB583"/>
      <c r="JC583"/>
      <c r="JD583"/>
      <c r="JE583"/>
      <c r="JF583"/>
      <c r="JG583"/>
      <c r="JH583"/>
      <c r="JI583"/>
      <c r="JJ583"/>
      <c r="JK583"/>
      <c r="JL583"/>
      <c r="JM583"/>
      <c r="JN583"/>
      <c r="JO583"/>
      <c r="JP583"/>
      <c r="JQ583"/>
      <c r="JR583"/>
      <c r="JS583"/>
      <c r="JT583"/>
      <c r="JU583"/>
      <c r="JV583"/>
      <c r="JW583"/>
      <c r="JX583"/>
      <c r="JY583"/>
      <c r="JZ583"/>
      <c r="KA583"/>
      <c r="KB583"/>
      <c r="KC583"/>
      <c r="KD583"/>
      <c r="KE583"/>
      <c r="KF583"/>
      <c r="KG583"/>
      <c r="KH583"/>
      <c r="KI583"/>
      <c r="KJ583"/>
      <c r="KK583"/>
      <c r="KL583"/>
      <c r="KM583"/>
      <c r="KN583"/>
      <c r="KO583"/>
      <c r="KP583"/>
      <c r="KQ583"/>
      <c r="KR583"/>
      <c r="KS583"/>
    </row>
    <row r="584" spans="2:305" hidden="1" x14ac:dyDescent="0.35">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c r="AL584"/>
      <c r="AM584"/>
      <c r="AN584"/>
      <c r="AO584"/>
      <c r="AP584"/>
      <c r="AQ584"/>
      <c r="AR584"/>
      <c r="AS584"/>
      <c r="AT584"/>
      <c r="AU584"/>
      <c r="AV584"/>
      <c r="AW584"/>
      <c r="AX584"/>
      <c r="AY584"/>
      <c r="AZ584"/>
      <c r="BA584"/>
      <c r="BB584"/>
      <c r="BC584"/>
      <c r="BD584"/>
      <c r="BE584"/>
      <c r="BF584"/>
      <c r="BG584"/>
      <c r="BH584"/>
      <c r="BI584"/>
      <c r="BJ584"/>
      <c r="BK584"/>
      <c r="BL584"/>
      <c r="BM584"/>
      <c r="BN584"/>
      <c r="BO584"/>
      <c r="BP584"/>
      <c r="BQ584"/>
      <c r="BR584"/>
      <c r="BS584"/>
      <c r="BT584"/>
      <c r="BU584"/>
      <c r="BV584"/>
      <c r="BW584"/>
      <c r="BX584"/>
      <c r="BY584"/>
      <c r="BZ584"/>
      <c r="CA584"/>
      <c r="CB584"/>
      <c r="CC584"/>
      <c r="CD584"/>
      <c r="CE584"/>
      <c r="CF584"/>
      <c r="CG584"/>
      <c r="CH584"/>
      <c r="CI584"/>
      <c r="CJ584"/>
      <c r="CK584"/>
      <c r="CL584"/>
      <c r="CM584"/>
      <c r="CN584"/>
      <c r="CO584"/>
      <c r="CP584"/>
      <c r="CQ584"/>
      <c r="CR584"/>
      <c r="CS584"/>
      <c r="CT584"/>
      <c r="CU584"/>
      <c r="CV584"/>
      <c r="CW584"/>
      <c r="CX584"/>
      <c r="CY584"/>
      <c r="CZ584"/>
      <c r="DA584"/>
      <c r="DB584"/>
      <c r="DC584"/>
      <c r="DD584"/>
      <c r="DE584"/>
      <c r="DF584"/>
      <c r="DG584"/>
      <c r="DH584"/>
      <c r="DI584"/>
      <c r="DJ584"/>
      <c r="DK584"/>
      <c r="DL584"/>
      <c r="DM584"/>
      <c r="DN584"/>
      <c r="DO584"/>
      <c r="DP584"/>
      <c r="DQ584"/>
      <c r="DR584"/>
      <c r="DS584"/>
      <c r="DT584"/>
      <c r="DU584"/>
      <c r="DV584"/>
      <c r="DW584"/>
      <c r="DX584"/>
      <c r="DY584"/>
      <c r="DZ584"/>
      <c r="EA584"/>
      <c r="EB584"/>
      <c r="EC584"/>
      <c r="ED584"/>
      <c r="EE584"/>
      <c r="EF584"/>
      <c r="EG584"/>
      <c r="EH584"/>
      <c r="EI584"/>
      <c r="EJ584"/>
      <c r="EK584"/>
      <c r="EL584"/>
      <c r="EM584"/>
      <c r="EN584"/>
      <c r="EO584"/>
      <c r="EP584"/>
      <c r="EQ584"/>
      <c r="ER584"/>
      <c r="ES584"/>
      <c r="ET584"/>
      <c r="EU584"/>
      <c r="EV584"/>
      <c r="EW584"/>
      <c r="EX584"/>
      <c r="EY584"/>
      <c r="EZ584"/>
      <c r="FA584"/>
      <c r="FB584"/>
      <c r="FC584"/>
      <c r="FD584"/>
      <c r="FE584"/>
      <c r="FF584"/>
      <c r="FG584"/>
      <c r="FH584"/>
      <c r="FI584"/>
      <c r="FJ584"/>
      <c r="FK584"/>
      <c r="FL584"/>
      <c r="FM584"/>
      <c r="FN584"/>
      <c r="FO584"/>
      <c r="FP584"/>
      <c r="FQ584"/>
      <c r="FR584"/>
      <c r="FS584"/>
      <c r="FT584"/>
      <c r="FU584"/>
      <c r="FV584"/>
      <c r="FW584"/>
      <c r="FX584"/>
      <c r="FY584"/>
      <c r="FZ584"/>
      <c r="GA584"/>
      <c r="GB584"/>
      <c r="GC584"/>
      <c r="GD584"/>
      <c r="GE584"/>
      <c r="GF584"/>
      <c r="GG584"/>
      <c r="GH584"/>
      <c r="GI584"/>
      <c r="GJ584"/>
      <c r="GK584"/>
      <c r="GL584"/>
      <c r="GM584"/>
      <c r="GN584"/>
      <c r="GO584"/>
      <c r="GP584"/>
      <c r="GQ584"/>
      <c r="GR584"/>
      <c r="GS584"/>
      <c r="GT584"/>
      <c r="GU584"/>
      <c r="GV584"/>
      <c r="GW584"/>
      <c r="GX584"/>
      <c r="GY584"/>
      <c r="GZ584"/>
      <c r="HA584"/>
      <c r="HB584"/>
      <c r="HC584"/>
      <c r="HD584"/>
      <c r="HE584"/>
      <c r="HF584"/>
      <c r="HG584"/>
      <c r="HH584"/>
      <c r="HI584"/>
      <c r="HJ584"/>
      <c r="HK584"/>
      <c r="HL584"/>
      <c r="HM584"/>
      <c r="HN584"/>
      <c r="HO584"/>
      <c r="HP584"/>
      <c r="HQ584"/>
      <c r="HR584"/>
      <c r="HS584"/>
      <c r="HT584"/>
      <c r="HU584"/>
      <c r="HV584"/>
      <c r="HW584"/>
      <c r="HX584"/>
      <c r="HY584"/>
      <c r="HZ584"/>
      <c r="IA584"/>
      <c r="IB584"/>
      <c r="IC584"/>
      <c r="ID584"/>
      <c r="IE584"/>
      <c r="IF584"/>
      <c r="IG584"/>
      <c r="IH584"/>
      <c r="II584"/>
      <c r="IJ584"/>
      <c r="IK584"/>
      <c r="IL584"/>
      <c r="IM584"/>
      <c r="IN584"/>
      <c r="IO584"/>
      <c r="IP584"/>
      <c r="IQ584"/>
      <c r="IR584"/>
      <c r="IS584"/>
      <c r="IT584"/>
      <c r="IU584"/>
      <c r="IV584"/>
      <c r="IW584"/>
      <c r="IX584"/>
      <c r="IY584"/>
      <c r="IZ584"/>
      <c r="JA584"/>
      <c r="JB584"/>
      <c r="JC584"/>
      <c r="JD584"/>
      <c r="JE584"/>
      <c r="JF584"/>
      <c r="JG584"/>
      <c r="JH584"/>
      <c r="JI584"/>
      <c r="JJ584"/>
      <c r="JK584"/>
      <c r="JL584"/>
      <c r="JM584"/>
      <c r="JN584"/>
      <c r="JO584"/>
      <c r="JP584"/>
      <c r="JQ584"/>
      <c r="JR584"/>
      <c r="JS584"/>
      <c r="JT584"/>
      <c r="JU584"/>
      <c r="JV584"/>
      <c r="JW584"/>
      <c r="JX584"/>
      <c r="JY584"/>
      <c r="JZ584"/>
      <c r="KA584"/>
      <c r="KB584"/>
      <c r="KC584"/>
      <c r="KD584"/>
      <c r="KE584"/>
      <c r="KF584"/>
      <c r="KG584"/>
      <c r="KH584"/>
      <c r="KI584"/>
      <c r="KJ584"/>
      <c r="KK584"/>
      <c r="KL584"/>
      <c r="KM584"/>
      <c r="KN584"/>
      <c r="KO584"/>
      <c r="KP584"/>
      <c r="KQ584"/>
      <c r="KR584"/>
      <c r="KS584"/>
    </row>
    <row r="585" spans="2:305" hidden="1" x14ac:dyDescent="0.3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c r="AL585"/>
      <c r="AM585"/>
      <c r="AN585"/>
      <c r="AO585"/>
      <c r="AP585"/>
      <c r="AQ585"/>
      <c r="AR585"/>
      <c r="AS585"/>
      <c r="AT585"/>
      <c r="AU585"/>
      <c r="AV585"/>
      <c r="AW585"/>
      <c r="AX585"/>
      <c r="AY585"/>
      <c r="AZ585"/>
      <c r="BA585"/>
      <c r="BB585"/>
      <c r="BC585"/>
      <c r="BD585"/>
      <c r="BE585"/>
      <c r="BF585"/>
      <c r="BG585"/>
      <c r="BH585"/>
      <c r="BI585"/>
      <c r="BJ585"/>
      <c r="BK585"/>
      <c r="BL585"/>
      <c r="BM585"/>
      <c r="BN585"/>
      <c r="BO585"/>
      <c r="BP585"/>
      <c r="BQ585"/>
      <c r="BR585"/>
      <c r="BS585"/>
      <c r="BT585"/>
      <c r="BU585"/>
      <c r="BV585"/>
      <c r="BW585"/>
      <c r="BX585"/>
      <c r="BY585"/>
      <c r="BZ585"/>
      <c r="CA585"/>
      <c r="CB585"/>
      <c r="CC585"/>
      <c r="CD585"/>
      <c r="CE585"/>
      <c r="CF585"/>
      <c r="CG585"/>
      <c r="CH585"/>
      <c r="CI585"/>
      <c r="CJ585"/>
      <c r="CK585"/>
      <c r="CL585"/>
      <c r="CM585"/>
      <c r="CN585"/>
      <c r="CO585"/>
      <c r="CP585"/>
      <c r="CQ585"/>
      <c r="CR585"/>
      <c r="CS585"/>
      <c r="CT585"/>
      <c r="CU585"/>
      <c r="CV585"/>
      <c r="CW585"/>
      <c r="CX585"/>
      <c r="CY585"/>
      <c r="CZ585"/>
      <c r="DA585"/>
      <c r="DB585"/>
      <c r="DC585"/>
      <c r="DD585"/>
      <c r="DE585"/>
      <c r="DF585"/>
      <c r="DG585"/>
      <c r="DH585"/>
      <c r="DI585"/>
      <c r="DJ585"/>
      <c r="DK585"/>
      <c r="DL585"/>
      <c r="DM585"/>
      <c r="DN585"/>
      <c r="DO585"/>
      <c r="DP585"/>
      <c r="DQ585"/>
      <c r="DR585"/>
      <c r="DS585"/>
      <c r="DT585"/>
      <c r="DU585"/>
      <c r="DV585"/>
      <c r="DW585"/>
      <c r="DX585"/>
      <c r="DY585"/>
      <c r="DZ585"/>
      <c r="EA585"/>
      <c r="EB585"/>
      <c r="EC585"/>
      <c r="ED585"/>
      <c r="EE585"/>
      <c r="EF585"/>
      <c r="EG585"/>
      <c r="EH585"/>
      <c r="EI585"/>
      <c r="EJ585"/>
      <c r="EK585"/>
      <c r="EL585"/>
      <c r="EM585"/>
      <c r="EN585"/>
      <c r="EO585"/>
      <c r="EP585"/>
      <c r="EQ585"/>
      <c r="ER585"/>
      <c r="ES585"/>
      <c r="ET585"/>
      <c r="EU585"/>
      <c r="EV585"/>
      <c r="EW585"/>
      <c r="EX585"/>
      <c r="EY585"/>
      <c r="EZ585"/>
      <c r="FA585"/>
      <c r="FB585"/>
      <c r="FC585"/>
      <c r="FD585"/>
      <c r="FE585"/>
      <c r="FF585"/>
      <c r="FG585"/>
      <c r="FH585"/>
      <c r="FI585"/>
      <c r="FJ585"/>
      <c r="FK585"/>
      <c r="FL585"/>
      <c r="FM585"/>
      <c r="FN585"/>
      <c r="FO585"/>
      <c r="FP585"/>
      <c r="FQ585"/>
      <c r="FR585"/>
      <c r="FS585"/>
      <c r="FT585"/>
      <c r="FU585"/>
      <c r="FV585"/>
      <c r="FW585"/>
      <c r="FX585"/>
      <c r="FY585"/>
      <c r="FZ585"/>
      <c r="GA585"/>
      <c r="GB585"/>
      <c r="GC585"/>
      <c r="GD585"/>
      <c r="GE585"/>
      <c r="GF585"/>
      <c r="GG585"/>
      <c r="GH585"/>
      <c r="GI585"/>
      <c r="GJ585"/>
      <c r="GK585"/>
      <c r="GL585"/>
      <c r="GM585"/>
      <c r="GN585"/>
      <c r="GO585"/>
      <c r="GP585"/>
      <c r="GQ585"/>
      <c r="GR585"/>
      <c r="GS585"/>
      <c r="GT585"/>
      <c r="GU585"/>
      <c r="GV585"/>
      <c r="GW585"/>
      <c r="GX585"/>
      <c r="GY585"/>
      <c r="GZ585"/>
      <c r="HA585"/>
      <c r="HB585"/>
      <c r="HC585"/>
      <c r="HD585"/>
      <c r="HE585"/>
      <c r="HF585"/>
      <c r="HG585"/>
      <c r="HH585"/>
      <c r="HI585"/>
      <c r="HJ585"/>
      <c r="HK585"/>
      <c r="HL585"/>
      <c r="HM585"/>
      <c r="HN585"/>
      <c r="HO585"/>
      <c r="HP585"/>
      <c r="HQ585"/>
      <c r="HR585"/>
      <c r="HS585"/>
      <c r="HT585"/>
      <c r="HU585"/>
      <c r="HV585"/>
      <c r="HW585"/>
      <c r="HX585"/>
      <c r="HY585"/>
      <c r="HZ585"/>
      <c r="IA585"/>
      <c r="IB585"/>
      <c r="IC585"/>
      <c r="ID585"/>
      <c r="IE585"/>
      <c r="IF585"/>
      <c r="IG585"/>
      <c r="IH585"/>
      <c r="II585"/>
      <c r="IJ585"/>
      <c r="IK585"/>
      <c r="IL585"/>
      <c r="IM585"/>
      <c r="IN585"/>
      <c r="IO585"/>
      <c r="IP585"/>
      <c r="IQ585"/>
      <c r="IR585"/>
      <c r="IS585"/>
      <c r="IT585"/>
      <c r="IU585"/>
      <c r="IV585"/>
      <c r="IW585"/>
      <c r="IX585"/>
      <c r="IY585"/>
      <c r="IZ585"/>
      <c r="JA585"/>
      <c r="JB585"/>
      <c r="JC585"/>
      <c r="JD585"/>
      <c r="JE585"/>
      <c r="JF585"/>
      <c r="JG585"/>
      <c r="JH585"/>
      <c r="JI585"/>
      <c r="JJ585"/>
      <c r="JK585"/>
      <c r="JL585"/>
      <c r="JM585"/>
      <c r="JN585"/>
      <c r="JO585"/>
      <c r="JP585"/>
      <c r="JQ585"/>
      <c r="JR585"/>
      <c r="JS585"/>
      <c r="JT585"/>
      <c r="JU585"/>
      <c r="JV585"/>
      <c r="JW585"/>
      <c r="JX585"/>
      <c r="JY585"/>
      <c r="JZ585"/>
      <c r="KA585"/>
      <c r="KB585"/>
      <c r="KC585"/>
      <c r="KD585"/>
      <c r="KE585"/>
      <c r="KF585"/>
      <c r="KG585"/>
      <c r="KH585"/>
      <c r="KI585"/>
      <c r="KJ585"/>
      <c r="KK585"/>
      <c r="KL585"/>
      <c r="KM585"/>
      <c r="KN585"/>
      <c r="KO585"/>
      <c r="KP585"/>
      <c r="KQ585"/>
      <c r="KR585"/>
      <c r="KS585"/>
    </row>
    <row r="586" spans="2:305" hidden="1" x14ac:dyDescent="0.35">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c r="AL586"/>
      <c r="AM586"/>
      <c r="AN586"/>
      <c r="AO586"/>
      <c r="AP586"/>
      <c r="AQ586"/>
      <c r="AR586"/>
      <c r="AS586"/>
      <c r="AT586"/>
      <c r="AU586"/>
      <c r="AV586"/>
      <c r="AW586"/>
      <c r="AX586"/>
      <c r="AY586"/>
      <c r="AZ586"/>
      <c r="BA586"/>
      <c r="BB586"/>
      <c r="BC586"/>
      <c r="BD586"/>
      <c r="BE586"/>
      <c r="BF586"/>
      <c r="BG586"/>
      <c r="BH586"/>
      <c r="BI586"/>
      <c r="BJ586"/>
      <c r="BK586"/>
      <c r="BL586"/>
      <c r="BM586"/>
      <c r="BN586"/>
      <c r="BO586"/>
      <c r="BP586"/>
      <c r="BQ586"/>
      <c r="BR586"/>
      <c r="BS586"/>
      <c r="BT586"/>
      <c r="BU586"/>
      <c r="BV586"/>
      <c r="BW586"/>
      <c r="BX586"/>
      <c r="BY586"/>
      <c r="BZ586"/>
      <c r="CA586"/>
      <c r="CB586"/>
      <c r="CC586"/>
      <c r="CD586"/>
      <c r="CE586"/>
      <c r="CF586"/>
      <c r="CG586"/>
      <c r="CH586"/>
      <c r="CI586"/>
      <c r="CJ586"/>
      <c r="CK586"/>
      <c r="CL586"/>
      <c r="CM586"/>
      <c r="CN586"/>
      <c r="CO586"/>
      <c r="CP586"/>
      <c r="CQ586"/>
      <c r="CR586"/>
      <c r="CS586"/>
      <c r="CT586"/>
      <c r="CU586"/>
      <c r="CV586"/>
      <c r="CW586"/>
      <c r="CX586"/>
      <c r="CY586"/>
      <c r="CZ586"/>
      <c r="DA586"/>
      <c r="DB586"/>
      <c r="DC586"/>
      <c r="DD586"/>
      <c r="DE586"/>
      <c r="DF586"/>
      <c r="DG586"/>
      <c r="DH586"/>
      <c r="DI586"/>
      <c r="DJ586"/>
      <c r="DK586"/>
      <c r="DL586"/>
      <c r="DM586"/>
      <c r="DN586"/>
      <c r="DO586"/>
      <c r="DP586"/>
      <c r="DQ586"/>
      <c r="DR586"/>
      <c r="DS586"/>
      <c r="DT586"/>
      <c r="DU586"/>
      <c r="DV586"/>
      <c r="DW586"/>
      <c r="DX586"/>
      <c r="DY586"/>
      <c r="DZ586"/>
      <c r="EA586"/>
      <c r="EB586"/>
      <c r="EC586"/>
      <c r="ED586"/>
      <c r="EE586"/>
      <c r="EF586"/>
      <c r="EG586"/>
      <c r="EH586"/>
      <c r="EI586"/>
      <c r="EJ586"/>
      <c r="EK586"/>
      <c r="EL586"/>
      <c r="EM586"/>
      <c r="EN586"/>
      <c r="EO586"/>
      <c r="EP586"/>
      <c r="EQ586"/>
      <c r="ER586"/>
      <c r="ES586"/>
      <c r="ET586"/>
      <c r="EU586"/>
      <c r="EV586"/>
      <c r="EW586"/>
      <c r="EX586"/>
      <c r="EY586"/>
      <c r="EZ586"/>
      <c r="FA586"/>
      <c r="FB586"/>
      <c r="FC586"/>
      <c r="FD586"/>
      <c r="FE586"/>
      <c r="FF586"/>
      <c r="FG586"/>
      <c r="FH586"/>
      <c r="FI586"/>
      <c r="FJ586"/>
      <c r="FK586"/>
      <c r="FL586"/>
      <c r="FM586"/>
      <c r="FN586"/>
      <c r="FO586"/>
      <c r="FP586"/>
      <c r="FQ586"/>
      <c r="FR586"/>
      <c r="FS586"/>
      <c r="FT586"/>
      <c r="FU586"/>
      <c r="FV586"/>
      <c r="FW586"/>
      <c r="FX586"/>
      <c r="FY586"/>
      <c r="FZ586"/>
      <c r="GA586"/>
      <c r="GB586"/>
      <c r="GC586"/>
      <c r="GD586"/>
      <c r="GE586"/>
      <c r="GF586"/>
      <c r="GG586"/>
      <c r="GH586"/>
      <c r="GI586"/>
      <c r="GJ586"/>
      <c r="GK586"/>
      <c r="GL586"/>
      <c r="GM586"/>
      <c r="GN586"/>
      <c r="GO586"/>
      <c r="GP586"/>
      <c r="GQ586"/>
      <c r="GR586"/>
      <c r="GS586"/>
      <c r="GT586"/>
      <c r="GU586"/>
      <c r="GV586"/>
      <c r="GW586"/>
      <c r="GX586"/>
      <c r="GY586"/>
      <c r="GZ586"/>
      <c r="HA586"/>
      <c r="HB586"/>
      <c r="HC586"/>
      <c r="HD586"/>
      <c r="HE586"/>
      <c r="HF586"/>
      <c r="HG586"/>
      <c r="HH586"/>
      <c r="HI586"/>
      <c r="HJ586"/>
      <c r="HK586"/>
      <c r="HL586"/>
      <c r="HM586"/>
      <c r="HN586"/>
      <c r="HO586"/>
      <c r="HP586"/>
      <c r="HQ586"/>
      <c r="HR586"/>
      <c r="HS586"/>
      <c r="HT586"/>
      <c r="HU586"/>
      <c r="HV586"/>
      <c r="HW586"/>
      <c r="HX586"/>
      <c r="HY586"/>
      <c r="HZ586"/>
      <c r="IA586"/>
      <c r="IB586"/>
      <c r="IC586"/>
      <c r="ID586"/>
      <c r="IE586"/>
      <c r="IF586"/>
      <c r="IG586"/>
      <c r="IH586"/>
      <c r="II586"/>
      <c r="IJ586"/>
      <c r="IK586"/>
      <c r="IL586"/>
      <c r="IM586"/>
      <c r="IN586"/>
      <c r="IO586"/>
      <c r="IP586"/>
      <c r="IQ586"/>
      <c r="IR586"/>
      <c r="IS586"/>
      <c r="IT586"/>
      <c r="IU586"/>
      <c r="IV586"/>
      <c r="IW586"/>
      <c r="IX586"/>
      <c r="IY586"/>
      <c r="IZ586"/>
      <c r="JA586"/>
      <c r="JB586"/>
      <c r="JC586"/>
      <c r="JD586"/>
      <c r="JE586"/>
      <c r="JF586"/>
      <c r="JG586"/>
      <c r="JH586"/>
      <c r="JI586"/>
      <c r="JJ586"/>
      <c r="JK586"/>
      <c r="JL586"/>
      <c r="JM586"/>
      <c r="JN586"/>
      <c r="JO586"/>
      <c r="JP586"/>
      <c r="JQ586"/>
      <c r="JR586"/>
      <c r="JS586"/>
      <c r="JT586"/>
      <c r="JU586"/>
      <c r="JV586"/>
      <c r="JW586"/>
      <c r="JX586"/>
      <c r="JY586"/>
      <c r="JZ586"/>
      <c r="KA586"/>
      <c r="KB586"/>
      <c r="KC586"/>
      <c r="KD586"/>
      <c r="KE586"/>
      <c r="KF586"/>
      <c r="KG586"/>
      <c r="KH586"/>
      <c r="KI586"/>
      <c r="KJ586"/>
      <c r="KK586"/>
      <c r="KL586"/>
      <c r="KM586"/>
      <c r="KN586"/>
      <c r="KO586"/>
      <c r="KP586"/>
      <c r="KQ586"/>
      <c r="KR586"/>
      <c r="KS586"/>
    </row>
    <row r="587" spans="2:305" hidden="1" x14ac:dyDescent="0.35">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c r="AL587"/>
      <c r="AM587"/>
      <c r="AN587"/>
      <c r="AO587"/>
      <c r="AP587"/>
      <c r="AQ587"/>
      <c r="AR587"/>
      <c r="AS587"/>
      <c r="AT587"/>
      <c r="AU587"/>
      <c r="AV587"/>
      <c r="AW587"/>
      <c r="AX587"/>
      <c r="AY587"/>
      <c r="AZ587"/>
      <c r="BA587"/>
      <c r="BB587"/>
      <c r="BC587"/>
      <c r="BD587"/>
      <c r="BE587"/>
      <c r="BF587"/>
      <c r="BG587"/>
      <c r="BH587"/>
      <c r="BI587"/>
      <c r="BJ587"/>
      <c r="BK587"/>
      <c r="BL587"/>
      <c r="BM587"/>
      <c r="BN587"/>
      <c r="BO587"/>
      <c r="BP587"/>
      <c r="BQ587"/>
      <c r="BR587"/>
      <c r="BS587"/>
      <c r="BT587"/>
      <c r="BU587"/>
      <c r="BV587"/>
      <c r="BW587"/>
      <c r="BX587"/>
      <c r="BY587"/>
      <c r="BZ587"/>
      <c r="CA587"/>
      <c r="CB587"/>
      <c r="CC587"/>
      <c r="CD587"/>
      <c r="CE587"/>
      <c r="CF587"/>
      <c r="CG587"/>
      <c r="CH587"/>
      <c r="CI587"/>
      <c r="CJ587"/>
      <c r="CK587"/>
      <c r="CL587"/>
      <c r="CM587"/>
      <c r="CN587"/>
      <c r="CO587"/>
      <c r="CP587"/>
      <c r="CQ587"/>
      <c r="CR587"/>
      <c r="CS587"/>
      <c r="CT587"/>
      <c r="CU587"/>
      <c r="CV587"/>
      <c r="CW587"/>
      <c r="CX587"/>
      <c r="CY587"/>
      <c r="CZ587"/>
      <c r="DA587"/>
      <c r="DB587"/>
      <c r="DC587"/>
      <c r="DD587"/>
      <c r="DE587"/>
      <c r="DF587"/>
      <c r="DG587"/>
      <c r="DH587"/>
      <c r="DI587"/>
      <c r="DJ587"/>
      <c r="DK587"/>
      <c r="DL587"/>
      <c r="DM587"/>
      <c r="DN587"/>
      <c r="DO587"/>
      <c r="DP587"/>
      <c r="DQ587"/>
      <c r="DR587"/>
      <c r="DS587"/>
      <c r="DT587"/>
      <c r="DU587"/>
      <c r="DV587"/>
      <c r="DW587"/>
      <c r="DX587"/>
      <c r="DY587"/>
      <c r="DZ587"/>
      <c r="EA587"/>
      <c r="EB587"/>
      <c r="EC587"/>
      <c r="ED587"/>
      <c r="EE587"/>
      <c r="EF587"/>
      <c r="EG587"/>
      <c r="EH587"/>
      <c r="EI587"/>
      <c r="EJ587"/>
      <c r="EK587"/>
      <c r="EL587"/>
      <c r="EM587"/>
      <c r="EN587"/>
      <c r="EO587"/>
      <c r="EP587"/>
      <c r="EQ587"/>
      <c r="ER587"/>
      <c r="ES587"/>
      <c r="ET587"/>
      <c r="EU587"/>
      <c r="EV587"/>
      <c r="EW587"/>
      <c r="EX587"/>
      <c r="EY587"/>
      <c r="EZ587"/>
      <c r="FA587"/>
      <c r="FB587"/>
      <c r="FC587"/>
      <c r="FD587"/>
      <c r="FE587"/>
      <c r="FF587"/>
      <c r="FG587"/>
      <c r="FH587"/>
      <c r="FI587"/>
      <c r="FJ587"/>
      <c r="FK587"/>
      <c r="FL587"/>
      <c r="FM587"/>
      <c r="FN587"/>
      <c r="FO587"/>
      <c r="FP587"/>
      <c r="FQ587"/>
      <c r="FR587"/>
      <c r="FS587"/>
      <c r="FT587"/>
      <c r="FU587"/>
      <c r="FV587"/>
      <c r="FW587"/>
      <c r="FX587"/>
      <c r="FY587"/>
      <c r="FZ587"/>
      <c r="GA587"/>
      <c r="GB587"/>
      <c r="GC587"/>
      <c r="GD587"/>
      <c r="GE587"/>
      <c r="GF587"/>
      <c r="GG587"/>
      <c r="GH587"/>
      <c r="GI587"/>
      <c r="GJ587"/>
      <c r="GK587"/>
      <c r="GL587"/>
      <c r="GM587"/>
      <c r="GN587"/>
      <c r="GO587"/>
      <c r="GP587"/>
      <c r="GQ587"/>
      <c r="GR587"/>
      <c r="GS587"/>
      <c r="GT587"/>
      <c r="GU587"/>
      <c r="GV587"/>
      <c r="GW587"/>
      <c r="GX587"/>
      <c r="GY587"/>
      <c r="GZ587"/>
      <c r="HA587"/>
      <c r="HB587"/>
      <c r="HC587"/>
      <c r="HD587"/>
      <c r="HE587"/>
      <c r="HF587"/>
      <c r="HG587"/>
      <c r="HH587"/>
      <c r="HI587"/>
      <c r="HJ587"/>
      <c r="HK587"/>
      <c r="HL587"/>
      <c r="HM587"/>
      <c r="HN587"/>
      <c r="HO587"/>
      <c r="HP587"/>
      <c r="HQ587"/>
      <c r="HR587"/>
      <c r="HS587"/>
      <c r="HT587"/>
      <c r="HU587"/>
      <c r="HV587"/>
      <c r="HW587"/>
      <c r="HX587"/>
      <c r="HY587"/>
      <c r="HZ587"/>
      <c r="IA587"/>
      <c r="IB587"/>
      <c r="IC587"/>
      <c r="ID587"/>
      <c r="IE587"/>
      <c r="IF587"/>
      <c r="IG587"/>
      <c r="IH587"/>
      <c r="II587"/>
      <c r="IJ587"/>
      <c r="IK587"/>
      <c r="IL587"/>
      <c r="IM587"/>
      <c r="IN587"/>
      <c r="IO587"/>
      <c r="IP587"/>
      <c r="IQ587"/>
      <c r="IR587"/>
      <c r="IS587"/>
      <c r="IT587"/>
      <c r="IU587"/>
      <c r="IV587"/>
      <c r="IW587"/>
      <c r="IX587"/>
      <c r="IY587"/>
      <c r="IZ587"/>
      <c r="JA587"/>
      <c r="JB587"/>
      <c r="JC587"/>
      <c r="JD587"/>
      <c r="JE587"/>
      <c r="JF587"/>
      <c r="JG587"/>
      <c r="JH587"/>
      <c r="JI587"/>
      <c r="JJ587"/>
      <c r="JK587"/>
      <c r="JL587"/>
      <c r="JM587"/>
      <c r="JN587"/>
      <c r="JO587"/>
      <c r="JP587"/>
      <c r="JQ587"/>
      <c r="JR587"/>
      <c r="JS587"/>
      <c r="JT587"/>
      <c r="JU587"/>
      <c r="JV587"/>
      <c r="JW587"/>
      <c r="JX587"/>
      <c r="JY587"/>
      <c r="JZ587"/>
      <c r="KA587"/>
      <c r="KB587"/>
      <c r="KC587"/>
      <c r="KD587"/>
      <c r="KE587"/>
      <c r="KF587"/>
      <c r="KG587"/>
      <c r="KH587"/>
      <c r="KI587"/>
      <c r="KJ587"/>
      <c r="KK587"/>
      <c r="KL587"/>
      <c r="KM587"/>
      <c r="KN587"/>
      <c r="KO587"/>
      <c r="KP587"/>
      <c r="KQ587"/>
      <c r="KR587"/>
      <c r="KS587"/>
    </row>
    <row r="588" spans="2:305" hidden="1" x14ac:dyDescent="0.35">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c r="AL588"/>
      <c r="AM588"/>
      <c r="AN588"/>
      <c r="AO588"/>
      <c r="AP588"/>
      <c r="AQ588"/>
      <c r="AR588"/>
      <c r="AS588"/>
      <c r="AT588"/>
      <c r="AU588"/>
      <c r="AV588"/>
      <c r="AW588"/>
      <c r="AX588"/>
      <c r="AY588"/>
      <c r="AZ588"/>
      <c r="BA588"/>
      <c r="BB588"/>
      <c r="BC588"/>
      <c r="BD588"/>
      <c r="BE588"/>
      <c r="BF588"/>
      <c r="BG588"/>
      <c r="BH588"/>
      <c r="BI588"/>
      <c r="BJ588"/>
      <c r="BK588"/>
      <c r="BL588"/>
      <c r="BM588"/>
      <c r="BN588"/>
      <c r="BO588"/>
      <c r="BP588"/>
      <c r="BQ588"/>
      <c r="BR588"/>
      <c r="BS588"/>
      <c r="BT588"/>
      <c r="BU588"/>
      <c r="BV588"/>
      <c r="BW588"/>
      <c r="BX588"/>
      <c r="BY588"/>
      <c r="BZ588"/>
      <c r="CA588"/>
      <c r="CB588"/>
      <c r="CC588"/>
      <c r="CD588"/>
      <c r="CE588"/>
      <c r="CF588"/>
      <c r="CG588"/>
      <c r="CH588"/>
      <c r="CI588"/>
      <c r="CJ588"/>
      <c r="CK588"/>
      <c r="CL588"/>
      <c r="CM588"/>
      <c r="CN588"/>
      <c r="CO588"/>
      <c r="CP588"/>
      <c r="CQ588"/>
      <c r="CR588"/>
      <c r="CS588"/>
      <c r="CT588"/>
      <c r="CU588"/>
      <c r="CV588"/>
      <c r="CW588"/>
      <c r="CX588"/>
      <c r="CY588"/>
      <c r="CZ588"/>
      <c r="DA588"/>
      <c r="DB588"/>
      <c r="DC588"/>
      <c r="DD588"/>
      <c r="DE588"/>
      <c r="DF588"/>
      <c r="DG588"/>
      <c r="DH588"/>
      <c r="DI588"/>
      <c r="DJ588"/>
      <c r="DK588"/>
      <c r="DL588"/>
      <c r="DM588"/>
      <c r="DN588"/>
      <c r="DO588"/>
      <c r="DP588"/>
      <c r="DQ588"/>
      <c r="DR588"/>
      <c r="DS588"/>
      <c r="DT588"/>
      <c r="DU588"/>
      <c r="DV588"/>
      <c r="DW588"/>
      <c r="DX588"/>
      <c r="DY588"/>
      <c r="DZ588"/>
      <c r="EA588"/>
      <c r="EB588"/>
      <c r="EC588"/>
      <c r="ED588"/>
      <c r="EE588"/>
      <c r="EF588"/>
      <c r="EG588"/>
      <c r="EH588"/>
      <c r="EI588"/>
      <c r="EJ588"/>
      <c r="EK588"/>
      <c r="EL588"/>
      <c r="EM588"/>
      <c r="EN588"/>
      <c r="EO588"/>
      <c r="EP588"/>
      <c r="EQ588"/>
      <c r="ER588"/>
      <c r="ES588"/>
      <c r="ET588"/>
      <c r="EU588"/>
      <c r="EV588"/>
      <c r="EW588"/>
      <c r="EX588"/>
      <c r="EY588"/>
      <c r="EZ588"/>
      <c r="FA588"/>
      <c r="FB588"/>
      <c r="FC588"/>
      <c r="FD588"/>
      <c r="FE588"/>
      <c r="FF588"/>
      <c r="FG588"/>
      <c r="FH588"/>
      <c r="FI588"/>
      <c r="FJ588"/>
      <c r="FK588"/>
      <c r="FL588"/>
      <c r="FM588"/>
      <c r="FN588"/>
      <c r="FO588"/>
      <c r="FP588"/>
      <c r="FQ588"/>
      <c r="FR588"/>
      <c r="FS588"/>
      <c r="FT588"/>
      <c r="FU588"/>
      <c r="FV588"/>
      <c r="FW588"/>
      <c r="FX588"/>
      <c r="FY588"/>
      <c r="FZ588"/>
      <c r="GA588"/>
      <c r="GB588"/>
      <c r="GC588"/>
      <c r="GD588"/>
      <c r="GE588"/>
      <c r="GF588"/>
      <c r="GG588"/>
      <c r="GH588"/>
      <c r="GI588"/>
      <c r="GJ588"/>
      <c r="GK588"/>
      <c r="GL588"/>
      <c r="GM588"/>
      <c r="GN588"/>
      <c r="GO588"/>
      <c r="GP588"/>
      <c r="GQ588"/>
      <c r="GR588"/>
      <c r="GS588"/>
      <c r="GT588"/>
      <c r="GU588"/>
      <c r="GV588"/>
      <c r="GW588"/>
      <c r="GX588"/>
      <c r="GY588"/>
      <c r="GZ588"/>
      <c r="HA588"/>
      <c r="HB588"/>
      <c r="HC588"/>
      <c r="HD588"/>
      <c r="HE588"/>
      <c r="HF588"/>
      <c r="HG588"/>
      <c r="HH588"/>
      <c r="HI588"/>
      <c r="HJ588"/>
      <c r="HK588"/>
      <c r="HL588"/>
      <c r="HM588"/>
      <c r="HN588"/>
      <c r="HO588"/>
      <c r="HP588"/>
      <c r="HQ588"/>
      <c r="HR588"/>
      <c r="HS588"/>
      <c r="HT588"/>
      <c r="HU588"/>
      <c r="HV588"/>
      <c r="HW588"/>
      <c r="HX588"/>
      <c r="HY588"/>
      <c r="HZ588"/>
      <c r="IA588"/>
      <c r="IB588"/>
      <c r="IC588"/>
      <c r="ID588"/>
      <c r="IE588"/>
      <c r="IF588"/>
      <c r="IG588"/>
      <c r="IH588"/>
      <c r="II588"/>
      <c r="IJ588"/>
      <c r="IK588"/>
      <c r="IL588"/>
      <c r="IM588"/>
      <c r="IN588"/>
      <c r="IO588"/>
      <c r="IP588"/>
      <c r="IQ588"/>
      <c r="IR588"/>
      <c r="IS588"/>
      <c r="IT588"/>
      <c r="IU588"/>
      <c r="IV588"/>
      <c r="IW588"/>
      <c r="IX588"/>
      <c r="IY588"/>
      <c r="IZ588"/>
      <c r="JA588"/>
      <c r="JB588"/>
      <c r="JC588"/>
      <c r="JD588"/>
      <c r="JE588"/>
      <c r="JF588"/>
      <c r="JG588"/>
      <c r="JH588"/>
      <c r="JI588"/>
      <c r="JJ588"/>
      <c r="JK588"/>
      <c r="JL588"/>
      <c r="JM588"/>
      <c r="JN588"/>
      <c r="JO588"/>
      <c r="JP588"/>
      <c r="JQ588"/>
      <c r="JR588"/>
      <c r="JS588"/>
      <c r="JT588"/>
      <c r="JU588"/>
      <c r="JV588"/>
      <c r="JW588"/>
      <c r="JX588"/>
      <c r="JY588"/>
      <c r="JZ588"/>
      <c r="KA588"/>
      <c r="KB588"/>
      <c r="KC588"/>
      <c r="KD588"/>
      <c r="KE588"/>
      <c r="KF588"/>
      <c r="KG588"/>
      <c r="KH588"/>
      <c r="KI588"/>
      <c r="KJ588"/>
      <c r="KK588"/>
      <c r="KL588"/>
      <c r="KM588"/>
      <c r="KN588"/>
      <c r="KO588"/>
      <c r="KP588"/>
      <c r="KQ588"/>
      <c r="KR588"/>
      <c r="KS588"/>
    </row>
    <row r="589" spans="2:305" hidden="1" x14ac:dyDescent="0.35">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c r="AL589"/>
      <c r="AM589"/>
      <c r="AN589"/>
      <c r="AO589"/>
      <c r="AP589"/>
      <c r="AQ589"/>
      <c r="AR589"/>
      <c r="AS589"/>
      <c r="AT589"/>
      <c r="AU589"/>
      <c r="AV589"/>
      <c r="AW589"/>
      <c r="AX589"/>
      <c r="AY589"/>
      <c r="AZ589"/>
      <c r="BA589"/>
      <c r="BB589"/>
      <c r="BC589"/>
      <c r="BD589"/>
      <c r="BE589"/>
      <c r="BF589"/>
      <c r="BG589"/>
      <c r="BH589"/>
      <c r="BI589"/>
      <c r="BJ589"/>
      <c r="BK589"/>
      <c r="BL589"/>
      <c r="BM589"/>
      <c r="BN589"/>
      <c r="BO589"/>
      <c r="BP589"/>
      <c r="BQ589"/>
      <c r="BR589"/>
      <c r="BS589"/>
      <c r="BT589"/>
      <c r="BU589"/>
      <c r="BV589"/>
      <c r="BW589"/>
      <c r="BX589"/>
      <c r="BY589"/>
      <c r="BZ589"/>
      <c r="CA589"/>
      <c r="CB589"/>
      <c r="CC589"/>
      <c r="CD589"/>
      <c r="CE589"/>
      <c r="CF589"/>
      <c r="CG589"/>
      <c r="CH589"/>
      <c r="CI589"/>
      <c r="CJ589"/>
      <c r="CK589"/>
      <c r="CL589"/>
      <c r="CM589"/>
      <c r="CN589"/>
      <c r="CO589"/>
      <c r="CP589"/>
      <c r="CQ589"/>
      <c r="CR589"/>
      <c r="CS589"/>
      <c r="CT589"/>
      <c r="CU589"/>
      <c r="CV589"/>
      <c r="CW589"/>
      <c r="CX589"/>
      <c r="CY589"/>
      <c r="CZ589"/>
      <c r="DA589"/>
      <c r="DB589"/>
      <c r="DC589"/>
      <c r="DD589"/>
      <c r="DE589"/>
      <c r="DF589"/>
      <c r="DG589"/>
      <c r="DH589"/>
      <c r="DI589"/>
      <c r="DJ589"/>
      <c r="DK589"/>
      <c r="DL589"/>
      <c r="DM589"/>
      <c r="DN589"/>
      <c r="DO589"/>
      <c r="DP589"/>
      <c r="DQ589"/>
      <c r="DR589"/>
      <c r="DS589"/>
      <c r="DT589"/>
      <c r="DU589"/>
      <c r="DV589"/>
      <c r="DW589"/>
      <c r="DX589"/>
      <c r="DY589"/>
      <c r="DZ589"/>
      <c r="EA589"/>
      <c r="EB589"/>
      <c r="EC589"/>
      <c r="ED589"/>
      <c r="EE589"/>
      <c r="EF589"/>
      <c r="EG589"/>
      <c r="EH589"/>
      <c r="EI589"/>
      <c r="EJ589"/>
      <c r="EK589"/>
      <c r="EL589"/>
      <c r="EM589"/>
      <c r="EN589"/>
      <c r="EO589"/>
      <c r="EP589"/>
      <c r="EQ589"/>
      <c r="ER589"/>
      <c r="ES589"/>
      <c r="ET589"/>
      <c r="EU589"/>
      <c r="EV589"/>
      <c r="EW589"/>
      <c r="EX589"/>
      <c r="EY589"/>
      <c r="EZ589"/>
      <c r="FA589"/>
      <c r="FB589"/>
      <c r="FC589"/>
      <c r="FD589"/>
      <c r="FE589"/>
      <c r="FF589"/>
      <c r="FG589"/>
      <c r="FH589"/>
      <c r="FI589"/>
      <c r="FJ589"/>
      <c r="FK589"/>
      <c r="FL589"/>
      <c r="FM589"/>
      <c r="FN589"/>
      <c r="FO589"/>
      <c r="FP589"/>
      <c r="FQ589"/>
      <c r="FR589"/>
      <c r="FS589"/>
      <c r="FT589"/>
      <c r="FU589"/>
      <c r="FV589"/>
      <c r="FW589"/>
      <c r="FX589"/>
      <c r="FY589"/>
      <c r="FZ589"/>
      <c r="GA589"/>
      <c r="GB589"/>
      <c r="GC589"/>
      <c r="GD589"/>
      <c r="GE589"/>
      <c r="GF589"/>
      <c r="GG589"/>
      <c r="GH589"/>
      <c r="GI589"/>
      <c r="GJ589"/>
      <c r="GK589"/>
      <c r="GL589"/>
      <c r="GM589"/>
      <c r="GN589"/>
      <c r="GO589"/>
      <c r="GP589"/>
      <c r="GQ589"/>
      <c r="GR589"/>
      <c r="GS589"/>
      <c r="GT589"/>
      <c r="GU589"/>
      <c r="GV589"/>
      <c r="GW589"/>
      <c r="GX589"/>
      <c r="GY589"/>
      <c r="GZ589"/>
      <c r="HA589"/>
      <c r="HB589"/>
      <c r="HC589"/>
      <c r="HD589"/>
      <c r="HE589"/>
      <c r="HF589"/>
      <c r="HG589"/>
      <c r="HH589"/>
      <c r="HI589"/>
      <c r="HJ589"/>
      <c r="HK589"/>
      <c r="HL589"/>
      <c r="HM589"/>
      <c r="HN589"/>
      <c r="HO589"/>
      <c r="HP589"/>
      <c r="HQ589"/>
      <c r="HR589"/>
      <c r="HS589"/>
      <c r="HT589"/>
      <c r="HU589"/>
      <c r="HV589"/>
      <c r="HW589"/>
      <c r="HX589"/>
      <c r="HY589"/>
      <c r="HZ589"/>
      <c r="IA589"/>
      <c r="IB589"/>
      <c r="IC589"/>
      <c r="ID589"/>
      <c r="IE589"/>
      <c r="IF589"/>
      <c r="IG589"/>
      <c r="IH589"/>
      <c r="II589"/>
      <c r="IJ589"/>
      <c r="IK589"/>
      <c r="IL589"/>
      <c r="IM589"/>
      <c r="IN589"/>
      <c r="IO589"/>
      <c r="IP589"/>
      <c r="IQ589"/>
      <c r="IR589"/>
      <c r="IS589"/>
      <c r="IT589"/>
      <c r="IU589"/>
      <c r="IV589"/>
      <c r="IW589"/>
      <c r="IX589"/>
      <c r="IY589"/>
      <c r="IZ589"/>
      <c r="JA589"/>
      <c r="JB589"/>
      <c r="JC589"/>
      <c r="JD589"/>
      <c r="JE589"/>
      <c r="JF589"/>
      <c r="JG589"/>
      <c r="JH589"/>
      <c r="JI589"/>
      <c r="JJ589"/>
      <c r="JK589"/>
      <c r="JL589"/>
      <c r="JM589"/>
      <c r="JN589"/>
      <c r="JO589"/>
      <c r="JP589"/>
      <c r="JQ589"/>
      <c r="JR589"/>
      <c r="JS589"/>
      <c r="JT589"/>
      <c r="JU589"/>
      <c r="JV589"/>
      <c r="JW589"/>
      <c r="JX589"/>
      <c r="JY589"/>
      <c r="JZ589"/>
      <c r="KA589"/>
      <c r="KB589"/>
      <c r="KC589"/>
      <c r="KD589"/>
      <c r="KE589"/>
      <c r="KF589"/>
      <c r="KG589"/>
      <c r="KH589"/>
      <c r="KI589"/>
      <c r="KJ589"/>
      <c r="KK589"/>
      <c r="KL589"/>
      <c r="KM589"/>
      <c r="KN589"/>
      <c r="KO589"/>
      <c r="KP589"/>
      <c r="KQ589"/>
      <c r="KR589"/>
      <c r="KS589"/>
    </row>
    <row r="590" spans="2:305" hidden="1" x14ac:dyDescent="0.35">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c r="AL590"/>
      <c r="AM590"/>
      <c r="AN590"/>
      <c r="AO590"/>
      <c r="AP590"/>
      <c r="AQ590"/>
      <c r="AR590"/>
      <c r="AS590"/>
      <c r="AT590"/>
      <c r="AU590"/>
      <c r="AV590"/>
      <c r="AW590"/>
      <c r="AX590"/>
      <c r="AY590"/>
      <c r="AZ590"/>
      <c r="BA590"/>
      <c r="BB590"/>
      <c r="BC590"/>
      <c r="BD590"/>
      <c r="BE590"/>
      <c r="BF590"/>
      <c r="BG590"/>
      <c r="BH590"/>
      <c r="BI590"/>
      <c r="BJ590"/>
      <c r="BK590"/>
      <c r="BL590"/>
      <c r="BM590"/>
      <c r="BN590"/>
      <c r="BO590"/>
      <c r="BP590"/>
      <c r="BQ590"/>
      <c r="BR590"/>
      <c r="BS590"/>
      <c r="BT590"/>
      <c r="BU590"/>
      <c r="BV590"/>
      <c r="BW590"/>
      <c r="BX590"/>
      <c r="BY590"/>
      <c r="BZ590"/>
      <c r="CA590"/>
      <c r="CB590"/>
      <c r="CC590"/>
      <c r="CD590"/>
      <c r="CE590"/>
      <c r="CF590"/>
      <c r="CG590"/>
      <c r="CH590"/>
      <c r="CI590"/>
      <c r="CJ590"/>
      <c r="CK590"/>
      <c r="CL590"/>
      <c r="CM590"/>
      <c r="CN590"/>
      <c r="CO590"/>
      <c r="CP590"/>
      <c r="CQ590"/>
      <c r="CR590"/>
      <c r="CS590"/>
      <c r="CT590"/>
      <c r="CU590"/>
      <c r="CV590"/>
      <c r="CW590"/>
      <c r="CX590"/>
      <c r="CY590"/>
      <c r="CZ590"/>
      <c r="DA590"/>
      <c r="DB590"/>
      <c r="DC590"/>
      <c r="DD590"/>
      <c r="DE590"/>
      <c r="DF590"/>
      <c r="DG590"/>
      <c r="DH590"/>
      <c r="DI590"/>
      <c r="DJ590"/>
      <c r="DK590"/>
      <c r="DL590"/>
      <c r="DM590"/>
      <c r="DN590"/>
      <c r="DO590"/>
      <c r="DP590"/>
      <c r="DQ590"/>
      <c r="DR590"/>
      <c r="DS590"/>
      <c r="DT590"/>
      <c r="DU590"/>
      <c r="DV590"/>
      <c r="DW590"/>
      <c r="DX590"/>
      <c r="DY590"/>
      <c r="DZ590"/>
      <c r="EA590"/>
      <c r="EB590"/>
      <c r="EC590"/>
      <c r="ED590"/>
      <c r="EE590"/>
      <c r="EF590"/>
      <c r="EG590"/>
      <c r="EH590"/>
      <c r="EI590"/>
      <c r="EJ590"/>
      <c r="EK590"/>
      <c r="EL590"/>
      <c r="EM590"/>
      <c r="EN590"/>
      <c r="EO590"/>
      <c r="EP590"/>
      <c r="EQ590"/>
      <c r="ER590"/>
      <c r="ES590"/>
      <c r="ET590"/>
      <c r="EU590"/>
      <c r="EV590"/>
      <c r="EW590"/>
      <c r="EX590"/>
      <c r="EY590"/>
      <c r="EZ590"/>
      <c r="FA590"/>
      <c r="FB590"/>
      <c r="FC590"/>
      <c r="FD590"/>
      <c r="FE590"/>
      <c r="FF590"/>
      <c r="FG590"/>
      <c r="FH590"/>
      <c r="FI590"/>
      <c r="FJ590"/>
      <c r="FK590"/>
      <c r="FL590"/>
      <c r="FM590"/>
      <c r="FN590"/>
      <c r="FO590"/>
      <c r="FP590"/>
      <c r="FQ590"/>
      <c r="FR590"/>
      <c r="FS590"/>
      <c r="FT590"/>
      <c r="FU590"/>
      <c r="FV590"/>
      <c r="FW590"/>
      <c r="FX590"/>
      <c r="FY590"/>
      <c r="FZ590"/>
      <c r="GA590"/>
      <c r="GB590"/>
      <c r="GC590"/>
      <c r="GD590"/>
      <c r="GE590"/>
      <c r="GF590"/>
      <c r="GG590"/>
      <c r="GH590"/>
      <c r="GI590"/>
      <c r="GJ590"/>
      <c r="GK590"/>
      <c r="GL590"/>
      <c r="GM590"/>
      <c r="GN590"/>
      <c r="GO590"/>
      <c r="GP590"/>
      <c r="GQ590"/>
      <c r="GR590"/>
      <c r="GS590"/>
      <c r="GT590"/>
      <c r="GU590"/>
      <c r="GV590"/>
      <c r="GW590"/>
      <c r="GX590"/>
      <c r="GY590"/>
      <c r="GZ590"/>
      <c r="HA590"/>
      <c r="HB590"/>
      <c r="HC590"/>
      <c r="HD590"/>
      <c r="HE590"/>
      <c r="HF590"/>
      <c r="HG590"/>
      <c r="HH590"/>
      <c r="HI590"/>
      <c r="HJ590"/>
      <c r="HK590"/>
      <c r="HL590"/>
      <c r="HM590"/>
      <c r="HN590"/>
      <c r="HO590"/>
      <c r="HP590"/>
      <c r="HQ590"/>
      <c r="HR590"/>
      <c r="HS590"/>
      <c r="HT590"/>
      <c r="HU590"/>
      <c r="HV590"/>
      <c r="HW590"/>
      <c r="HX590"/>
      <c r="HY590"/>
      <c r="HZ590"/>
      <c r="IA590"/>
      <c r="IB590"/>
      <c r="IC590"/>
      <c r="ID590"/>
      <c r="IE590"/>
      <c r="IF590"/>
      <c r="IG590"/>
      <c r="IH590"/>
      <c r="II590"/>
      <c r="IJ590"/>
      <c r="IK590"/>
      <c r="IL590"/>
      <c r="IM590"/>
      <c r="IN590"/>
      <c r="IO590"/>
      <c r="IP590"/>
      <c r="IQ590"/>
      <c r="IR590"/>
      <c r="IS590"/>
      <c r="IT590"/>
      <c r="IU590"/>
      <c r="IV590"/>
      <c r="IW590"/>
      <c r="IX590"/>
      <c r="IY590"/>
      <c r="IZ590"/>
      <c r="JA590"/>
      <c r="JB590"/>
      <c r="JC590"/>
      <c r="JD590"/>
      <c r="JE590"/>
      <c r="JF590"/>
      <c r="JG590"/>
      <c r="JH590"/>
      <c r="JI590"/>
      <c r="JJ590"/>
      <c r="JK590"/>
      <c r="JL590"/>
      <c r="JM590"/>
      <c r="JN590"/>
      <c r="JO590"/>
      <c r="JP590"/>
      <c r="JQ590"/>
      <c r="JR590"/>
      <c r="JS590"/>
      <c r="JT590"/>
      <c r="JU590"/>
      <c r="JV590"/>
      <c r="JW590"/>
      <c r="JX590"/>
      <c r="JY590"/>
      <c r="JZ590"/>
      <c r="KA590"/>
      <c r="KB590"/>
      <c r="KC590"/>
      <c r="KD590"/>
      <c r="KE590"/>
      <c r="KF590"/>
      <c r="KG590"/>
      <c r="KH590"/>
      <c r="KI590"/>
      <c r="KJ590"/>
      <c r="KK590"/>
      <c r="KL590"/>
      <c r="KM590"/>
      <c r="KN590"/>
      <c r="KO590"/>
      <c r="KP590"/>
      <c r="KQ590"/>
      <c r="KR590"/>
      <c r="KS590"/>
    </row>
    <row r="591" spans="2:305" hidden="1" x14ac:dyDescent="0.35">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c r="AL591"/>
      <c r="AM591"/>
      <c r="AN591"/>
      <c r="AO591"/>
      <c r="AP591"/>
      <c r="AQ591"/>
      <c r="AR591"/>
      <c r="AS591"/>
      <c r="AT591"/>
      <c r="AU591"/>
      <c r="AV591"/>
      <c r="AW591"/>
      <c r="AX591"/>
      <c r="AY591"/>
      <c r="AZ591"/>
      <c r="BA591"/>
      <c r="BB591"/>
      <c r="BC591"/>
      <c r="BD591"/>
      <c r="BE591"/>
      <c r="BF591"/>
      <c r="BG591"/>
      <c r="BH591"/>
      <c r="BI591"/>
      <c r="BJ591"/>
      <c r="BK591"/>
      <c r="BL591"/>
      <c r="BM591"/>
      <c r="BN591"/>
      <c r="BO591"/>
      <c r="BP591"/>
      <c r="BQ591"/>
      <c r="BR591"/>
      <c r="BS591"/>
      <c r="BT591"/>
      <c r="BU591"/>
      <c r="BV591"/>
      <c r="BW591"/>
      <c r="BX591"/>
      <c r="BY591"/>
      <c r="BZ591"/>
      <c r="CA591"/>
      <c r="CB591"/>
      <c r="CC591"/>
      <c r="CD591"/>
      <c r="CE591"/>
      <c r="CF591"/>
      <c r="CG591"/>
      <c r="CH591"/>
      <c r="CI591"/>
      <c r="CJ591"/>
      <c r="CK591"/>
      <c r="CL591"/>
      <c r="CM591"/>
      <c r="CN591"/>
      <c r="CO591"/>
      <c r="CP591"/>
      <c r="CQ591"/>
      <c r="CR591"/>
      <c r="CS591"/>
      <c r="CT591"/>
      <c r="CU591"/>
      <c r="CV591"/>
      <c r="CW591"/>
      <c r="CX591"/>
      <c r="CY591"/>
      <c r="CZ591"/>
      <c r="DA591"/>
      <c r="DB591"/>
      <c r="DC591"/>
      <c r="DD591"/>
      <c r="DE591"/>
      <c r="DF591"/>
      <c r="DG591"/>
      <c r="DH591"/>
      <c r="DI591"/>
      <c r="DJ591"/>
      <c r="DK591"/>
      <c r="DL591"/>
      <c r="DM591"/>
      <c r="DN591"/>
      <c r="DO591"/>
      <c r="DP591"/>
      <c r="DQ591"/>
      <c r="DR591"/>
      <c r="DS591"/>
      <c r="DT591"/>
      <c r="DU591"/>
      <c r="DV591"/>
      <c r="DW591"/>
      <c r="DX591"/>
      <c r="DY591"/>
      <c r="DZ591"/>
      <c r="EA591"/>
      <c r="EB591"/>
      <c r="EC591"/>
      <c r="ED591"/>
      <c r="EE591"/>
      <c r="EF591"/>
      <c r="EG591"/>
      <c r="EH591"/>
      <c r="EI591"/>
      <c r="EJ591"/>
      <c r="EK591"/>
      <c r="EL591"/>
      <c r="EM591"/>
      <c r="EN591"/>
      <c r="EO591"/>
      <c r="EP591"/>
      <c r="EQ591"/>
      <c r="ER591"/>
      <c r="ES591"/>
      <c r="ET591"/>
      <c r="EU591"/>
      <c r="EV591"/>
      <c r="EW591"/>
      <c r="EX591"/>
      <c r="EY591"/>
      <c r="EZ591"/>
      <c r="FA591"/>
      <c r="FB591"/>
      <c r="FC591"/>
      <c r="FD591"/>
      <c r="FE591"/>
      <c r="FF591"/>
      <c r="FG591"/>
      <c r="FH591"/>
      <c r="FI591"/>
      <c r="FJ591"/>
      <c r="FK591"/>
      <c r="FL591"/>
      <c r="FM591"/>
      <c r="FN591"/>
      <c r="FO591"/>
      <c r="FP591"/>
      <c r="FQ591"/>
      <c r="FR591"/>
      <c r="FS591"/>
      <c r="FT591"/>
      <c r="FU591"/>
      <c r="FV591"/>
      <c r="FW591"/>
      <c r="FX591"/>
      <c r="FY591"/>
      <c r="FZ591"/>
      <c r="GA591"/>
      <c r="GB591"/>
      <c r="GC591"/>
      <c r="GD591"/>
      <c r="GE591"/>
      <c r="GF591"/>
      <c r="GG591"/>
      <c r="GH591"/>
      <c r="GI591"/>
      <c r="GJ591"/>
      <c r="GK591"/>
      <c r="GL591"/>
      <c r="GM591"/>
      <c r="GN591"/>
      <c r="GO591"/>
      <c r="GP591"/>
      <c r="GQ591"/>
      <c r="GR591"/>
      <c r="GS591"/>
      <c r="GT591"/>
      <c r="GU591"/>
      <c r="GV591"/>
      <c r="GW591"/>
      <c r="GX591"/>
      <c r="GY591"/>
      <c r="GZ591"/>
      <c r="HA591"/>
      <c r="HB591"/>
      <c r="HC591"/>
      <c r="HD591"/>
      <c r="HE591"/>
      <c r="HF591"/>
      <c r="HG591"/>
      <c r="HH591"/>
      <c r="HI591"/>
      <c r="HJ591"/>
      <c r="HK591"/>
      <c r="HL591"/>
      <c r="HM591"/>
      <c r="HN591"/>
      <c r="HO591"/>
      <c r="HP591"/>
      <c r="HQ591"/>
      <c r="HR591"/>
      <c r="HS591"/>
      <c r="HT591"/>
      <c r="HU591"/>
      <c r="HV591"/>
      <c r="HW591"/>
      <c r="HX591"/>
      <c r="HY591"/>
      <c r="HZ591"/>
      <c r="IA591"/>
      <c r="IB591"/>
      <c r="IC591"/>
      <c r="ID591"/>
      <c r="IE591"/>
      <c r="IF591"/>
      <c r="IG591"/>
      <c r="IH591"/>
      <c r="II591"/>
      <c r="IJ591"/>
      <c r="IK591"/>
      <c r="IL591"/>
      <c r="IM591"/>
      <c r="IN591"/>
      <c r="IO591"/>
      <c r="IP591"/>
      <c r="IQ591"/>
      <c r="IR591"/>
      <c r="IS591"/>
      <c r="IT591"/>
      <c r="IU591"/>
      <c r="IV591"/>
      <c r="IW591"/>
      <c r="IX591"/>
      <c r="IY591"/>
      <c r="IZ591"/>
      <c r="JA591"/>
      <c r="JB591"/>
      <c r="JC591"/>
      <c r="JD591"/>
      <c r="JE591"/>
      <c r="JF591"/>
      <c r="JG591"/>
      <c r="JH591"/>
      <c r="JI591"/>
      <c r="JJ591"/>
      <c r="JK591"/>
      <c r="JL591"/>
      <c r="JM591"/>
      <c r="JN591"/>
      <c r="JO591"/>
      <c r="JP591"/>
      <c r="JQ591"/>
      <c r="JR591"/>
      <c r="JS591"/>
      <c r="JT591"/>
      <c r="JU591"/>
      <c r="JV591"/>
      <c r="JW591"/>
      <c r="JX591"/>
      <c r="JY591"/>
      <c r="JZ591"/>
      <c r="KA591"/>
      <c r="KB591"/>
      <c r="KC591"/>
      <c r="KD591"/>
      <c r="KE591"/>
      <c r="KF591"/>
      <c r="KG591"/>
      <c r="KH591"/>
      <c r="KI591"/>
      <c r="KJ591"/>
      <c r="KK591"/>
      <c r="KL591"/>
      <c r="KM591"/>
      <c r="KN591"/>
      <c r="KO591"/>
      <c r="KP591"/>
      <c r="KQ591"/>
      <c r="KR591"/>
      <c r="KS591"/>
    </row>
    <row r="592" spans="2:305" hidden="1" x14ac:dyDescent="0.35">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c r="AL592"/>
      <c r="AM592"/>
      <c r="AN592"/>
      <c r="AO592"/>
      <c r="AP592"/>
      <c r="AQ592"/>
      <c r="AR592"/>
      <c r="AS592"/>
      <c r="AT592"/>
      <c r="AU592"/>
      <c r="AV592"/>
      <c r="AW592"/>
      <c r="AX592"/>
      <c r="AY592"/>
      <c r="AZ592"/>
      <c r="BA592"/>
      <c r="BB592"/>
      <c r="BC592"/>
      <c r="BD592"/>
      <c r="BE592"/>
      <c r="BF592"/>
      <c r="BG592"/>
      <c r="BH592"/>
      <c r="BI592"/>
      <c r="BJ592"/>
      <c r="BK592"/>
      <c r="BL592"/>
      <c r="BM592"/>
      <c r="BN592"/>
      <c r="BO592"/>
      <c r="BP592"/>
      <c r="BQ592"/>
      <c r="BR592"/>
      <c r="BS592"/>
      <c r="BT592"/>
      <c r="BU592"/>
      <c r="BV592"/>
      <c r="BW592"/>
      <c r="BX592"/>
      <c r="BY592"/>
      <c r="BZ592"/>
      <c r="CA592"/>
      <c r="CB592"/>
      <c r="CC592"/>
      <c r="CD592"/>
      <c r="CE592"/>
      <c r="CF592"/>
      <c r="CG592"/>
      <c r="CH592"/>
      <c r="CI592"/>
      <c r="CJ592"/>
      <c r="CK592"/>
      <c r="CL592"/>
      <c r="CM592"/>
      <c r="CN592"/>
      <c r="CO592"/>
      <c r="CP592"/>
      <c r="CQ592"/>
      <c r="CR592"/>
      <c r="CS592"/>
      <c r="CT592"/>
      <c r="CU592"/>
      <c r="CV592"/>
      <c r="CW592"/>
      <c r="CX592"/>
      <c r="CY592"/>
      <c r="CZ592"/>
      <c r="DA592"/>
      <c r="DB592"/>
      <c r="DC592"/>
      <c r="DD592"/>
      <c r="DE592"/>
      <c r="DF592"/>
      <c r="DG592"/>
      <c r="DH592"/>
      <c r="DI592"/>
      <c r="DJ592"/>
      <c r="DK592"/>
      <c r="DL592"/>
      <c r="DM592"/>
      <c r="DN592"/>
      <c r="DO592"/>
      <c r="DP592"/>
      <c r="DQ592"/>
      <c r="DR592"/>
      <c r="DS592"/>
      <c r="DT592"/>
      <c r="DU592"/>
      <c r="DV592"/>
      <c r="DW592"/>
      <c r="DX592"/>
      <c r="DY592"/>
      <c r="DZ592"/>
      <c r="EA592"/>
      <c r="EB592"/>
      <c r="EC592"/>
      <c r="ED592"/>
      <c r="EE592"/>
      <c r="EF592"/>
      <c r="EG592"/>
      <c r="EH592"/>
      <c r="EI592"/>
      <c r="EJ592"/>
      <c r="EK592"/>
      <c r="EL592"/>
      <c r="EM592"/>
      <c r="EN592"/>
      <c r="EO592"/>
      <c r="EP592"/>
      <c r="EQ592"/>
      <c r="ER592"/>
      <c r="ES592"/>
      <c r="ET592"/>
      <c r="EU592"/>
      <c r="EV592"/>
      <c r="EW592"/>
      <c r="EX592"/>
      <c r="EY592"/>
      <c r="EZ592"/>
      <c r="FA592"/>
      <c r="FB592"/>
      <c r="FC592"/>
      <c r="FD592"/>
      <c r="FE592"/>
      <c r="FF592"/>
      <c r="FG592"/>
      <c r="FH592"/>
      <c r="FI592"/>
      <c r="FJ592"/>
      <c r="FK592"/>
      <c r="FL592"/>
      <c r="FM592"/>
      <c r="FN592"/>
      <c r="FO592"/>
      <c r="FP592"/>
      <c r="FQ592"/>
      <c r="FR592"/>
      <c r="FS592"/>
      <c r="FT592"/>
      <c r="FU592"/>
      <c r="FV592"/>
      <c r="FW592"/>
      <c r="FX592"/>
      <c r="FY592"/>
      <c r="FZ592"/>
      <c r="GA592"/>
      <c r="GB592"/>
      <c r="GC592"/>
      <c r="GD592"/>
      <c r="GE592"/>
      <c r="GF592"/>
      <c r="GG592"/>
      <c r="GH592"/>
      <c r="GI592"/>
      <c r="GJ592"/>
      <c r="GK592"/>
      <c r="GL592"/>
      <c r="GM592"/>
      <c r="GN592"/>
      <c r="GO592"/>
      <c r="GP592"/>
      <c r="GQ592"/>
      <c r="GR592"/>
      <c r="GS592"/>
      <c r="GT592"/>
      <c r="GU592"/>
      <c r="GV592"/>
      <c r="GW592"/>
      <c r="GX592"/>
      <c r="GY592"/>
      <c r="GZ592"/>
      <c r="HA592"/>
      <c r="HB592"/>
      <c r="HC592"/>
      <c r="HD592"/>
      <c r="HE592"/>
      <c r="HF592"/>
      <c r="HG592"/>
      <c r="HH592"/>
      <c r="HI592"/>
      <c r="HJ592"/>
      <c r="HK592"/>
      <c r="HL592"/>
      <c r="HM592"/>
      <c r="HN592"/>
      <c r="HO592"/>
      <c r="HP592"/>
      <c r="HQ592"/>
      <c r="HR592"/>
      <c r="HS592"/>
      <c r="HT592"/>
      <c r="HU592"/>
      <c r="HV592"/>
      <c r="HW592"/>
      <c r="HX592"/>
      <c r="HY592"/>
      <c r="HZ592"/>
      <c r="IA592"/>
      <c r="IB592"/>
      <c r="IC592"/>
      <c r="ID592"/>
      <c r="IE592"/>
      <c r="IF592"/>
      <c r="IG592"/>
      <c r="IH592"/>
      <c r="II592"/>
      <c r="IJ592"/>
      <c r="IK592"/>
      <c r="IL592"/>
      <c r="IM592"/>
      <c r="IN592"/>
      <c r="IO592"/>
      <c r="IP592"/>
      <c r="IQ592"/>
      <c r="IR592"/>
      <c r="IS592"/>
      <c r="IT592"/>
      <c r="IU592"/>
      <c r="IV592"/>
      <c r="IW592"/>
      <c r="IX592"/>
      <c r="IY592"/>
      <c r="IZ592"/>
      <c r="JA592"/>
      <c r="JB592"/>
      <c r="JC592"/>
      <c r="JD592"/>
      <c r="JE592"/>
      <c r="JF592"/>
      <c r="JG592"/>
      <c r="JH592"/>
      <c r="JI592"/>
      <c r="JJ592"/>
      <c r="JK592"/>
      <c r="JL592"/>
      <c r="JM592"/>
      <c r="JN592"/>
      <c r="JO592"/>
      <c r="JP592"/>
      <c r="JQ592"/>
      <c r="JR592"/>
      <c r="JS592"/>
      <c r="JT592"/>
      <c r="JU592"/>
      <c r="JV592"/>
      <c r="JW592"/>
      <c r="JX592"/>
      <c r="JY592"/>
      <c r="JZ592"/>
      <c r="KA592"/>
      <c r="KB592"/>
      <c r="KC592"/>
      <c r="KD592"/>
      <c r="KE592"/>
      <c r="KF592"/>
      <c r="KG592"/>
      <c r="KH592"/>
      <c r="KI592"/>
      <c r="KJ592"/>
      <c r="KK592"/>
      <c r="KL592"/>
      <c r="KM592"/>
      <c r="KN592"/>
      <c r="KO592"/>
      <c r="KP592"/>
      <c r="KQ592"/>
      <c r="KR592"/>
      <c r="KS592"/>
    </row>
    <row r="593" spans="2:305" hidden="1" x14ac:dyDescent="0.35">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c r="AL593"/>
      <c r="AM593"/>
      <c r="AN593"/>
      <c r="AO593"/>
      <c r="AP593"/>
      <c r="AQ593"/>
      <c r="AR593"/>
      <c r="AS593"/>
      <c r="AT593"/>
      <c r="AU593"/>
      <c r="AV593"/>
      <c r="AW593"/>
      <c r="AX593"/>
      <c r="AY593"/>
      <c r="AZ593"/>
      <c r="BA593"/>
      <c r="BB593"/>
      <c r="BC593"/>
      <c r="BD593"/>
      <c r="BE593"/>
      <c r="BF593"/>
      <c r="BG593"/>
      <c r="BH593"/>
      <c r="BI593"/>
      <c r="BJ593"/>
      <c r="BK593"/>
      <c r="BL593"/>
      <c r="BM593"/>
      <c r="BN593"/>
      <c r="BO593"/>
      <c r="BP593"/>
      <c r="BQ593"/>
      <c r="BR593"/>
      <c r="BS593"/>
      <c r="BT593"/>
      <c r="BU593"/>
      <c r="BV593"/>
      <c r="BW593"/>
      <c r="BX593"/>
      <c r="BY593"/>
      <c r="BZ593"/>
      <c r="CA593"/>
      <c r="CB593"/>
      <c r="CC593"/>
      <c r="CD593"/>
      <c r="CE593"/>
      <c r="CF593"/>
      <c r="CG593"/>
      <c r="CH593"/>
      <c r="CI593"/>
      <c r="CJ593"/>
      <c r="CK593"/>
      <c r="CL593"/>
      <c r="CM593"/>
      <c r="CN593"/>
      <c r="CO593"/>
      <c r="CP593"/>
      <c r="CQ593"/>
      <c r="CR593"/>
      <c r="CS593"/>
      <c r="CT593"/>
      <c r="CU593"/>
      <c r="CV593"/>
      <c r="CW593"/>
      <c r="CX593"/>
      <c r="CY593"/>
      <c r="CZ593"/>
      <c r="DA593"/>
      <c r="DB593"/>
      <c r="DC593"/>
      <c r="DD593"/>
      <c r="DE593"/>
      <c r="DF593"/>
      <c r="DG593"/>
      <c r="DH593"/>
      <c r="DI593"/>
      <c r="DJ593"/>
      <c r="DK593"/>
      <c r="DL593"/>
      <c r="DM593"/>
      <c r="DN593"/>
      <c r="DO593"/>
      <c r="DP593"/>
      <c r="DQ593"/>
      <c r="DR593"/>
      <c r="DS593"/>
      <c r="DT593"/>
      <c r="DU593"/>
      <c r="DV593"/>
      <c r="DW593"/>
      <c r="DX593"/>
      <c r="DY593"/>
      <c r="DZ593"/>
      <c r="EA593"/>
      <c r="EB593"/>
      <c r="EC593"/>
      <c r="ED593"/>
      <c r="EE593"/>
      <c r="EF593"/>
      <c r="EG593"/>
      <c r="EH593"/>
      <c r="EI593"/>
      <c r="EJ593"/>
      <c r="EK593"/>
      <c r="EL593"/>
      <c r="EM593"/>
      <c r="EN593"/>
      <c r="EO593"/>
      <c r="EP593"/>
      <c r="EQ593"/>
      <c r="ER593"/>
      <c r="ES593"/>
      <c r="ET593"/>
      <c r="EU593"/>
      <c r="EV593"/>
      <c r="EW593"/>
      <c r="EX593"/>
      <c r="EY593"/>
      <c r="EZ593"/>
      <c r="FA593"/>
      <c r="FB593"/>
      <c r="FC593"/>
      <c r="FD593"/>
      <c r="FE593"/>
      <c r="FF593"/>
      <c r="FG593"/>
      <c r="FH593"/>
      <c r="FI593"/>
      <c r="FJ593"/>
      <c r="FK593"/>
      <c r="FL593"/>
      <c r="FM593"/>
      <c r="FN593"/>
      <c r="FO593"/>
      <c r="FP593"/>
      <c r="FQ593"/>
      <c r="FR593"/>
      <c r="FS593"/>
      <c r="FT593"/>
      <c r="FU593"/>
      <c r="FV593"/>
      <c r="FW593"/>
      <c r="FX593"/>
      <c r="FY593"/>
      <c r="FZ593"/>
      <c r="GA593"/>
      <c r="GB593"/>
      <c r="GC593"/>
      <c r="GD593"/>
      <c r="GE593"/>
      <c r="GF593"/>
      <c r="GG593"/>
      <c r="GH593"/>
      <c r="GI593"/>
      <c r="GJ593"/>
      <c r="GK593"/>
      <c r="GL593"/>
      <c r="GM593"/>
      <c r="GN593"/>
      <c r="GO593"/>
      <c r="GP593"/>
      <c r="GQ593"/>
      <c r="GR593"/>
      <c r="GS593"/>
      <c r="GT593"/>
      <c r="GU593"/>
      <c r="GV593"/>
      <c r="GW593"/>
      <c r="GX593"/>
      <c r="GY593"/>
      <c r="GZ593"/>
      <c r="HA593"/>
      <c r="HB593"/>
      <c r="HC593"/>
      <c r="HD593"/>
      <c r="HE593"/>
      <c r="HF593"/>
      <c r="HG593"/>
      <c r="HH593"/>
      <c r="HI593"/>
      <c r="HJ593"/>
      <c r="HK593"/>
      <c r="HL593"/>
      <c r="HM593"/>
      <c r="HN593"/>
      <c r="HO593"/>
      <c r="HP593"/>
      <c r="HQ593"/>
      <c r="HR593"/>
      <c r="HS593"/>
      <c r="HT593"/>
      <c r="HU593"/>
      <c r="HV593"/>
      <c r="HW593"/>
      <c r="HX593"/>
      <c r="HY593"/>
      <c r="HZ593"/>
      <c r="IA593"/>
      <c r="IB593"/>
      <c r="IC593"/>
      <c r="ID593"/>
      <c r="IE593"/>
      <c r="IF593"/>
      <c r="IG593"/>
      <c r="IH593"/>
      <c r="II593"/>
      <c r="IJ593"/>
      <c r="IK593"/>
      <c r="IL593"/>
      <c r="IM593"/>
      <c r="IN593"/>
      <c r="IO593"/>
      <c r="IP593"/>
      <c r="IQ593"/>
      <c r="IR593"/>
      <c r="IS593"/>
      <c r="IT593"/>
      <c r="IU593"/>
      <c r="IV593"/>
      <c r="IW593"/>
      <c r="IX593"/>
      <c r="IY593"/>
      <c r="IZ593"/>
      <c r="JA593"/>
      <c r="JB593"/>
      <c r="JC593"/>
      <c r="JD593"/>
      <c r="JE593"/>
      <c r="JF593"/>
      <c r="JG593"/>
      <c r="JH593"/>
      <c r="JI593"/>
      <c r="JJ593"/>
      <c r="JK593"/>
      <c r="JL593"/>
      <c r="JM593"/>
      <c r="JN593"/>
      <c r="JO593"/>
      <c r="JP593"/>
      <c r="JQ593"/>
      <c r="JR593"/>
      <c r="JS593"/>
      <c r="JT593"/>
      <c r="JU593"/>
      <c r="JV593"/>
      <c r="JW593"/>
      <c r="JX593"/>
      <c r="JY593"/>
      <c r="JZ593"/>
      <c r="KA593"/>
      <c r="KB593"/>
      <c r="KC593"/>
      <c r="KD593"/>
      <c r="KE593"/>
      <c r="KF593"/>
      <c r="KG593"/>
      <c r="KH593"/>
      <c r="KI593"/>
      <c r="KJ593"/>
      <c r="KK593"/>
      <c r="KL593"/>
      <c r="KM593"/>
      <c r="KN593"/>
      <c r="KO593"/>
      <c r="KP593"/>
      <c r="KQ593"/>
      <c r="KR593"/>
      <c r="KS593"/>
    </row>
    <row r="594" spans="2:305" hidden="1" x14ac:dyDescent="0.35">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c r="AL594"/>
      <c r="AM594"/>
      <c r="AN594"/>
      <c r="AO594"/>
      <c r="AP594"/>
      <c r="AQ594"/>
      <c r="AR594"/>
      <c r="AS594"/>
      <c r="AT594"/>
      <c r="AU594"/>
      <c r="AV594"/>
      <c r="AW594"/>
      <c r="AX594"/>
      <c r="AY594"/>
      <c r="AZ594"/>
      <c r="BA594"/>
      <c r="BB594"/>
      <c r="BC594"/>
      <c r="BD594"/>
      <c r="BE594"/>
      <c r="BF594"/>
      <c r="BG594"/>
      <c r="BH594"/>
      <c r="BI594"/>
      <c r="BJ594"/>
      <c r="BK594"/>
      <c r="BL594"/>
      <c r="BM594"/>
      <c r="BN594"/>
      <c r="BO594"/>
      <c r="BP594"/>
      <c r="BQ594"/>
      <c r="BR594"/>
      <c r="BS594"/>
      <c r="BT594"/>
      <c r="BU594"/>
      <c r="BV594"/>
      <c r="BW594"/>
      <c r="BX594"/>
      <c r="BY594"/>
      <c r="BZ594"/>
      <c r="CA594"/>
      <c r="CB594"/>
      <c r="CC594"/>
      <c r="CD594"/>
      <c r="CE594"/>
      <c r="CF594"/>
      <c r="CG594"/>
      <c r="CH594"/>
      <c r="CI594"/>
      <c r="CJ594"/>
      <c r="CK594"/>
      <c r="CL594"/>
      <c r="CM594"/>
      <c r="CN594"/>
      <c r="CO594"/>
      <c r="CP594"/>
      <c r="CQ594"/>
      <c r="CR594"/>
      <c r="CS594"/>
      <c r="CT594"/>
      <c r="CU594"/>
      <c r="CV594"/>
      <c r="CW594"/>
      <c r="CX594"/>
      <c r="CY594"/>
      <c r="CZ594"/>
      <c r="DA594"/>
      <c r="DB594"/>
      <c r="DC594"/>
      <c r="DD594"/>
      <c r="DE594"/>
      <c r="DF594"/>
      <c r="DG594"/>
      <c r="DH594"/>
      <c r="DI594"/>
      <c r="DJ594"/>
      <c r="DK594"/>
      <c r="DL594"/>
      <c r="DM594"/>
      <c r="DN594"/>
      <c r="DO594"/>
      <c r="DP594"/>
      <c r="DQ594"/>
      <c r="DR594"/>
      <c r="DS594"/>
      <c r="DT594"/>
      <c r="DU594"/>
      <c r="DV594"/>
      <c r="DW594"/>
      <c r="DX594"/>
      <c r="DY594"/>
      <c r="DZ594"/>
      <c r="EA594"/>
      <c r="EB594"/>
      <c r="EC594"/>
      <c r="ED594"/>
      <c r="EE594"/>
      <c r="EF594"/>
      <c r="EG594"/>
      <c r="EH594"/>
      <c r="EI594"/>
      <c r="EJ594"/>
      <c r="EK594"/>
      <c r="EL594"/>
      <c r="EM594"/>
      <c r="EN594"/>
      <c r="EO594"/>
      <c r="EP594"/>
      <c r="EQ594"/>
      <c r="ER594"/>
      <c r="ES594"/>
      <c r="ET594"/>
      <c r="EU594"/>
      <c r="EV594"/>
      <c r="EW594"/>
      <c r="EX594"/>
      <c r="EY594"/>
      <c r="EZ594"/>
      <c r="FA594"/>
      <c r="FB594"/>
      <c r="FC594"/>
      <c r="FD594"/>
      <c r="FE594"/>
      <c r="FF594"/>
      <c r="FG594"/>
      <c r="FH594"/>
      <c r="FI594"/>
      <c r="FJ594"/>
      <c r="FK594"/>
      <c r="FL594"/>
      <c r="FM594"/>
      <c r="FN594"/>
      <c r="FO594"/>
      <c r="FP594"/>
      <c r="FQ594"/>
      <c r="FR594"/>
      <c r="FS594"/>
      <c r="FT594"/>
      <c r="FU594"/>
      <c r="FV594"/>
      <c r="FW594"/>
      <c r="FX594"/>
      <c r="FY594"/>
      <c r="FZ594"/>
      <c r="GA594"/>
      <c r="GB594"/>
      <c r="GC594"/>
      <c r="GD594"/>
      <c r="GE594"/>
      <c r="GF594"/>
      <c r="GG594"/>
      <c r="GH594"/>
      <c r="GI594"/>
      <c r="GJ594"/>
      <c r="GK594"/>
      <c r="GL594"/>
      <c r="GM594"/>
      <c r="GN594"/>
      <c r="GO594"/>
      <c r="GP594"/>
      <c r="GQ594"/>
      <c r="GR594"/>
      <c r="GS594"/>
      <c r="GT594"/>
      <c r="GU594"/>
      <c r="GV594"/>
      <c r="GW594"/>
      <c r="GX594"/>
      <c r="GY594"/>
      <c r="GZ594"/>
      <c r="HA594"/>
      <c r="HB594"/>
      <c r="HC594"/>
      <c r="HD594"/>
      <c r="HE594"/>
      <c r="HF594"/>
      <c r="HG594"/>
      <c r="HH594"/>
      <c r="HI594"/>
      <c r="HJ594"/>
      <c r="HK594"/>
      <c r="HL594"/>
      <c r="HM594"/>
      <c r="HN594"/>
      <c r="HO594"/>
      <c r="HP594"/>
      <c r="HQ594"/>
      <c r="HR594"/>
      <c r="HS594"/>
      <c r="HT594"/>
      <c r="HU594"/>
      <c r="HV594"/>
      <c r="HW594"/>
      <c r="HX594"/>
      <c r="HY594"/>
      <c r="HZ594"/>
      <c r="IA594"/>
      <c r="IB594"/>
      <c r="IC594"/>
      <c r="ID594"/>
      <c r="IE594"/>
      <c r="IF594"/>
      <c r="IG594"/>
      <c r="IH594"/>
      <c r="II594"/>
      <c r="IJ594"/>
      <c r="IK594"/>
      <c r="IL594"/>
      <c r="IM594"/>
      <c r="IN594"/>
      <c r="IO594"/>
      <c r="IP594"/>
      <c r="IQ594"/>
      <c r="IR594"/>
      <c r="IS594"/>
      <c r="IT594"/>
      <c r="IU594"/>
      <c r="IV594"/>
      <c r="IW594"/>
      <c r="IX594"/>
      <c r="IY594"/>
      <c r="IZ594"/>
      <c r="JA594"/>
      <c r="JB594"/>
      <c r="JC594"/>
      <c r="JD594"/>
      <c r="JE594"/>
      <c r="JF594"/>
      <c r="JG594"/>
      <c r="JH594"/>
      <c r="JI594"/>
      <c r="JJ594"/>
      <c r="JK594"/>
      <c r="JL594"/>
      <c r="JM594"/>
      <c r="JN594"/>
      <c r="JO594"/>
      <c r="JP594"/>
      <c r="JQ594"/>
      <c r="JR594"/>
      <c r="JS594"/>
      <c r="JT594"/>
      <c r="JU594"/>
      <c r="JV594"/>
      <c r="JW594"/>
      <c r="JX594"/>
      <c r="JY594"/>
      <c r="JZ594"/>
      <c r="KA594"/>
      <c r="KB594"/>
      <c r="KC594"/>
      <c r="KD594"/>
      <c r="KE594"/>
      <c r="KF594"/>
      <c r="KG594"/>
      <c r="KH594"/>
      <c r="KI594"/>
      <c r="KJ594"/>
      <c r="KK594"/>
      <c r="KL594"/>
      <c r="KM594"/>
      <c r="KN594"/>
      <c r="KO594"/>
      <c r="KP594"/>
      <c r="KQ594"/>
      <c r="KR594"/>
      <c r="KS594"/>
    </row>
    <row r="595" spans="2:305" hidden="1" x14ac:dyDescent="0.3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c r="AL595"/>
      <c r="AM595"/>
      <c r="AN595"/>
      <c r="AO595"/>
      <c r="AP595"/>
      <c r="AQ595"/>
      <c r="AR595"/>
      <c r="AS595"/>
      <c r="AT595"/>
      <c r="AU595"/>
      <c r="AV595"/>
      <c r="AW595"/>
      <c r="AX595"/>
      <c r="AY595"/>
      <c r="AZ595"/>
      <c r="BA595"/>
      <c r="BB595"/>
      <c r="BC595"/>
      <c r="BD595"/>
      <c r="BE595"/>
      <c r="BF595"/>
      <c r="BG595"/>
      <c r="BH595"/>
      <c r="BI595"/>
      <c r="BJ595"/>
      <c r="BK595"/>
      <c r="BL595"/>
      <c r="BM595"/>
      <c r="BN595"/>
      <c r="BO595"/>
      <c r="BP595"/>
      <c r="BQ595"/>
      <c r="BR595"/>
      <c r="BS595"/>
      <c r="BT595"/>
      <c r="BU595"/>
      <c r="BV595"/>
      <c r="BW595"/>
      <c r="BX595"/>
      <c r="BY595"/>
      <c r="BZ595"/>
      <c r="CA595"/>
      <c r="CB595"/>
      <c r="CC595"/>
      <c r="CD595"/>
      <c r="CE595"/>
      <c r="CF595"/>
      <c r="CG595"/>
      <c r="CH595"/>
      <c r="CI595"/>
      <c r="CJ595"/>
      <c r="CK595"/>
      <c r="CL595"/>
      <c r="CM595"/>
      <c r="CN595"/>
      <c r="CO595"/>
      <c r="CP595"/>
      <c r="CQ595"/>
      <c r="CR595"/>
      <c r="CS595"/>
      <c r="CT595"/>
      <c r="CU595"/>
      <c r="CV595"/>
      <c r="CW595"/>
      <c r="CX595"/>
      <c r="CY595"/>
      <c r="CZ595"/>
      <c r="DA595"/>
      <c r="DB595"/>
      <c r="DC595"/>
      <c r="DD595"/>
      <c r="DE595"/>
      <c r="DF595"/>
      <c r="DG595"/>
      <c r="DH595"/>
      <c r="DI595"/>
      <c r="DJ595"/>
      <c r="DK595"/>
      <c r="DL595"/>
      <c r="DM595"/>
      <c r="DN595"/>
      <c r="DO595"/>
      <c r="DP595"/>
      <c r="DQ595"/>
      <c r="DR595"/>
      <c r="DS595"/>
      <c r="DT595"/>
      <c r="DU595"/>
      <c r="DV595"/>
      <c r="DW595"/>
      <c r="DX595"/>
      <c r="DY595"/>
      <c r="DZ595"/>
      <c r="EA595"/>
      <c r="EB595"/>
      <c r="EC595"/>
      <c r="ED595"/>
      <c r="EE595"/>
      <c r="EF595"/>
      <c r="EG595"/>
      <c r="EH595"/>
      <c r="EI595"/>
      <c r="EJ595"/>
      <c r="EK595"/>
      <c r="EL595"/>
      <c r="EM595"/>
      <c r="EN595"/>
      <c r="EO595"/>
      <c r="EP595"/>
      <c r="EQ595"/>
      <c r="ER595"/>
      <c r="ES595"/>
      <c r="ET595"/>
      <c r="EU595"/>
      <c r="EV595"/>
      <c r="EW595"/>
      <c r="EX595"/>
      <c r="EY595"/>
      <c r="EZ595"/>
      <c r="FA595"/>
      <c r="FB595"/>
      <c r="FC595"/>
      <c r="FD595"/>
      <c r="FE595"/>
      <c r="FF595"/>
      <c r="FG595"/>
      <c r="FH595"/>
      <c r="FI595"/>
      <c r="FJ595"/>
      <c r="FK595"/>
      <c r="FL595"/>
      <c r="FM595"/>
      <c r="FN595"/>
      <c r="FO595"/>
      <c r="FP595"/>
      <c r="FQ595"/>
      <c r="FR595"/>
      <c r="FS595"/>
      <c r="FT595"/>
      <c r="FU595"/>
      <c r="FV595"/>
      <c r="FW595"/>
      <c r="FX595"/>
      <c r="FY595"/>
      <c r="FZ595"/>
      <c r="GA595"/>
      <c r="GB595"/>
      <c r="GC595"/>
      <c r="GD595"/>
      <c r="GE595"/>
      <c r="GF595"/>
      <c r="GG595"/>
      <c r="GH595"/>
      <c r="GI595"/>
      <c r="GJ595"/>
      <c r="GK595"/>
      <c r="GL595"/>
      <c r="GM595"/>
      <c r="GN595"/>
      <c r="GO595"/>
      <c r="GP595"/>
      <c r="GQ595"/>
      <c r="GR595"/>
      <c r="GS595"/>
      <c r="GT595"/>
      <c r="GU595"/>
      <c r="GV595"/>
      <c r="GW595"/>
      <c r="GX595"/>
      <c r="GY595"/>
      <c r="GZ595"/>
      <c r="HA595"/>
      <c r="HB595"/>
      <c r="HC595"/>
      <c r="HD595"/>
      <c r="HE595"/>
      <c r="HF595"/>
      <c r="HG595"/>
      <c r="HH595"/>
      <c r="HI595"/>
      <c r="HJ595"/>
      <c r="HK595"/>
      <c r="HL595"/>
      <c r="HM595"/>
      <c r="HN595"/>
      <c r="HO595"/>
      <c r="HP595"/>
      <c r="HQ595"/>
      <c r="HR595"/>
      <c r="HS595"/>
      <c r="HT595"/>
      <c r="HU595"/>
      <c r="HV595"/>
      <c r="HW595"/>
      <c r="HX595"/>
      <c r="HY595"/>
      <c r="HZ595"/>
      <c r="IA595"/>
      <c r="IB595"/>
      <c r="IC595"/>
      <c r="ID595"/>
      <c r="IE595"/>
      <c r="IF595"/>
      <c r="IG595"/>
      <c r="IH595"/>
      <c r="II595"/>
      <c r="IJ595"/>
      <c r="IK595"/>
      <c r="IL595"/>
      <c r="IM595"/>
      <c r="IN595"/>
      <c r="IO595"/>
      <c r="IP595"/>
      <c r="IQ595"/>
      <c r="IR595"/>
      <c r="IS595"/>
      <c r="IT595"/>
      <c r="IU595"/>
      <c r="IV595"/>
      <c r="IW595"/>
      <c r="IX595"/>
      <c r="IY595"/>
      <c r="IZ595"/>
      <c r="JA595"/>
      <c r="JB595"/>
      <c r="JC595"/>
      <c r="JD595"/>
      <c r="JE595"/>
      <c r="JF595"/>
      <c r="JG595"/>
      <c r="JH595"/>
      <c r="JI595"/>
      <c r="JJ595"/>
      <c r="JK595"/>
      <c r="JL595"/>
      <c r="JM595"/>
      <c r="JN595"/>
      <c r="JO595"/>
      <c r="JP595"/>
      <c r="JQ595"/>
      <c r="JR595"/>
      <c r="JS595"/>
      <c r="JT595"/>
      <c r="JU595"/>
      <c r="JV595"/>
      <c r="JW595"/>
      <c r="JX595"/>
      <c r="JY595"/>
      <c r="JZ595"/>
      <c r="KA595"/>
      <c r="KB595"/>
      <c r="KC595"/>
      <c r="KD595"/>
      <c r="KE595"/>
      <c r="KF595"/>
      <c r="KG595"/>
      <c r="KH595"/>
      <c r="KI595"/>
      <c r="KJ595"/>
      <c r="KK595"/>
      <c r="KL595"/>
      <c r="KM595"/>
      <c r="KN595"/>
      <c r="KO595"/>
      <c r="KP595"/>
      <c r="KQ595"/>
      <c r="KR595"/>
      <c r="KS595"/>
    </row>
    <row r="596" spans="2:305" hidden="1" x14ac:dyDescent="0.35">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c r="AL596"/>
      <c r="AM596"/>
      <c r="AN596"/>
      <c r="AO596"/>
      <c r="AP596"/>
      <c r="AQ596"/>
      <c r="AR596"/>
      <c r="AS596"/>
      <c r="AT596"/>
      <c r="AU596"/>
      <c r="AV596"/>
      <c r="AW596"/>
      <c r="AX596"/>
      <c r="AY596"/>
      <c r="AZ596"/>
      <c r="BA596"/>
      <c r="BB596"/>
      <c r="BC596"/>
      <c r="BD596"/>
      <c r="BE596"/>
      <c r="BF596"/>
      <c r="BG596"/>
      <c r="BH596"/>
      <c r="BI596"/>
      <c r="BJ596"/>
      <c r="BK596"/>
      <c r="BL596"/>
      <c r="BM596"/>
      <c r="BN596"/>
      <c r="BO596"/>
      <c r="BP596"/>
      <c r="BQ596"/>
      <c r="BR596"/>
      <c r="BS596"/>
      <c r="BT596"/>
      <c r="BU596"/>
      <c r="BV596"/>
      <c r="BW596"/>
      <c r="BX596"/>
      <c r="BY596"/>
      <c r="BZ596"/>
      <c r="CA596"/>
      <c r="CB596"/>
      <c r="CC596"/>
      <c r="CD596"/>
      <c r="CE596"/>
      <c r="CF596"/>
      <c r="CG596"/>
      <c r="CH596"/>
      <c r="CI596"/>
      <c r="CJ596"/>
      <c r="CK596"/>
      <c r="CL596"/>
      <c r="CM596"/>
      <c r="CN596"/>
      <c r="CO596"/>
      <c r="CP596"/>
      <c r="CQ596"/>
      <c r="CR596"/>
      <c r="CS596"/>
      <c r="CT596"/>
      <c r="CU596"/>
      <c r="CV596"/>
      <c r="CW596"/>
      <c r="CX596"/>
      <c r="CY596"/>
      <c r="CZ596"/>
      <c r="DA596"/>
      <c r="DB596"/>
      <c r="DC596"/>
      <c r="DD596"/>
      <c r="DE596"/>
      <c r="DF596"/>
      <c r="DG596"/>
      <c r="DH596"/>
      <c r="DI596"/>
      <c r="DJ596"/>
      <c r="DK596"/>
      <c r="DL596"/>
      <c r="DM596"/>
      <c r="DN596"/>
      <c r="DO596"/>
      <c r="DP596"/>
      <c r="DQ596"/>
      <c r="DR596"/>
      <c r="DS596"/>
      <c r="DT596"/>
      <c r="DU596"/>
      <c r="DV596"/>
      <c r="DW596"/>
      <c r="DX596"/>
      <c r="DY596"/>
      <c r="DZ596"/>
      <c r="EA596"/>
      <c r="EB596"/>
      <c r="EC596"/>
      <c r="ED596"/>
      <c r="EE596"/>
      <c r="EF596"/>
      <c r="EG596"/>
      <c r="EH596"/>
      <c r="EI596"/>
      <c r="EJ596"/>
      <c r="EK596"/>
      <c r="EL596"/>
      <c r="EM596"/>
      <c r="EN596"/>
      <c r="EO596"/>
      <c r="EP596"/>
      <c r="EQ596"/>
      <c r="ER596"/>
      <c r="ES596"/>
      <c r="ET596"/>
      <c r="EU596"/>
      <c r="EV596"/>
      <c r="EW596"/>
      <c r="EX596"/>
      <c r="EY596"/>
      <c r="EZ596"/>
      <c r="FA596"/>
      <c r="FB596"/>
      <c r="FC596"/>
      <c r="FD596"/>
      <c r="FE596"/>
      <c r="FF596"/>
      <c r="FG596"/>
      <c r="FH596"/>
      <c r="FI596"/>
      <c r="FJ596"/>
      <c r="FK596"/>
      <c r="FL596"/>
      <c r="FM596"/>
      <c r="FN596"/>
      <c r="FO596"/>
      <c r="FP596"/>
      <c r="FQ596"/>
      <c r="FR596"/>
      <c r="FS596"/>
      <c r="FT596"/>
      <c r="FU596"/>
      <c r="FV596"/>
      <c r="FW596"/>
      <c r="FX596"/>
      <c r="FY596"/>
      <c r="FZ596"/>
      <c r="GA596"/>
      <c r="GB596"/>
      <c r="GC596"/>
      <c r="GD596"/>
      <c r="GE596"/>
      <c r="GF596"/>
      <c r="GG596"/>
      <c r="GH596"/>
      <c r="GI596"/>
      <c r="GJ596"/>
      <c r="GK596"/>
      <c r="GL596"/>
      <c r="GM596"/>
      <c r="GN596"/>
      <c r="GO596"/>
      <c r="GP596"/>
      <c r="GQ596"/>
      <c r="GR596"/>
      <c r="GS596"/>
      <c r="GT596"/>
      <c r="GU596"/>
      <c r="GV596"/>
      <c r="GW596"/>
      <c r="GX596"/>
      <c r="GY596"/>
      <c r="GZ596"/>
      <c r="HA596"/>
      <c r="HB596"/>
      <c r="HC596"/>
      <c r="HD596"/>
      <c r="HE596"/>
      <c r="HF596"/>
      <c r="HG596"/>
      <c r="HH596"/>
      <c r="HI596"/>
      <c r="HJ596"/>
      <c r="HK596"/>
      <c r="HL596"/>
      <c r="HM596"/>
      <c r="HN596"/>
      <c r="HO596"/>
      <c r="HP596"/>
      <c r="HQ596"/>
      <c r="HR596"/>
      <c r="HS596"/>
      <c r="HT596"/>
      <c r="HU596"/>
      <c r="HV596"/>
      <c r="HW596"/>
      <c r="HX596"/>
      <c r="HY596"/>
      <c r="HZ596"/>
      <c r="IA596"/>
      <c r="IB596"/>
      <c r="IC596"/>
      <c r="ID596"/>
      <c r="IE596"/>
      <c r="IF596"/>
      <c r="IG596"/>
      <c r="IH596"/>
      <c r="II596"/>
      <c r="IJ596"/>
      <c r="IK596"/>
      <c r="IL596"/>
      <c r="IM596"/>
      <c r="IN596"/>
      <c r="IO596"/>
      <c r="IP596"/>
      <c r="IQ596"/>
      <c r="IR596"/>
      <c r="IS596"/>
      <c r="IT596"/>
      <c r="IU596"/>
      <c r="IV596"/>
      <c r="IW596"/>
      <c r="IX596"/>
      <c r="IY596"/>
      <c r="IZ596"/>
      <c r="JA596"/>
      <c r="JB596"/>
      <c r="JC596"/>
      <c r="JD596"/>
      <c r="JE596"/>
      <c r="JF596"/>
      <c r="JG596"/>
      <c r="JH596"/>
      <c r="JI596"/>
      <c r="JJ596"/>
      <c r="JK596"/>
      <c r="JL596"/>
      <c r="JM596"/>
      <c r="JN596"/>
      <c r="JO596"/>
      <c r="JP596"/>
      <c r="JQ596"/>
      <c r="JR596"/>
      <c r="JS596"/>
      <c r="JT596"/>
      <c r="JU596"/>
      <c r="JV596"/>
      <c r="JW596"/>
      <c r="JX596"/>
      <c r="JY596"/>
      <c r="JZ596"/>
      <c r="KA596"/>
      <c r="KB596"/>
      <c r="KC596"/>
      <c r="KD596"/>
      <c r="KE596"/>
      <c r="KF596"/>
      <c r="KG596"/>
      <c r="KH596"/>
      <c r="KI596"/>
      <c r="KJ596"/>
      <c r="KK596"/>
      <c r="KL596"/>
      <c r="KM596"/>
      <c r="KN596"/>
      <c r="KO596"/>
      <c r="KP596"/>
      <c r="KQ596"/>
      <c r="KR596"/>
      <c r="KS596"/>
    </row>
    <row r="597" spans="2:305" hidden="1" x14ac:dyDescent="0.35">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c r="AL597"/>
      <c r="AM597"/>
      <c r="AN597"/>
      <c r="AO597"/>
      <c r="AP597"/>
      <c r="AQ597"/>
      <c r="AR597"/>
      <c r="AS597"/>
      <c r="AT597"/>
      <c r="AU597"/>
      <c r="AV597"/>
      <c r="AW597"/>
      <c r="AX597"/>
      <c r="AY597"/>
      <c r="AZ597"/>
      <c r="BA597"/>
      <c r="BB597"/>
      <c r="BC597"/>
      <c r="BD597"/>
      <c r="BE597"/>
      <c r="BF597"/>
      <c r="BG597"/>
      <c r="BH597"/>
      <c r="BI597"/>
      <c r="BJ597"/>
      <c r="BK597"/>
      <c r="BL597"/>
      <c r="BM597"/>
      <c r="BN597"/>
      <c r="BO597"/>
      <c r="BP597"/>
      <c r="BQ597"/>
      <c r="BR597"/>
      <c r="BS597"/>
      <c r="BT597"/>
      <c r="BU597"/>
      <c r="BV597"/>
      <c r="BW597"/>
      <c r="BX597"/>
      <c r="BY597"/>
      <c r="BZ597"/>
      <c r="CA597"/>
      <c r="CB597"/>
      <c r="CC597"/>
      <c r="CD597"/>
      <c r="CE597"/>
      <c r="CF597"/>
      <c r="CG597"/>
      <c r="CH597"/>
      <c r="CI597"/>
      <c r="CJ597"/>
      <c r="CK597"/>
      <c r="CL597"/>
      <c r="CM597"/>
      <c r="CN597"/>
      <c r="CO597"/>
      <c r="CP597"/>
      <c r="CQ597"/>
      <c r="CR597"/>
      <c r="CS597"/>
      <c r="CT597"/>
      <c r="CU597"/>
      <c r="CV597"/>
      <c r="CW597"/>
      <c r="CX597"/>
      <c r="CY597"/>
      <c r="CZ597"/>
      <c r="DA597"/>
      <c r="DB597"/>
      <c r="DC597"/>
      <c r="DD597"/>
      <c r="DE597"/>
      <c r="DF597"/>
      <c r="DG597"/>
      <c r="DH597"/>
      <c r="DI597"/>
      <c r="DJ597"/>
      <c r="DK597"/>
      <c r="DL597"/>
      <c r="DM597"/>
      <c r="DN597"/>
      <c r="DO597"/>
      <c r="DP597"/>
      <c r="DQ597"/>
      <c r="DR597"/>
      <c r="DS597"/>
      <c r="DT597"/>
      <c r="DU597"/>
      <c r="DV597"/>
      <c r="DW597"/>
      <c r="DX597"/>
      <c r="DY597"/>
      <c r="DZ597"/>
      <c r="EA597"/>
      <c r="EB597"/>
      <c r="EC597"/>
      <c r="ED597"/>
      <c r="EE597"/>
      <c r="EF597"/>
      <c r="EG597"/>
      <c r="EH597"/>
      <c r="EI597"/>
      <c r="EJ597"/>
      <c r="EK597"/>
      <c r="EL597"/>
      <c r="EM597"/>
      <c r="EN597"/>
      <c r="EO597"/>
      <c r="EP597"/>
      <c r="EQ597"/>
      <c r="ER597"/>
      <c r="ES597"/>
      <c r="ET597"/>
      <c r="EU597"/>
      <c r="EV597"/>
      <c r="EW597"/>
      <c r="EX597"/>
      <c r="EY597"/>
      <c r="EZ597"/>
      <c r="FA597"/>
      <c r="FB597"/>
      <c r="FC597"/>
      <c r="FD597"/>
      <c r="FE597"/>
      <c r="FF597"/>
      <c r="FG597"/>
      <c r="FH597"/>
      <c r="FI597"/>
      <c r="FJ597"/>
      <c r="FK597"/>
      <c r="FL597"/>
      <c r="FM597"/>
      <c r="FN597"/>
      <c r="FO597"/>
      <c r="FP597"/>
      <c r="FQ597"/>
      <c r="FR597"/>
      <c r="FS597"/>
      <c r="FT597"/>
      <c r="FU597"/>
      <c r="FV597"/>
      <c r="FW597"/>
      <c r="FX597"/>
      <c r="FY597"/>
      <c r="FZ597"/>
      <c r="GA597"/>
      <c r="GB597"/>
      <c r="GC597"/>
      <c r="GD597"/>
      <c r="GE597"/>
      <c r="GF597"/>
      <c r="GG597"/>
      <c r="GH597"/>
      <c r="GI597"/>
      <c r="GJ597"/>
      <c r="GK597"/>
      <c r="GL597"/>
      <c r="GM597"/>
      <c r="GN597"/>
      <c r="GO597"/>
      <c r="GP597"/>
      <c r="GQ597"/>
      <c r="GR597"/>
      <c r="GS597"/>
      <c r="GT597"/>
      <c r="GU597"/>
      <c r="GV597"/>
      <c r="GW597"/>
      <c r="GX597"/>
      <c r="GY597"/>
      <c r="GZ597"/>
      <c r="HA597"/>
      <c r="HB597"/>
      <c r="HC597"/>
      <c r="HD597"/>
      <c r="HE597"/>
      <c r="HF597"/>
      <c r="HG597"/>
      <c r="HH597"/>
      <c r="HI597"/>
      <c r="HJ597"/>
      <c r="HK597"/>
      <c r="HL597"/>
      <c r="HM597"/>
      <c r="HN597"/>
      <c r="HO597"/>
      <c r="HP597"/>
      <c r="HQ597"/>
      <c r="HR597"/>
      <c r="HS597"/>
      <c r="HT597"/>
      <c r="HU597"/>
      <c r="HV597"/>
      <c r="HW597"/>
      <c r="HX597"/>
      <c r="HY597"/>
      <c r="HZ597"/>
      <c r="IA597"/>
      <c r="IB597"/>
      <c r="IC597"/>
      <c r="ID597"/>
      <c r="IE597"/>
      <c r="IF597"/>
      <c r="IG597"/>
      <c r="IH597"/>
      <c r="II597"/>
      <c r="IJ597"/>
      <c r="IK597"/>
      <c r="IL597"/>
      <c r="IM597"/>
      <c r="IN597"/>
      <c r="IO597"/>
      <c r="IP597"/>
      <c r="IQ597"/>
      <c r="IR597"/>
      <c r="IS597"/>
      <c r="IT597"/>
      <c r="IU597"/>
      <c r="IV597"/>
      <c r="IW597"/>
      <c r="IX597"/>
      <c r="IY597"/>
      <c r="IZ597"/>
      <c r="JA597"/>
      <c r="JB597"/>
      <c r="JC597"/>
      <c r="JD597"/>
      <c r="JE597"/>
      <c r="JF597"/>
      <c r="JG597"/>
      <c r="JH597"/>
      <c r="JI597"/>
      <c r="JJ597"/>
      <c r="JK597"/>
      <c r="JL597"/>
      <c r="JM597"/>
      <c r="JN597"/>
      <c r="JO597"/>
      <c r="JP597"/>
      <c r="JQ597"/>
      <c r="JR597"/>
      <c r="JS597"/>
      <c r="JT597"/>
      <c r="JU597"/>
      <c r="JV597"/>
      <c r="JW597"/>
      <c r="JX597"/>
      <c r="JY597"/>
      <c r="JZ597"/>
      <c r="KA597"/>
      <c r="KB597"/>
      <c r="KC597"/>
      <c r="KD597"/>
      <c r="KE597"/>
      <c r="KF597"/>
      <c r="KG597"/>
      <c r="KH597"/>
      <c r="KI597"/>
      <c r="KJ597"/>
      <c r="KK597"/>
      <c r="KL597"/>
      <c r="KM597"/>
      <c r="KN597"/>
      <c r="KO597"/>
      <c r="KP597"/>
      <c r="KQ597"/>
      <c r="KR597"/>
      <c r="KS597"/>
    </row>
    <row r="598" spans="2:305" hidden="1" x14ac:dyDescent="0.35">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c r="AL598"/>
      <c r="AM598"/>
      <c r="AN598"/>
      <c r="AO598"/>
      <c r="AP598"/>
      <c r="AQ598"/>
      <c r="AR598"/>
      <c r="AS598"/>
      <c r="AT598"/>
      <c r="AU598"/>
      <c r="AV598"/>
      <c r="AW598"/>
      <c r="AX598"/>
      <c r="AY598"/>
      <c r="AZ598"/>
      <c r="BA598"/>
      <c r="BB598"/>
      <c r="BC598"/>
      <c r="BD598"/>
      <c r="BE598"/>
      <c r="BF598"/>
      <c r="BG598"/>
      <c r="BH598"/>
      <c r="BI598"/>
      <c r="BJ598"/>
      <c r="BK598"/>
      <c r="BL598"/>
      <c r="BM598"/>
      <c r="BN598"/>
      <c r="BO598"/>
      <c r="BP598"/>
      <c r="BQ598"/>
      <c r="BR598"/>
      <c r="BS598"/>
      <c r="BT598"/>
      <c r="BU598"/>
      <c r="BV598"/>
      <c r="BW598"/>
      <c r="BX598"/>
      <c r="BY598"/>
      <c r="BZ598"/>
      <c r="CA598"/>
      <c r="CB598"/>
      <c r="CC598"/>
      <c r="CD598"/>
      <c r="CE598"/>
      <c r="CF598"/>
      <c r="CG598"/>
      <c r="CH598"/>
      <c r="CI598"/>
      <c r="CJ598"/>
      <c r="CK598"/>
      <c r="CL598"/>
      <c r="CM598"/>
      <c r="CN598"/>
      <c r="CO598"/>
      <c r="CP598"/>
      <c r="CQ598"/>
      <c r="CR598"/>
      <c r="CS598"/>
      <c r="CT598"/>
      <c r="CU598"/>
      <c r="CV598"/>
      <c r="CW598"/>
      <c r="CX598"/>
      <c r="CY598"/>
      <c r="CZ598"/>
      <c r="DA598"/>
      <c r="DB598"/>
      <c r="DC598"/>
      <c r="DD598"/>
      <c r="DE598"/>
      <c r="DF598"/>
      <c r="DG598"/>
      <c r="DH598"/>
      <c r="DI598"/>
      <c r="DJ598"/>
      <c r="DK598"/>
      <c r="DL598"/>
      <c r="DM598"/>
      <c r="DN598"/>
      <c r="DO598"/>
      <c r="DP598"/>
      <c r="DQ598"/>
      <c r="DR598"/>
      <c r="DS598"/>
      <c r="DT598"/>
      <c r="DU598"/>
      <c r="DV598"/>
      <c r="DW598"/>
      <c r="DX598"/>
      <c r="DY598"/>
      <c r="DZ598"/>
      <c r="EA598"/>
      <c r="EB598"/>
      <c r="EC598"/>
      <c r="ED598"/>
      <c r="EE598"/>
      <c r="EF598"/>
      <c r="EG598"/>
      <c r="EH598"/>
      <c r="EI598"/>
      <c r="EJ598"/>
      <c r="EK598"/>
      <c r="EL598"/>
      <c r="EM598"/>
      <c r="EN598"/>
      <c r="EO598"/>
      <c r="EP598"/>
      <c r="EQ598"/>
      <c r="ER598"/>
      <c r="ES598"/>
      <c r="ET598"/>
      <c r="EU598"/>
      <c r="EV598"/>
      <c r="EW598"/>
      <c r="EX598"/>
      <c r="EY598"/>
      <c r="EZ598"/>
      <c r="FA598"/>
      <c r="FB598"/>
      <c r="FC598"/>
      <c r="FD598"/>
      <c r="FE598"/>
      <c r="FF598"/>
      <c r="FG598"/>
      <c r="FH598"/>
      <c r="FI598"/>
      <c r="FJ598"/>
      <c r="FK598"/>
      <c r="FL598"/>
      <c r="FM598"/>
      <c r="FN598"/>
      <c r="FO598"/>
      <c r="FP598"/>
      <c r="FQ598"/>
      <c r="FR598"/>
      <c r="FS598"/>
      <c r="FT598"/>
      <c r="FU598"/>
      <c r="FV598"/>
      <c r="FW598"/>
      <c r="FX598"/>
      <c r="FY598"/>
      <c r="FZ598"/>
      <c r="GA598"/>
      <c r="GB598"/>
      <c r="GC598"/>
      <c r="GD598"/>
      <c r="GE598"/>
      <c r="GF598"/>
      <c r="GG598"/>
      <c r="GH598"/>
      <c r="GI598"/>
      <c r="GJ598"/>
      <c r="GK598"/>
      <c r="GL598"/>
      <c r="GM598"/>
      <c r="GN598"/>
      <c r="GO598"/>
      <c r="GP598"/>
      <c r="GQ598"/>
      <c r="GR598"/>
      <c r="GS598"/>
      <c r="GT598"/>
      <c r="GU598"/>
      <c r="GV598"/>
      <c r="GW598"/>
      <c r="GX598"/>
      <c r="GY598"/>
      <c r="GZ598"/>
      <c r="HA598"/>
      <c r="HB598"/>
      <c r="HC598"/>
      <c r="HD598"/>
      <c r="HE598"/>
      <c r="HF598"/>
      <c r="HG598"/>
      <c r="HH598"/>
      <c r="HI598"/>
      <c r="HJ598"/>
      <c r="HK598"/>
      <c r="HL598"/>
      <c r="HM598"/>
      <c r="HN598"/>
      <c r="HO598"/>
      <c r="HP598"/>
      <c r="HQ598"/>
      <c r="HR598"/>
      <c r="HS598"/>
      <c r="HT598"/>
      <c r="HU598"/>
      <c r="HV598"/>
      <c r="HW598"/>
      <c r="HX598"/>
      <c r="HY598"/>
      <c r="HZ598"/>
      <c r="IA598"/>
      <c r="IB598"/>
      <c r="IC598"/>
      <c r="ID598"/>
      <c r="IE598"/>
      <c r="IF598"/>
      <c r="IG598"/>
      <c r="IH598"/>
      <c r="II598"/>
      <c r="IJ598"/>
      <c r="IK598"/>
      <c r="IL598"/>
      <c r="IM598"/>
      <c r="IN598"/>
      <c r="IO598"/>
      <c r="IP598"/>
      <c r="IQ598"/>
      <c r="IR598"/>
      <c r="IS598"/>
      <c r="IT598"/>
      <c r="IU598"/>
      <c r="IV598"/>
      <c r="IW598"/>
      <c r="IX598"/>
      <c r="IY598"/>
      <c r="IZ598"/>
      <c r="JA598"/>
      <c r="JB598"/>
      <c r="JC598"/>
      <c r="JD598"/>
      <c r="JE598"/>
      <c r="JF598"/>
      <c r="JG598"/>
      <c r="JH598"/>
      <c r="JI598"/>
      <c r="JJ598"/>
      <c r="JK598"/>
      <c r="JL598"/>
      <c r="JM598"/>
      <c r="JN598"/>
      <c r="JO598"/>
      <c r="JP598"/>
      <c r="JQ598"/>
      <c r="JR598"/>
      <c r="JS598"/>
      <c r="JT598"/>
      <c r="JU598"/>
      <c r="JV598"/>
      <c r="JW598"/>
      <c r="JX598"/>
      <c r="JY598"/>
      <c r="JZ598"/>
      <c r="KA598"/>
      <c r="KB598"/>
      <c r="KC598"/>
      <c r="KD598"/>
      <c r="KE598"/>
      <c r="KF598"/>
      <c r="KG598"/>
      <c r="KH598"/>
      <c r="KI598"/>
      <c r="KJ598"/>
      <c r="KK598"/>
      <c r="KL598"/>
      <c r="KM598"/>
      <c r="KN598"/>
      <c r="KO598"/>
      <c r="KP598"/>
      <c r="KQ598"/>
      <c r="KR598"/>
      <c r="KS598"/>
    </row>
    <row r="599" spans="2:305" hidden="1" x14ac:dyDescent="0.35">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c r="AL599"/>
      <c r="AM599"/>
      <c r="AN599"/>
      <c r="AO599"/>
      <c r="AP599"/>
      <c r="AQ599"/>
      <c r="AR599"/>
      <c r="AS599"/>
      <c r="AT599"/>
      <c r="AU599"/>
      <c r="AV599"/>
      <c r="AW599"/>
      <c r="AX599"/>
      <c r="AY599"/>
      <c r="AZ599"/>
      <c r="BA599"/>
      <c r="BB599"/>
      <c r="BC599"/>
      <c r="BD599"/>
      <c r="BE599"/>
      <c r="BF599"/>
      <c r="BG599"/>
      <c r="BH599"/>
      <c r="BI599"/>
      <c r="BJ599"/>
      <c r="BK599"/>
      <c r="BL599"/>
      <c r="BM599"/>
      <c r="BN599"/>
      <c r="BO599"/>
      <c r="BP599"/>
      <c r="BQ599"/>
      <c r="BR599"/>
      <c r="BS599"/>
      <c r="BT599"/>
      <c r="BU599"/>
      <c r="BV599"/>
      <c r="BW599"/>
      <c r="BX599"/>
      <c r="BY599"/>
      <c r="BZ599"/>
      <c r="CA599"/>
      <c r="CB599"/>
      <c r="CC599"/>
      <c r="CD599"/>
      <c r="CE599"/>
      <c r="CF599"/>
      <c r="CG599"/>
      <c r="CH599"/>
      <c r="CI599"/>
      <c r="CJ599"/>
      <c r="CK599"/>
      <c r="CL599"/>
      <c r="CM599"/>
      <c r="CN599"/>
      <c r="CO599"/>
      <c r="CP599"/>
      <c r="CQ599"/>
      <c r="CR599"/>
      <c r="CS599"/>
      <c r="CT599"/>
      <c r="CU599"/>
      <c r="CV599"/>
      <c r="CW599"/>
      <c r="CX599"/>
      <c r="CY599"/>
      <c r="CZ599"/>
      <c r="DA599"/>
      <c r="DB599"/>
      <c r="DC599"/>
      <c r="DD599"/>
      <c r="DE599"/>
      <c r="DF599"/>
      <c r="DG599"/>
      <c r="DH599"/>
      <c r="DI599"/>
      <c r="DJ599"/>
      <c r="DK599"/>
      <c r="DL599"/>
      <c r="DM599"/>
      <c r="DN599"/>
      <c r="DO599"/>
      <c r="DP599"/>
      <c r="DQ599"/>
      <c r="DR599"/>
      <c r="DS599"/>
      <c r="DT599"/>
      <c r="DU599"/>
      <c r="DV599"/>
      <c r="DW599"/>
      <c r="DX599"/>
      <c r="DY599"/>
      <c r="DZ599"/>
      <c r="EA599"/>
      <c r="EB599"/>
      <c r="EC599"/>
      <c r="ED599"/>
      <c r="EE599"/>
      <c r="EF599"/>
      <c r="EG599"/>
      <c r="EH599"/>
      <c r="EI599"/>
      <c r="EJ599"/>
      <c r="EK599"/>
      <c r="EL599"/>
      <c r="EM599"/>
      <c r="EN599"/>
      <c r="EO599"/>
      <c r="EP599"/>
      <c r="EQ599"/>
      <c r="ER599"/>
      <c r="ES599"/>
      <c r="ET599"/>
      <c r="EU599"/>
      <c r="EV599"/>
      <c r="EW599"/>
      <c r="EX599"/>
      <c r="EY599"/>
      <c r="EZ599"/>
      <c r="FA599"/>
      <c r="FB599"/>
      <c r="FC599"/>
      <c r="FD599"/>
      <c r="FE599"/>
      <c r="FF599"/>
      <c r="FG599"/>
      <c r="FH599"/>
      <c r="FI599"/>
      <c r="FJ599"/>
      <c r="FK599"/>
      <c r="FL599"/>
      <c r="FM599"/>
      <c r="FN599"/>
      <c r="FO599"/>
      <c r="FP599"/>
      <c r="FQ599"/>
      <c r="FR599"/>
      <c r="FS599"/>
      <c r="FT599"/>
      <c r="FU599"/>
      <c r="FV599"/>
      <c r="FW599"/>
      <c r="FX599"/>
      <c r="FY599"/>
      <c r="FZ599"/>
      <c r="GA599"/>
      <c r="GB599"/>
      <c r="GC599"/>
      <c r="GD599"/>
      <c r="GE599"/>
      <c r="GF599"/>
      <c r="GG599"/>
      <c r="GH599"/>
      <c r="GI599"/>
      <c r="GJ599"/>
      <c r="GK599"/>
      <c r="GL599"/>
      <c r="GM599"/>
      <c r="GN599"/>
      <c r="GO599"/>
      <c r="GP599"/>
      <c r="GQ599"/>
      <c r="GR599"/>
      <c r="GS599"/>
      <c r="GT599"/>
      <c r="GU599"/>
      <c r="GV599"/>
      <c r="GW599"/>
      <c r="GX599"/>
      <c r="GY599"/>
      <c r="GZ599"/>
      <c r="HA599"/>
      <c r="HB599"/>
      <c r="HC599"/>
      <c r="HD599"/>
      <c r="HE599"/>
      <c r="HF599"/>
      <c r="HG599"/>
      <c r="HH599"/>
      <c r="HI599"/>
      <c r="HJ599"/>
      <c r="HK599"/>
      <c r="HL599"/>
      <c r="HM599"/>
      <c r="HN599"/>
      <c r="HO599"/>
      <c r="HP599"/>
      <c r="HQ599"/>
      <c r="HR599"/>
      <c r="HS599"/>
      <c r="HT599"/>
      <c r="HU599"/>
      <c r="HV599"/>
      <c r="HW599"/>
      <c r="HX599"/>
      <c r="HY599"/>
      <c r="HZ599"/>
      <c r="IA599"/>
      <c r="IB599"/>
      <c r="IC599"/>
      <c r="ID599"/>
      <c r="IE599"/>
      <c r="IF599"/>
      <c r="IG599"/>
      <c r="IH599"/>
      <c r="II599"/>
      <c r="IJ599"/>
      <c r="IK599"/>
      <c r="IL599"/>
      <c r="IM599"/>
      <c r="IN599"/>
      <c r="IO599"/>
      <c r="IP599"/>
      <c r="IQ599"/>
      <c r="IR599"/>
      <c r="IS599"/>
      <c r="IT599"/>
      <c r="IU599"/>
      <c r="IV599"/>
      <c r="IW599"/>
      <c r="IX599"/>
      <c r="IY599"/>
      <c r="IZ599"/>
      <c r="JA599"/>
      <c r="JB599"/>
      <c r="JC599"/>
      <c r="JD599"/>
      <c r="JE599"/>
      <c r="JF599"/>
      <c r="JG599"/>
      <c r="JH599"/>
      <c r="JI599"/>
      <c r="JJ599"/>
      <c r="JK599"/>
      <c r="JL599"/>
      <c r="JM599"/>
      <c r="JN599"/>
      <c r="JO599"/>
      <c r="JP599"/>
      <c r="JQ599"/>
      <c r="JR599"/>
      <c r="JS599"/>
      <c r="JT599"/>
      <c r="JU599"/>
      <c r="JV599"/>
      <c r="JW599"/>
      <c r="JX599"/>
      <c r="JY599"/>
      <c r="JZ599"/>
      <c r="KA599"/>
      <c r="KB599"/>
      <c r="KC599"/>
      <c r="KD599"/>
      <c r="KE599"/>
      <c r="KF599"/>
      <c r="KG599"/>
      <c r="KH599"/>
      <c r="KI599"/>
      <c r="KJ599"/>
      <c r="KK599"/>
      <c r="KL599"/>
      <c r="KM599"/>
      <c r="KN599"/>
      <c r="KO599"/>
      <c r="KP599"/>
      <c r="KQ599"/>
      <c r="KR599"/>
      <c r="KS599"/>
    </row>
    <row r="600" spans="2:305" hidden="1" x14ac:dyDescent="0.35">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c r="AL600"/>
      <c r="AM600"/>
      <c r="AN600"/>
      <c r="AO600"/>
      <c r="AP600"/>
      <c r="AQ600"/>
      <c r="AR600"/>
      <c r="AS600"/>
      <c r="AT600"/>
      <c r="AU600"/>
      <c r="AV600"/>
      <c r="AW600"/>
      <c r="AX600"/>
      <c r="AY600"/>
      <c r="AZ600"/>
      <c r="BA600"/>
      <c r="BB600"/>
      <c r="BC600"/>
      <c r="BD600"/>
      <c r="BE600"/>
      <c r="BF600"/>
      <c r="BG600"/>
      <c r="BH600"/>
      <c r="BI600"/>
      <c r="BJ600"/>
      <c r="BK600"/>
      <c r="BL600"/>
      <c r="BM600"/>
      <c r="BN600"/>
      <c r="BO600"/>
      <c r="BP600"/>
      <c r="BQ600"/>
      <c r="BR600"/>
      <c r="BS600"/>
      <c r="BT600"/>
      <c r="BU600"/>
      <c r="BV600"/>
      <c r="BW600"/>
      <c r="BX600"/>
      <c r="BY600"/>
      <c r="BZ600"/>
      <c r="CA600"/>
      <c r="CB600"/>
      <c r="CC600"/>
      <c r="CD600"/>
      <c r="CE600"/>
      <c r="CF600"/>
      <c r="CG600"/>
      <c r="CH600"/>
      <c r="CI600"/>
      <c r="CJ600"/>
      <c r="CK600"/>
      <c r="CL600"/>
      <c r="CM600"/>
      <c r="CN600"/>
      <c r="CO600"/>
      <c r="CP600"/>
      <c r="CQ600"/>
      <c r="CR600"/>
      <c r="CS600"/>
      <c r="CT600"/>
      <c r="CU600"/>
      <c r="CV600"/>
      <c r="CW600"/>
      <c r="CX600"/>
      <c r="CY600"/>
      <c r="CZ600"/>
      <c r="DA600"/>
      <c r="DB600"/>
      <c r="DC600"/>
      <c r="DD600"/>
      <c r="DE600"/>
      <c r="DF600"/>
      <c r="DG600"/>
      <c r="DH600"/>
      <c r="DI600"/>
      <c r="DJ600"/>
      <c r="DK600"/>
      <c r="DL600"/>
      <c r="DM600"/>
      <c r="DN600"/>
      <c r="DO600"/>
      <c r="DP600"/>
      <c r="DQ600"/>
      <c r="DR600"/>
      <c r="DS600"/>
      <c r="DT600"/>
      <c r="DU600"/>
      <c r="DV600"/>
      <c r="DW600"/>
      <c r="DX600"/>
      <c r="DY600"/>
      <c r="DZ600"/>
      <c r="EA600"/>
      <c r="EB600"/>
      <c r="EC600"/>
      <c r="ED600"/>
      <c r="EE600"/>
      <c r="EF600"/>
      <c r="EG600"/>
      <c r="EH600"/>
      <c r="EI600"/>
      <c r="EJ600"/>
      <c r="EK600"/>
      <c r="EL600"/>
      <c r="EM600"/>
      <c r="EN600"/>
      <c r="EO600"/>
      <c r="EP600"/>
      <c r="EQ600"/>
      <c r="ER600"/>
      <c r="ES600"/>
      <c r="ET600"/>
      <c r="EU600"/>
      <c r="EV600"/>
      <c r="EW600"/>
      <c r="EX600"/>
      <c r="EY600"/>
      <c r="EZ600"/>
      <c r="FA600"/>
      <c r="FB600"/>
      <c r="FC600"/>
      <c r="FD600"/>
      <c r="FE600"/>
      <c r="FF600"/>
      <c r="FG600"/>
      <c r="FH600"/>
      <c r="FI600"/>
      <c r="FJ600"/>
      <c r="FK600"/>
      <c r="FL600"/>
      <c r="FM600"/>
      <c r="FN600"/>
      <c r="FO600"/>
      <c r="FP600"/>
      <c r="FQ600"/>
      <c r="FR600"/>
      <c r="FS600"/>
      <c r="FT600"/>
      <c r="FU600"/>
      <c r="FV600"/>
      <c r="FW600"/>
      <c r="FX600"/>
      <c r="FY600"/>
      <c r="FZ600"/>
      <c r="GA600"/>
      <c r="GB600"/>
      <c r="GC600"/>
      <c r="GD600"/>
      <c r="GE600"/>
      <c r="GF600"/>
      <c r="GG600"/>
      <c r="GH600"/>
      <c r="GI600"/>
      <c r="GJ600"/>
      <c r="GK600"/>
      <c r="GL600"/>
      <c r="GM600"/>
      <c r="GN600"/>
      <c r="GO600"/>
      <c r="GP600"/>
      <c r="GQ600"/>
      <c r="GR600"/>
      <c r="GS600"/>
      <c r="GT600"/>
      <c r="GU600"/>
      <c r="GV600"/>
      <c r="GW600"/>
      <c r="GX600"/>
      <c r="GY600"/>
      <c r="GZ600"/>
      <c r="HA600"/>
      <c r="HB600"/>
      <c r="HC600"/>
      <c r="HD600"/>
      <c r="HE600"/>
      <c r="HF600"/>
      <c r="HG600"/>
      <c r="HH600"/>
      <c r="HI600"/>
      <c r="HJ600"/>
      <c r="HK600"/>
      <c r="HL600"/>
      <c r="HM600"/>
      <c r="HN600"/>
      <c r="HO600"/>
      <c r="HP600"/>
      <c r="HQ600"/>
      <c r="HR600"/>
      <c r="HS600"/>
      <c r="HT600"/>
      <c r="HU600"/>
      <c r="HV600"/>
      <c r="HW600"/>
      <c r="HX600"/>
      <c r="HY600"/>
      <c r="HZ600"/>
      <c r="IA600"/>
      <c r="IB600"/>
      <c r="IC600"/>
      <c r="ID600"/>
      <c r="IE600"/>
      <c r="IF600"/>
      <c r="IG600"/>
      <c r="IH600"/>
      <c r="II600"/>
      <c r="IJ600"/>
      <c r="IK600"/>
      <c r="IL600"/>
      <c r="IM600"/>
      <c r="IN600"/>
      <c r="IO600"/>
      <c r="IP600"/>
      <c r="IQ600"/>
      <c r="IR600"/>
      <c r="IS600"/>
      <c r="IT600"/>
      <c r="IU600"/>
      <c r="IV600"/>
      <c r="IW600"/>
      <c r="IX600"/>
      <c r="IY600"/>
      <c r="IZ600"/>
      <c r="JA600"/>
      <c r="JB600"/>
      <c r="JC600"/>
      <c r="JD600"/>
      <c r="JE600"/>
      <c r="JF600"/>
      <c r="JG600"/>
      <c r="JH600"/>
      <c r="JI600"/>
      <c r="JJ600"/>
      <c r="JK600"/>
      <c r="JL600"/>
      <c r="JM600"/>
      <c r="JN600"/>
      <c r="JO600"/>
      <c r="JP600"/>
      <c r="JQ600"/>
      <c r="JR600"/>
      <c r="JS600"/>
      <c r="JT600"/>
      <c r="JU600"/>
      <c r="JV600"/>
      <c r="JW600"/>
      <c r="JX600"/>
      <c r="JY600"/>
      <c r="JZ600"/>
      <c r="KA600"/>
      <c r="KB600"/>
      <c r="KC600"/>
      <c r="KD600"/>
      <c r="KE600"/>
      <c r="KF600"/>
      <c r="KG600"/>
      <c r="KH600"/>
      <c r="KI600"/>
      <c r="KJ600"/>
      <c r="KK600"/>
      <c r="KL600"/>
      <c r="KM600"/>
      <c r="KN600"/>
      <c r="KO600"/>
      <c r="KP600"/>
      <c r="KQ600"/>
      <c r="KR600"/>
      <c r="KS600"/>
    </row>
    <row r="601" spans="2:305" hidden="1" x14ac:dyDescent="0.35">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c r="AL601"/>
      <c r="AM601"/>
      <c r="AN601"/>
      <c r="AO601"/>
      <c r="AP601"/>
      <c r="AQ601"/>
      <c r="AR601"/>
      <c r="AS601"/>
      <c r="AT601"/>
      <c r="AU601"/>
      <c r="AV601"/>
      <c r="AW601"/>
      <c r="AX601"/>
      <c r="AY601"/>
      <c r="AZ601"/>
      <c r="BA601"/>
      <c r="BB601"/>
      <c r="BC601"/>
      <c r="BD601"/>
      <c r="BE601"/>
      <c r="BF601"/>
      <c r="BG601"/>
      <c r="BH601"/>
      <c r="BI601"/>
      <c r="BJ601"/>
      <c r="BK601"/>
      <c r="BL601"/>
      <c r="BM601"/>
      <c r="BN601"/>
      <c r="BO601"/>
      <c r="BP601"/>
      <c r="BQ601"/>
      <c r="BR601"/>
      <c r="BS601"/>
      <c r="BT601"/>
      <c r="BU601"/>
      <c r="BV601"/>
      <c r="BW601"/>
      <c r="BX601"/>
      <c r="BY601"/>
      <c r="BZ601"/>
      <c r="CA601"/>
      <c r="CB601"/>
      <c r="CC601"/>
      <c r="CD601"/>
      <c r="CE601"/>
      <c r="CF601"/>
      <c r="CG601"/>
      <c r="CH601"/>
      <c r="CI601"/>
      <c r="CJ601"/>
      <c r="CK601"/>
      <c r="CL601"/>
      <c r="CM601"/>
      <c r="CN601"/>
      <c r="CO601"/>
      <c r="CP601"/>
      <c r="CQ601"/>
      <c r="CR601"/>
      <c r="CS601"/>
      <c r="CT601"/>
      <c r="CU601"/>
      <c r="CV601"/>
      <c r="CW601"/>
      <c r="CX601"/>
      <c r="CY601"/>
      <c r="CZ601"/>
      <c r="DA601"/>
      <c r="DB601"/>
      <c r="DC601"/>
      <c r="DD601"/>
      <c r="DE601"/>
      <c r="DF601"/>
      <c r="DG601"/>
      <c r="DH601"/>
      <c r="DI601"/>
      <c r="DJ601"/>
      <c r="DK601"/>
      <c r="DL601"/>
      <c r="DM601"/>
      <c r="DN601"/>
      <c r="DO601"/>
      <c r="DP601"/>
      <c r="DQ601"/>
      <c r="DR601"/>
      <c r="DS601"/>
      <c r="DT601"/>
      <c r="DU601"/>
      <c r="DV601"/>
      <c r="DW601"/>
      <c r="DX601"/>
      <c r="DY601"/>
      <c r="DZ601"/>
      <c r="EA601"/>
      <c r="EB601"/>
      <c r="EC601"/>
      <c r="ED601"/>
      <c r="EE601"/>
      <c r="EF601"/>
      <c r="EG601"/>
      <c r="EH601"/>
      <c r="EI601"/>
      <c r="EJ601"/>
      <c r="EK601"/>
      <c r="EL601"/>
      <c r="EM601"/>
      <c r="EN601"/>
      <c r="EO601"/>
      <c r="EP601"/>
      <c r="EQ601"/>
      <c r="ER601"/>
      <c r="ES601"/>
      <c r="ET601"/>
      <c r="EU601"/>
      <c r="EV601"/>
      <c r="EW601"/>
      <c r="EX601"/>
      <c r="EY601"/>
      <c r="EZ601"/>
      <c r="FA601"/>
      <c r="FB601"/>
      <c r="FC601"/>
      <c r="FD601"/>
      <c r="FE601"/>
      <c r="FF601"/>
      <c r="FG601"/>
      <c r="FH601"/>
      <c r="FI601"/>
      <c r="FJ601"/>
      <c r="FK601"/>
      <c r="FL601"/>
      <c r="FM601"/>
      <c r="FN601"/>
      <c r="FO601"/>
      <c r="FP601"/>
      <c r="FQ601"/>
      <c r="FR601"/>
      <c r="FS601"/>
      <c r="FT601"/>
      <c r="FU601"/>
      <c r="FV601"/>
      <c r="FW601"/>
      <c r="FX601"/>
      <c r="FY601"/>
      <c r="FZ601"/>
      <c r="GA601"/>
      <c r="GB601"/>
      <c r="GC601"/>
      <c r="GD601"/>
      <c r="GE601"/>
      <c r="GF601"/>
      <c r="GG601"/>
      <c r="GH601"/>
      <c r="GI601"/>
      <c r="GJ601"/>
      <c r="GK601"/>
      <c r="GL601"/>
      <c r="GM601"/>
      <c r="GN601"/>
      <c r="GO601"/>
      <c r="GP601"/>
      <c r="GQ601"/>
      <c r="GR601"/>
      <c r="GS601"/>
      <c r="GT601"/>
      <c r="GU601"/>
      <c r="GV601"/>
      <c r="GW601"/>
      <c r="GX601"/>
      <c r="GY601"/>
      <c r="GZ601"/>
      <c r="HA601"/>
      <c r="HB601"/>
      <c r="HC601"/>
      <c r="HD601"/>
      <c r="HE601"/>
      <c r="HF601"/>
      <c r="HG601"/>
      <c r="HH601"/>
      <c r="HI601"/>
      <c r="HJ601"/>
      <c r="HK601"/>
      <c r="HL601"/>
      <c r="HM601"/>
      <c r="HN601"/>
      <c r="HO601"/>
      <c r="HP601"/>
      <c r="HQ601"/>
      <c r="HR601"/>
      <c r="HS601"/>
      <c r="HT601"/>
      <c r="HU601"/>
      <c r="HV601"/>
      <c r="HW601"/>
      <c r="HX601"/>
      <c r="HY601"/>
      <c r="HZ601"/>
      <c r="IA601"/>
      <c r="IB601"/>
      <c r="IC601"/>
      <c r="ID601"/>
      <c r="IE601"/>
      <c r="IF601"/>
      <c r="IG601"/>
      <c r="IH601"/>
      <c r="II601"/>
      <c r="IJ601"/>
      <c r="IK601"/>
      <c r="IL601"/>
      <c r="IM601"/>
      <c r="IN601"/>
      <c r="IO601"/>
      <c r="IP601"/>
      <c r="IQ601"/>
      <c r="IR601"/>
      <c r="IS601"/>
      <c r="IT601"/>
      <c r="IU601"/>
      <c r="IV601"/>
      <c r="IW601"/>
      <c r="IX601"/>
      <c r="IY601"/>
      <c r="IZ601"/>
      <c r="JA601"/>
      <c r="JB601"/>
      <c r="JC601"/>
      <c r="JD601"/>
      <c r="JE601"/>
      <c r="JF601"/>
      <c r="JG601"/>
      <c r="JH601"/>
      <c r="JI601"/>
      <c r="JJ601"/>
      <c r="JK601"/>
      <c r="JL601"/>
      <c r="JM601"/>
      <c r="JN601"/>
      <c r="JO601"/>
      <c r="JP601"/>
      <c r="JQ601"/>
      <c r="JR601"/>
      <c r="JS601"/>
      <c r="JT601"/>
      <c r="JU601"/>
      <c r="JV601"/>
      <c r="JW601"/>
      <c r="JX601"/>
      <c r="JY601"/>
      <c r="JZ601"/>
      <c r="KA601"/>
      <c r="KB601"/>
      <c r="KC601"/>
      <c r="KD601"/>
      <c r="KE601"/>
      <c r="KF601"/>
      <c r="KG601"/>
      <c r="KH601"/>
      <c r="KI601"/>
      <c r="KJ601"/>
      <c r="KK601"/>
      <c r="KL601"/>
      <c r="KM601"/>
      <c r="KN601"/>
      <c r="KO601"/>
      <c r="KP601"/>
      <c r="KQ601"/>
      <c r="KR601"/>
      <c r="KS601"/>
    </row>
    <row r="602" spans="2:305" hidden="1" x14ac:dyDescent="0.35">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c r="AL602"/>
      <c r="AM602"/>
      <c r="AN602"/>
      <c r="AO602"/>
      <c r="AP602"/>
      <c r="AQ602"/>
      <c r="AR602"/>
      <c r="AS602"/>
      <c r="AT602"/>
      <c r="AU602"/>
      <c r="AV602"/>
      <c r="AW602"/>
      <c r="AX602"/>
      <c r="AY602"/>
      <c r="AZ602"/>
      <c r="BA602"/>
      <c r="BB602"/>
      <c r="BC602"/>
      <c r="BD602"/>
      <c r="BE602"/>
      <c r="BF602"/>
      <c r="BG602"/>
      <c r="BH602"/>
      <c r="BI602"/>
      <c r="BJ602"/>
      <c r="BK602"/>
      <c r="BL602"/>
      <c r="BM602"/>
      <c r="BN602"/>
      <c r="BO602"/>
      <c r="BP602"/>
      <c r="BQ602"/>
      <c r="BR602"/>
      <c r="BS602"/>
      <c r="BT602"/>
      <c r="BU602"/>
      <c r="BV602"/>
      <c r="BW602"/>
      <c r="BX602"/>
      <c r="BY602"/>
      <c r="BZ602"/>
      <c r="CA602"/>
      <c r="CB602"/>
      <c r="CC602"/>
      <c r="CD602"/>
      <c r="CE602"/>
      <c r="CF602"/>
      <c r="CG602"/>
      <c r="CH602"/>
      <c r="CI602"/>
      <c r="CJ602"/>
      <c r="CK602"/>
      <c r="CL602"/>
      <c r="CM602"/>
      <c r="CN602"/>
      <c r="CO602"/>
      <c r="CP602"/>
      <c r="CQ602"/>
      <c r="CR602"/>
      <c r="CS602"/>
      <c r="CT602"/>
      <c r="CU602"/>
      <c r="CV602"/>
      <c r="CW602"/>
      <c r="CX602"/>
      <c r="CY602"/>
      <c r="CZ602"/>
      <c r="DA602"/>
      <c r="DB602"/>
      <c r="DC602"/>
      <c r="DD602"/>
      <c r="DE602"/>
      <c r="DF602"/>
      <c r="DG602"/>
      <c r="DH602"/>
      <c r="DI602"/>
      <c r="DJ602"/>
      <c r="DK602"/>
      <c r="DL602"/>
      <c r="DM602"/>
      <c r="DN602"/>
      <c r="DO602"/>
      <c r="DP602"/>
      <c r="DQ602"/>
      <c r="DR602"/>
      <c r="DS602"/>
      <c r="DT602"/>
      <c r="DU602"/>
      <c r="DV602"/>
      <c r="DW602"/>
      <c r="DX602"/>
      <c r="DY602"/>
      <c r="DZ602"/>
      <c r="EA602"/>
      <c r="EB602"/>
      <c r="EC602"/>
      <c r="ED602"/>
      <c r="EE602"/>
      <c r="EF602"/>
      <c r="EG602"/>
      <c r="EH602"/>
      <c r="EI602"/>
      <c r="EJ602"/>
      <c r="EK602"/>
      <c r="EL602"/>
      <c r="EM602"/>
      <c r="EN602"/>
      <c r="EO602"/>
      <c r="EP602"/>
      <c r="EQ602"/>
      <c r="ER602"/>
      <c r="ES602"/>
      <c r="ET602"/>
      <c r="EU602"/>
      <c r="EV602"/>
      <c r="EW602"/>
      <c r="EX602"/>
      <c r="EY602"/>
      <c r="EZ602"/>
      <c r="FA602"/>
      <c r="FB602"/>
      <c r="FC602"/>
      <c r="FD602"/>
      <c r="FE602"/>
      <c r="FF602"/>
      <c r="FG602"/>
      <c r="FH602"/>
      <c r="FI602"/>
      <c r="FJ602"/>
      <c r="FK602"/>
      <c r="FL602"/>
      <c r="FM602"/>
      <c r="FN602"/>
      <c r="FO602"/>
      <c r="FP602"/>
      <c r="FQ602"/>
      <c r="FR602"/>
      <c r="FS602"/>
      <c r="FT602"/>
      <c r="FU602"/>
      <c r="FV602"/>
      <c r="FW602"/>
      <c r="FX602"/>
      <c r="FY602"/>
      <c r="FZ602"/>
      <c r="GA602"/>
      <c r="GB602"/>
      <c r="GC602"/>
      <c r="GD602"/>
      <c r="GE602"/>
      <c r="GF602"/>
      <c r="GG602"/>
      <c r="GH602"/>
      <c r="GI602"/>
      <c r="GJ602"/>
      <c r="GK602"/>
      <c r="GL602"/>
      <c r="GM602"/>
      <c r="GN602"/>
      <c r="GO602"/>
      <c r="GP602"/>
      <c r="GQ602"/>
      <c r="GR602"/>
      <c r="GS602"/>
      <c r="GT602"/>
      <c r="GU602"/>
      <c r="GV602"/>
      <c r="GW602"/>
      <c r="GX602"/>
      <c r="GY602"/>
      <c r="GZ602"/>
      <c r="HA602"/>
      <c r="HB602"/>
      <c r="HC602"/>
      <c r="HD602"/>
      <c r="HE602"/>
      <c r="HF602"/>
      <c r="HG602"/>
      <c r="HH602"/>
      <c r="HI602"/>
      <c r="HJ602"/>
      <c r="HK602"/>
      <c r="HL602"/>
      <c r="HM602"/>
      <c r="HN602"/>
      <c r="HO602"/>
      <c r="HP602"/>
      <c r="HQ602"/>
      <c r="HR602"/>
      <c r="HS602"/>
      <c r="HT602"/>
      <c r="HU602"/>
      <c r="HV602"/>
      <c r="HW602"/>
      <c r="HX602"/>
      <c r="HY602"/>
      <c r="HZ602"/>
      <c r="IA602"/>
      <c r="IB602"/>
      <c r="IC602"/>
      <c r="ID602"/>
      <c r="IE602"/>
      <c r="IF602"/>
      <c r="IG602"/>
      <c r="IH602"/>
      <c r="II602"/>
      <c r="IJ602"/>
      <c r="IK602"/>
      <c r="IL602"/>
      <c r="IM602"/>
      <c r="IN602"/>
      <c r="IO602"/>
      <c r="IP602"/>
      <c r="IQ602"/>
      <c r="IR602"/>
      <c r="IS602"/>
      <c r="IT602"/>
      <c r="IU602"/>
      <c r="IV602"/>
      <c r="IW602"/>
      <c r="IX602"/>
      <c r="IY602"/>
      <c r="IZ602"/>
      <c r="JA602"/>
      <c r="JB602"/>
      <c r="JC602"/>
      <c r="JD602"/>
      <c r="JE602"/>
      <c r="JF602"/>
      <c r="JG602"/>
      <c r="JH602"/>
      <c r="JI602"/>
      <c r="JJ602"/>
      <c r="JK602"/>
      <c r="JL602"/>
      <c r="JM602"/>
      <c r="JN602"/>
      <c r="JO602"/>
      <c r="JP602"/>
      <c r="JQ602"/>
      <c r="JR602"/>
      <c r="JS602"/>
      <c r="JT602"/>
      <c r="JU602"/>
      <c r="JV602"/>
      <c r="JW602"/>
      <c r="JX602"/>
      <c r="JY602"/>
      <c r="JZ602"/>
      <c r="KA602"/>
      <c r="KB602"/>
      <c r="KC602"/>
      <c r="KD602"/>
      <c r="KE602"/>
      <c r="KF602"/>
      <c r="KG602"/>
      <c r="KH602"/>
      <c r="KI602"/>
      <c r="KJ602"/>
      <c r="KK602"/>
      <c r="KL602"/>
      <c r="KM602"/>
      <c r="KN602"/>
      <c r="KO602"/>
      <c r="KP602"/>
      <c r="KQ602"/>
      <c r="KR602"/>
      <c r="KS602"/>
    </row>
    <row r="603" spans="2:305" hidden="1" x14ac:dyDescent="0.35">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c r="AL603"/>
      <c r="AM603"/>
      <c r="AN603"/>
      <c r="AO603"/>
      <c r="AP603"/>
      <c r="AQ603"/>
      <c r="AR603"/>
      <c r="AS603"/>
      <c r="AT603"/>
      <c r="AU603"/>
      <c r="AV603"/>
      <c r="AW603"/>
      <c r="AX603"/>
      <c r="AY603"/>
      <c r="AZ603"/>
      <c r="BA603"/>
      <c r="BB603"/>
      <c r="BC603"/>
      <c r="BD603"/>
      <c r="BE603"/>
      <c r="BF603"/>
      <c r="BG603"/>
      <c r="BH603"/>
      <c r="BI603"/>
      <c r="BJ603"/>
      <c r="BK603"/>
      <c r="BL603"/>
      <c r="BM603"/>
      <c r="BN603"/>
      <c r="BO603"/>
      <c r="BP603"/>
      <c r="BQ603"/>
      <c r="BR603"/>
      <c r="BS603"/>
      <c r="BT603"/>
      <c r="BU603"/>
      <c r="BV603"/>
      <c r="BW603"/>
      <c r="BX603"/>
      <c r="BY603"/>
      <c r="BZ603"/>
      <c r="CA603"/>
      <c r="CB603"/>
      <c r="CC603"/>
      <c r="CD603"/>
      <c r="CE603"/>
      <c r="CF603"/>
      <c r="CG603"/>
      <c r="CH603"/>
      <c r="CI603"/>
      <c r="CJ603"/>
      <c r="CK603"/>
      <c r="CL603"/>
      <c r="CM603"/>
      <c r="CN603"/>
      <c r="CO603"/>
      <c r="CP603"/>
      <c r="CQ603"/>
      <c r="CR603"/>
      <c r="CS603"/>
      <c r="CT603"/>
      <c r="CU603"/>
      <c r="CV603"/>
      <c r="CW603"/>
      <c r="CX603"/>
      <c r="CY603"/>
      <c r="CZ603"/>
      <c r="DA603"/>
      <c r="DB603"/>
      <c r="DC603"/>
      <c r="DD603"/>
      <c r="DE603"/>
      <c r="DF603"/>
      <c r="DG603"/>
      <c r="DH603"/>
      <c r="DI603"/>
      <c r="DJ603"/>
      <c r="DK603"/>
      <c r="DL603"/>
      <c r="DM603"/>
      <c r="DN603"/>
      <c r="DO603"/>
      <c r="DP603"/>
      <c r="DQ603"/>
      <c r="DR603"/>
      <c r="DS603"/>
      <c r="DT603"/>
      <c r="DU603"/>
      <c r="DV603"/>
      <c r="DW603"/>
      <c r="DX603"/>
      <c r="DY603"/>
      <c r="DZ603"/>
      <c r="EA603"/>
      <c r="EB603"/>
      <c r="EC603"/>
      <c r="ED603"/>
      <c r="EE603"/>
      <c r="EF603"/>
      <c r="EG603"/>
      <c r="EH603"/>
      <c r="EI603"/>
      <c r="EJ603"/>
      <c r="EK603"/>
      <c r="EL603"/>
      <c r="EM603"/>
      <c r="EN603"/>
      <c r="EO603"/>
      <c r="EP603"/>
      <c r="EQ603"/>
      <c r="ER603"/>
      <c r="ES603"/>
      <c r="ET603"/>
      <c r="EU603"/>
      <c r="EV603"/>
      <c r="EW603"/>
      <c r="EX603"/>
      <c r="EY603"/>
      <c r="EZ603"/>
      <c r="FA603"/>
      <c r="FB603"/>
      <c r="FC603"/>
      <c r="FD603"/>
      <c r="FE603"/>
      <c r="FF603"/>
      <c r="FG603"/>
      <c r="FH603"/>
      <c r="FI603"/>
      <c r="FJ603"/>
      <c r="FK603"/>
      <c r="FL603"/>
      <c r="FM603"/>
      <c r="FN603"/>
      <c r="FO603"/>
      <c r="FP603"/>
      <c r="FQ603"/>
      <c r="FR603"/>
      <c r="FS603"/>
      <c r="FT603"/>
      <c r="FU603"/>
      <c r="FV603"/>
      <c r="FW603"/>
      <c r="FX603"/>
      <c r="FY603"/>
      <c r="FZ603"/>
      <c r="GA603"/>
      <c r="GB603"/>
      <c r="GC603"/>
      <c r="GD603"/>
      <c r="GE603"/>
      <c r="GF603"/>
      <c r="GG603"/>
      <c r="GH603"/>
      <c r="GI603"/>
      <c r="GJ603"/>
      <c r="GK603"/>
      <c r="GL603"/>
      <c r="GM603"/>
      <c r="GN603"/>
      <c r="GO603"/>
      <c r="GP603"/>
      <c r="GQ603"/>
      <c r="GR603"/>
      <c r="GS603"/>
      <c r="GT603"/>
      <c r="GU603"/>
      <c r="GV603"/>
      <c r="GW603"/>
      <c r="GX603"/>
      <c r="GY603"/>
      <c r="GZ603"/>
      <c r="HA603"/>
      <c r="HB603"/>
      <c r="HC603"/>
      <c r="HD603"/>
      <c r="HE603"/>
      <c r="HF603"/>
      <c r="HG603"/>
      <c r="HH603"/>
      <c r="HI603"/>
      <c r="HJ603"/>
      <c r="HK603"/>
      <c r="HL603"/>
      <c r="HM603"/>
      <c r="HN603"/>
      <c r="HO603"/>
      <c r="HP603"/>
      <c r="HQ603"/>
      <c r="HR603"/>
      <c r="HS603"/>
      <c r="HT603"/>
      <c r="HU603"/>
      <c r="HV603"/>
      <c r="HW603"/>
      <c r="HX603"/>
      <c r="HY603"/>
      <c r="HZ603"/>
      <c r="IA603"/>
      <c r="IB603"/>
      <c r="IC603"/>
      <c r="ID603"/>
      <c r="IE603"/>
      <c r="IF603"/>
      <c r="IG603"/>
      <c r="IH603"/>
      <c r="II603"/>
      <c r="IJ603"/>
      <c r="IK603"/>
      <c r="IL603"/>
      <c r="IM603"/>
      <c r="IN603"/>
      <c r="IO603"/>
      <c r="IP603"/>
      <c r="IQ603"/>
      <c r="IR603"/>
      <c r="IS603"/>
      <c r="IT603"/>
      <c r="IU603"/>
      <c r="IV603"/>
      <c r="IW603"/>
      <c r="IX603"/>
      <c r="IY603"/>
      <c r="IZ603"/>
      <c r="JA603"/>
      <c r="JB603"/>
      <c r="JC603"/>
      <c r="JD603"/>
      <c r="JE603"/>
      <c r="JF603"/>
      <c r="JG603"/>
      <c r="JH603"/>
      <c r="JI603"/>
      <c r="JJ603"/>
      <c r="JK603"/>
      <c r="JL603"/>
      <c r="JM603"/>
      <c r="JN603"/>
      <c r="JO603"/>
      <c r="JP603"/>
      <c r="JQ603"/>
      <c r="JR603"/>
      <c r="JS603"/>
      <c r="JT603"/>
      <c r="JU603"/>
      <c r="JV603"/>
      <c r="JW603"/>
      <c r="JX603"/>
      <c r="JY603"/>
      <c r="JZ603"/>
      <c r="KA603"/>
      <c r="KB603"/>
      <c r="KC603"/>
      <c r="KD603"/>
      <c r="KE603"/>
      <c r="KF603"/>
      <c r="KG603"/>
      <c r="KH603"/>
      <c r="KI603"/>
      <c r="KJ603"/>
      <c r="KK603"/>
      <c r="KL603"/>
      <c r="KM603"/>
      <c r="KN603"/>
      <c r="KO603"/>
      <c r="KP603"/>
      <c r="KQ603"/>
      <c r="KR603"/>
      <c r="KS603"/>
    </row>
    <row r="604" spans="2:305" hidden="1" x14ac:dyDescent="0.35">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c r="AL604"/>
      <c r="AM604"/>
      <c r="AN604"/>
      <c r="AO604"/>
      <c r="AP604"/>
      <c r="AQ604"/>
      <c r="AR604"/>
      <c r="AS604"/>
      <c r="AT604"/>
      <c r="AU604"/>
      <c r="AV604"/>
      <c r="AW604"/>
      <c r="AX604"/>
      <c r="AY604"/>
      <c r="AZ604"/>
      <c r="BA604"/>
      <c r="BB604"/>
      <c r="BC604"/>
      <c r="BD604"/>
      <c r="BE604"/>
      <c r="BF604"/>
      <c r="BG604"/>
      <c r="BH604"/>
      <c r="BI604"/>
      <c r="BJ604"/>
      <c r="BK604"/>
      <c r="BL604"/>
      <c r="BM604"/>
      <c r="BN604"/>
      <c r="BO604"/>
      <c r="BP604"/>
      <c r="BQ604"/>
      <c r="BR604"/>
      <c r="BS604"/>
      <c r="BT604"/>
      <c r="BU604"/>
      <c r="BV604"/>
      <c r="BW604"/>
      <c r="BX604"/>
      <c r="BY604"/>
      <c r="BZ604"/>
      <c r="CA604"/>
      <c r="CB604"/>
      <c r="CC604"/>
      <c r="CD604"/>
      <c r="CE604"/>
      <c r="CF604"/>
      <c r="CG604"/>
      <c r="CH604"/>
      <c r="CI604"/>
      <c r="CJ604"/>
      <c r="CK604"/>
      <c r="CL604"/>
      <c r="CM604"/>
      <c r="CN604"/>
      <c r="CO604"/>
      <c r="CP604"/>
      <c r="CQ604"/>
      <c r="CR604"/>
      <c r="CS604"/>
      <c r="CT604"/>
      <c r="CU604"/>
      <c r="CV604"/>
      <c r="CW604"/>
      <c r="CX604"/>
      <c r="CY604"/>
      <c r="CZ604"/>
      <c r="DA604"/>
      <c r="DB604"/>
      <c r="DC604"/>
      <c r="DD604"/>
      <c r="DE604"/>
      <c r="DF604"/>
      <c r="DG604"/>
      <c r="DH604"/>
      <c r="DI604"/>
      <c r="DJ604"/>
      <c r="DK604"/>
      <c r="DL604"/>
      <c r="DM604"/>
      <c r="DN604"/>
      <c r="DO604"/>
      <c r="DP604"/>
      <c r="DQ604"/>
      <c r="DR604"/>
      <c r="DS604"/>
      <c r="DT604"/>
      <c r="DU604"/>
      <c r="DV604"/>
      <c r="DW604"/>
      <c r="DX604"/>
      <c r="DY604"/>
      <c r="DZ604"/>
      <c r="EA604"/>
      <c r="EB604"/>
      <c r="EC604"/>
      <c r="ED604"/>
      <c r="EE604"/>
      <c r="EF604"/>
      <c r="EG604"/>
      <c r="EH604"/>
      <c r="EI604"/>
      <c r="EJ604"/>
      <c r="EK604"/>
      <c r="EL604"/>
      <c r="EM604"/>
      <c r="EN604"/>
      <c r="EO604"/>
      <c r="EP604"/>
      <c r="EQ604"/>
      <c r="ER604"/>
      <c r="ES604"/>
      <c r="ET604"/>
      <c r="EU604"/>
      <c r="EV604"/>
      <c r="EW604"/>
      <c r="EX604"/>
      <c r="EY604"/>
      <c r="EZ604"/>
      <c r="FA604"/>
      <c r="FB604"/>
      <c r="FC604"/>
      <c r="FD604"/>
      <c r="FE604"/>
      <c r="FF604"/>
      <c r="FG604"/>
      <c r="FH604"/>
      <c r="FI604"/>
      <c r="FJ604"/>
      <c r="FK604"/>
      <c r="FL604"/>
      <c r="FM604"/>
      <c r="FN604"/>
      <c r="FO604"/>
      <c r="FP604"/>
      <c r="FQ604"/>
      <c r="FR604"/>
      <c r="FS604"/>
      <c r="FT604"/>
      <c r="FU604"/>
      <c r="FV604"/>
      <c r="FW604"/>
      <c r="FX604"/>
      <c r="FY604"/>
      <c r="FZ604"/>
      <c r="GA604"/>
      <c r="GB604"/>
      <c r="GC604"/>
      <c r="GD604"/>
      <c r="GE604"/>
      <c r="GF604"/>
      <c r="GG604"/>
      <c r="GH604"/>
      <c r="GI604"/>
      <c r="GJ604"/>
      <c r="GK604"/>
      <c r="GL604"/>
      <c r="GM604"/>
      <c r="GN604"/>
      <c r="GO604"/>
      <c r="GP604"/>
      <c r="GQ604"/>
      <c r="GR604"/>
      <c r="GS604"/>
      <c r="GT604"/>
      <c r="GU604"/>
      <c r="GV604"/>
      <c r="GW604"/>
      <c r="GX604"/>
      <c r="GY604"/>
      <c r="GZ604"/>
      <c r="HA604"/>
      <c r="HB604"/>
      <c r="HC604"/>
      <c r="HD604"/>
      <c r="HE604"/>
      <c r="HF604"/>
      <c r="HG604"/>
      <c r="HH604"/>
      <c r="HI604"/>
      <c r="HJ604"/>
      <c r="HK604"/>
      <c r="HL604"/>
      <c r="HM604"/>
      <c r="HN604"/>
      <c r="HO604"/>
      <c r="HP604"/>
      <c r="HQ604"/>
      <c r="HR604"/>
      <c r="HS604"/>
      <c r="HT604"/>
      <c r="HU604"/>
      <c r="HV604"/>
      <c r="HW604"/>
      <c r="HX604"/>
      <c r="HY604"/>
      <c r="HZ604"/>
      <c r="IA604"/>
      <c r="IB604"/>
      <c r="IC604"/>
      <c r="ID604"/>
      <c r="IE604"/>
      <c r="IF604"/>
      <c r="IG604"/>
      <c r="IH604"/>
      <c r="II604"/>
      <c r="IJ604"/>
      <c r="IK604"/>
      <c r="IL604"/>
      <c r="IM604"/>
      <c r="IN604"/>
      <c r="IO604"/>
      <c r="IP604"/>
      <c r="IQ604"/>
      <c r="IR604"/>
      <c r="IS604"/>
      <c r="IT604"/>
      <c r="IU604"/>
      <c r="IV604"/>
      <c r="IW604"/>
      <c r="IX604"/>
      <c r="IY604"/>
      <c r="IZ604"/>
      <c r="JA604"/>
      <c r="JB604"/>
      <c r="JC604"/>
      <c r="JD604"/>
      <c r="JE604"/>
      <c r="JF604"/>
      <c r="JG604"/>
      <c r="JH604"/>
      <c r="JI604"/>
      <c r="JJ604"/>
      <c r="JK604"/>
      <c r="JL604"/>
      <c r="JM604"/>
      <c r="JN604"/>
      <c r="JO604"/>
      <c r="JP604"/>
      <c r="JQ604"/>
      <c r="JR604"/>
      <c r="JS604"/>
      <c r="JT604"/>
      <c r="JU604"/>
      <c r="JV604"/>
      <c r="JW604"/>
      <c r="JX604"/>
      <c r="JY604"/>
      <c r="JZ604"/>
      <c r="KA604"/>
      <c r="KB604"/>
      <c r="KC604"/>
      <c r="KD604"/>
      <c r="KE604"/>
      <c r="KF604"/>
      <c r="KG604"/>
      <c r="KH604"/>
      <c r="KI604"/>
      <c r="KJ604"/>
      <c r="KK604"/>
      <c r="KL604"/>
      <c r="KM604"/>
      <c r="KN604"/>
      <c r="KO604"/>
      <c r="KP604"/>
      <c r="KQ604"/>
      <c r="KR604"/>
      <c r="KS604"/>
    </row>
    <row r="605" spans="2:305" hidden="1" x14ac:dyDescent="0.3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c r="AL605"/>
      <c r="AM605"/>
      <c r="AN605"/>
      <c r="AO605"/>
      <c r="AP605"/>
      <c r="AQ605"/>
      <c r="AR605"/>
      <c r="AS605"/>
      <c r="AT605"/>
      <c r="AU605"/>
      <c r="AV605"/>
      <c r="AW605"/>
      <c r="AX605"/>
      <c r="AY605"/>
      <c r="AZ605"/>
      <c r="BA605"/>
      <c r="BB605"/>
      <c r="BC605"/>
      <c r="BD605"/>
      <c r="BE605"/>
      <c r="BF605"/>
      <c r="BG605"/>
      <c r="BH605"/>
      <c r="BI605"/>
      <c r="BJ605"/>
      <c r="BK605"/>
      <c r="BL605"/>
      <c r="BM605"/>
      <c r="BN605"/>
      <c r="BO605"/>
      <c r="BP605"/>
      <c r="BQ605"/>
      <c r="BR605"/>
      <c r="BS605"/>
      <c r="BT605"/>
      <c r="BU605"/>
      <c r="BV605"/>
      <c r="BW605"/>
      <c r="BX605"/>
      <c r="BY605"/>
      <c r="BZ605"/>
      <c r="CA605"/>
      <c r="CB605"/>
      <c r="CC605"/>
      <c r="CD605"/>
      <c r="CE605"/>
      <c r="CF605"/>
      <c r="CG605"/>
      <c r="CH605"/>
      <c r="CI605"/>
      <c r="CJ605"/>
      <c r="CK605"/>
      <c r="CL605"/>
      <c r="CM605"/>
      <c r="CN605"/>
      <c r="CO605"/>
      <c r="CP605"/>
      <c r="CQ605"/>
      <c r="CR605"/>
      <c r="CS605"/>
      <c r="CT605"/>
      <c r="CU605"/>
      <c r="CV605"/>
      <c r="CW605"/>
      <c r="CX605"/>
      <c r="CY605"/>
      <c r="CZ605"/>
      <c r="DA605"/>
      <c r="DB605"/>
      <c r="DC605"/>
      <c r="DD605"/>
      <c r="DE605"/>
      <c r="DF605"/>
      <c r="DG605"/>
      <c r="DH605"/>
      <c r="DI605"/>
      <c r="DJ605"/>
      <c r="DK605"/>
      <c r="DL605"/>
      <c r="DM605"/>
      <c r="DN605"/>
      <c r="DO605"/>
      <c r="DP605"/>
      <c r="DQ605"/>
      <c r="DR605"/>
      <c r="DS605"/>
      <c r="DT605"/>
      <c r="DU605"/>
      <c r="DV605"/>
      <c r="DW605"/>
      <c r="DX605"/>
      <c r="DY605"/>
      <c r="DZ605"/>
      <c r="EA605"/>
      <c r="EB605"/>
      <c r="EC605"/>
      <c r="ED605"/>
      <c r="EE605"/>
      <c r="EF605"/>
      <c r="EG605"/>
      <c r="EH605"/>
      <c r="EI605"/>
      <c r="EJ605"/>
      <c r="EK605"/>
      <c r="EL605"/>
      <c r="EM605"/>
      <c r="EN605"/>
      <c r="EO605"/>
      <c r="EP605"/>
      <c r="EQ605"/>
      <c r="ER605"/>
      <c r="ES605"/>
      <c r="ET605"/>
      <c r="EU605"/>
      <c r="EV605"/>
      <c r="EW605"/>
      <c r="EX605"/>
      <c r="EY605"/>
      <c r="EZ605"/>
      <c r="FA605"/>
      <c r="FB605"/>
      <c r="FC605"/>
      <c r="FD605"/>
      <c r="FE605"/>
      <c r="FF605"/>
      <c r="FG605"/>
      <c r="FH605"/>
      <c r="FI605"/>
      <c r="FJ605"/>
      <c r="FK605"/>
      <c r="FL605"/>
      <c r="FM605"/>
      <c r="FN605"/>
      <c r="FO605"/>
      <c r="FP605"/>
      <c r="FQ605"/>
      <c r="FR605"/>
      <c r="FS605"/>
      <c r="FT605"/>
      <c r="FU605"/>
      <c r="FV605"/>
      <c r="FW605"/>
      <c r="FX605"/>
      <c r="FY605"/>
      <c r="FZ605"/>
      <c r="GA605"/>
      <c r="GB605"/>
      <c r="GC605"/>
      <c r="GD605"/>
      <c r="GE605"/>
      <c r="GF605"/>
      <c r="GG605"/>
      <c r="GH605"/>
      <c r="GI605"/>
      <c r="GJ605"/>
      <c r="GK605"/>
      <c r="GL605"/>
      <c r="GM605"/>
      <c r="GN605"/>
      <c r="GO605"/>
      <c r="GP605"/>
      <c r="GQ605"/>
      <c r="GR605"/>
      <c r="GS605"/>
      <c r="GT605"/>
      <c r="GU605"/>
      <c r="GV605"/>
      <c r="GW605"/>
      <c r="GX605"/>
      <c r="GY605"/>
      <c r="GZ605"/>
      <c r="HA605"/>
      <c r="HB605"/>
      <c r="HC605"/>
      <c r="HD605"/>
      <c r="HE605"/>
      <c r="HF605"/>
      <c r="HG605"/>
      <c r="HH605"/>
      <c r="HI605"/>
      <c r="HJ605"/>
      <c r="HK605"/>
      <c r="HL605"/>
      <c r="HM605"/>
      <c r="HN605"/>
      <c r="HO605"/>
      <c r="HP605"/>
      <c r="HQ605"/>
      <c r="HR605"/>
      <c r="HS605"/>
      <c r="HT605"/>
      <c r="HU605"/>
      <c r="HV605"/>
      <c r="HW605"/>
      <c r="HX605"/>
      <c r="HY605"/>
      <c r="HZ605"/>
      <c r="IA605"/>
      <c r="IB605"/>
      <c r="IC605"/>
      <c r="ID605"/>
      <c r="IE605"/>
      <c r="IF605"/>
      <c r="IG605"/>
      <c r="IH605"/>
      <c r="II605"/>
      <c r="IJ605"/>
      <c r="IK605"/>
      <c r="IL605"/>
      <c r="IM605"/>
      <c r="IN605"/>
      <c r="IO605"/>
      <c r="IP605"/>
      <c r="IQ605"/>
      <c r="IR605"/>
      <c r="IS605"/>
      <c r="IT605"/>
      <c r="IU605"/>
      <c r="IV605"/>
      <c r="IW605"/>
      <c r="IX605"/>
      <c r="IY605"/>
      <c r="IZ605"/>
      <c r="JA605"/>
      <c r="JB605"/>
      <c r="JC605"/>
      <c r="JD605"/>
      <c r="JE605"/>
      <c r="JF605"/>
      <c r="JG605"/>
      <c r="JH605"/>
      <c r="JI605"/>
      <c r="JJ605"/>
      <c r="JK605"/>
      <c r="JL605"/>
      <c r="JM605"/>
      <c r="JN605"/>
      <c r="JO605"/>
      <c r="JP605"/>
      <c r="JQ605"/>
      <c r="JR605"/>
      <c r="JS605"/>
      <c r="JT605"/>
      <c r="JU605"/>
      <c r="JV605"/>
      <c r="JW605"/>
      <c r="JX605"/>
      <c r="JY605"/>
      <c r="JZ605"/>
      <c r="KA605"/>
      <c r="KB605"/>
      <c r="KC605"/>
      <c r="KD605"/>
      <c r="KE605"/>
      <c r="KF605"/>
      <c r="KG605"/>
      <c r="KH605"/>
      <c r="KI605"/>
      <c r="KJ605"/>
      <c r="KK605"/>
      <c r="KL605"/>
      <c r="KM605"/>
      <c r="KN605"/>
      <c r="KO605"/>
      <c r="KP605"/>
      <c r="KQ605"/>
      <c r="KR605"/>
      <c r="KS605"/>
    </row>
    <row r="606" spans="2:305" hidden="1" x14ac:dyDescent="0.35">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c r="AL606"/>
      <c r="AM606"/>
      <c r="AN606"/>
      <c r="AO606"/>
      <c r="AP606"/>
      <c r="AQ606"/>
      <c r="AR606"/>
      <c r="AS606"/>
      <c r="AT606"/>
      <c r="AU606"/>
      <c r="AV606"/>
      <c r="AW606"/>
      <c r="AX606"/>
      <c r="AY606"/>
      <c r="AZ606"/>
      <c r="BA606"/>
      <c r="BB606"/>
      <c r="BC606"/>
      <c r="BD606"/>
      <c r="BE606"/>
      <c r="BF606"/>
      <c r="BG606"/>
      <c r="BH606"/>
      <c r="BI606"/>
      <c r="BJ606"/>
      <c r="BK606"/>
      <c r="BL606"/>
      <c r="BM606"/>
      <c r="BN606"/>
      <c r="BO606"/>
      <c r="BP606"/>
      <c r="BQ606"/>
      <c r="BR606"/>
      <c r="BS606"/>
      <c r="BT606"/>
      <c r="BU606"/>
      <c r="BV606"/>
      <c r="BW606"/>
      <c r="BX606"/>
      <c r="BY606"/>
      <c r="BZ606"/>
      <c r="CA606"/>
      <c r="CB606"/>
      <c r="CC606"/>
      <c r="CD606"/>
      <c r="CE606"/>
      <c r="CF606"/>
      <c r="CG606"/>
      <c r="CH606"/>
      <c r="CI606"/>
      <c r="CJ606"/>
      <c r="CK606"/>
      <c r="CL606"/>
      <c r="CM606"/>
      <c r="CN606"/>
      <c r="CO606"/>
      <c r="CP606"/>
      <c r="CQ606"/>
      <c r="CR606"/>
      <c r="CS606"/>
      <c r="CT606"/>
      <c r="CU606"/>
      <c r="CV606"/>
      <c r="CW606"/>
      <c r="CX606"/>
      <c r="CY606"/>
      <c r="CZ606"/>
      <c r="DA606"/>
      <c r="DB606"/>
      <c r="DC606"/>
      <c r="DD606"/>
      <c r="DE606"/>
      <c r="DF606"/>
      <c r="DG606"/>
      <c r="DH606"/>
      <c r="DI606"/>
      <c r="DJ606"/>
      <c r="DK606"/>
      <c r="DL606"/>
      <c r="DM606"/>
      <c r="DN606"/>
      <c r="DO606"/>
      <c r="DP606"/>
      <c r="DQ606"/>
      <c r="DR606"/>
      <c r="DS606"/>
      <c r="DT606"/>
      <c r="DU606"/>
      <c r="DV606"/>
      <c r="DW606"/>
      <c r="DX606"/>
      <c r="DY606"/>
      <c r="DZ606"/>
      <c r="EA606"/>
      <c r="EB606"/>
      <c r="EC606"/>
      <c r="ED606"/>
      <c r="EE606"/>
      <c r="EF606"/>
      <c r="EG606"/>
      <c r="EH606"/>
      <c r="EI606"/>
      <c r="EJ606"/>
      <c r="EK606"/>
      <c r="EL606"/>
      <c r="EM606"/>
      <c r="EN606"/>
      <c r="EO606"/>
      <c r="EP606"/>
      <c r="EQ606"/>
      <c r="ER606"/>
      <c r="ES606"/>
      <c r="ET606"/>
      <c r="EU606"/>
      <c r="EV606"/>
      <c r="EW606"/>
      <c r="EX606"/>
      <c r="EY606"/>
      <c r="EZ606"/>
      <c r="FA606"/>
      <c r="FB606"/>
      <c r="FC606"/>
      <c r="FD606"/>
      <c r="FE606"/>
      <c r="FF606"/>
      <c r="FG606"/>
      <c r="FH606"/>
      <c r="FI606"/>
      <c r="FJ606"/>
      <c r="FK606"/>
      <c r="FL606"/>
      <c r="FM606"/>
      <c r="FN606"/>
      <c r="FO606"/>
      <c r="FP606"/>
      <c r="FQ606"/>
      <c r="FR606"/>
      <c r="FS606"/>
      <c r="FT606"/>
      <c r="FU606"/>
      <c r="FV606"/>
      <c r="FW606"/>
      <c r="FX606"/>
      <c r="FY606"/>
      <c r="FZ606"/>
      <c r="GA606"/>
      <c r="GB606"/>
      <c r="GC606"/>
      <c r="GD606"/>
      <c r="GE606"/>
      <c r="GF606"/>
      <c r="GG606"/>
      <c r="GH606"/>
      <c r="GI606"/>
      <c r="GJ606"/>
      <c r="GK606"/>
      <c r="GL606"/>
      <c r="GM606"/>
      <c r="GN606"/>
      <c r="GO606"/>
      <c r="GP606"/>
      <c r="GQ606"/>
      <c r="GR606"/>
      <c r="GS606"/>
      <c r="GT606"/>
      <c r="GU606"/>
      <c r="GV606"/>
      <c r="GW606"/>
      <c r="GX606"/>
      <c r="GY606"/>
      <c r="GZ606"/>
      <c r="HA606"/>
      <c r="HB606"/>
      <c r="HC606"/>
      <c r="HD606"/>
      <c r="HE606"/>
      <c r="HF606"/>
      <c r="HG606"/>
      <c r="HH606"/>
      <c r="HI606"/>
      <c r="HJ606"/>
      <c r="HK606"/>
      <c r="HL606"/>
      <c r="HM606"/>
      <c r="HN606"/>
      <c r="HO606"/>
      <c r="HP606"/>
      <c r="HQ606"/>
      <c r="HR606"/>
      <c r="HS606"/>
      <c r="HT606"/>
      <c r="HU606"/>
      <c r="HV606"/>
      <c r="HW606"/>
      <c r="HX606"/>
      <c r="HY606"/>
      <c r="HZ606"/>
      <c r="IA606"/>
      <c r="IB606"/>
      <c r="IC606"/>
      <c r="ID606"/>
      <c r="IE606"/>
      <c r="IF606"/>
      <c r="IG606"/>
      <c r="IH606"/>
      <c r="II606"/>
      <c r="IJ606"/>
      <c r="IK606"/>
      <c r="IL606"/>
      <c r="IM606"/>
      <c r="IN606"/>
      <c r="IO606"/>
      <c r="IP606"/>
      <c r="IQ606"/>
      <c r="IR606"/>
      <c r="IS606"/>
      <c r="IT606"/>
      <c r="IU606"/>
      <c r="IV606"/>
      <c r="IW606"/>
      <c r="IX606"/>
      <c r="IY606"/>
      <c r="IZ606"/>
      <c r="JA606"/>
      <c r="JB606"/>
      <c r="JC606"/>
      <c r="JD606"/>
      <c r="JE606"/>
      <c r="JF606"/>
      <c r="JG606"/>
      <c r="JH606"/>
      <c r="JI606"/>
      <c r="JJ606"/>
      <c r="JK606"/>
      <c r="JL606"/>
      <c r="JM606"/>
      <c r="JN606"/>
      <c r="JO606"/>
      <c r="JP606"/>
      <c r="JQ606"/>
      <c r="JR606"/>
      <c r="JS606"/>
      <c r="JT606"/>
      <c r="JU606"/>
      <c r="JV606"/>
      <c r="JW606"/>
      <c r="JX606"/>
      <c r="JY606"/>
      <c r="JZ606"/>
      <c r="KA606"/>
      <c r="KB606"/>
      <c r="KC606"/>
      <c r="KD606"/>
      <c r="KE606"/>
      <c r="KF606"/>
      <c r="KG606"/>
      <c r="KH606"/>
      <c r="KI606"/>
      <c r="KJ606"/>
      <c r="KK606"/>
      <c r="KL606"/>
      <c r="KM606"/>
      <c r="KN606"/>
      <c r="KO606"/>
      <c r="KP606"/>
      <c r="KQ606"/>
      <c r="KR606"/>
      <c r="KS606"/>
    </row>
    <row r="607" spans="2:305" hidden="1" x14ac:dyDescent="0.35">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c r="AL607"/>
      <c r="AM607"/>
      <c r="AN607"/>
      <c r="AO607"/>
      <c r="AP607"/>
      <c r="AQ607"/>
      <c r="AR607"/>
      <c r="AS607"/>
      <c r="AT607"/>
      <c r="AU607"/>
      <c r="AV607"/>
      <c r="AW607"/>
      <c r="AX607"/>
      <c r="AY607"/>
      <c r="AZ607"/>
      <c r="BA607"/>
      <c r="BB607"/>
      <c r="BC607"/>
      <c r="BD607"/>
      <c r="BE607"/>
      <c r="BF607"/>
      <c r="BG607"/>
      <c r="BH607"/>
      <c r="BI607"/>
      <c r="BJ607"/>
      <c r="BK607"/>
      <c r="BL607"/>
      <c r="BM607"/>
      <c r="BN607"/>
      <c r="BO607"/>
      <c r="BP607"/>
      <c r="BQ607"/>
      <c r="BR607"/>
      <c r="BS607"/>
      <c r="BT607"/>
      <c r="BU607"/>
      <c r="BV607"/>
      <c r="BW607"/>
      <c r="BX607"/>
      <c r="BY607"/>
      <c r="BZ607"/>
      <c r="CA607"/>
      <c r="CB607"/>
      <c r="CC607"/>
      <c r="CD607"/>
      <c r="CE607"/>
      <c r="CF607"/>
      <c r="CG607"/>
      <c r="CH607"/>
      <c r="CI607"/>
      <c r="CJ607"/>
      <c r="CK607"/>
      <c r="CL607"/>
      <c r="CM607"/>
      <c r="CN607"/>
      <c r="CO607"/>
      <c r="CP607"/>
      <c r="CQ607"/>
      <c r="CR607"/>
      <c r="CS607"/>
      <c r="CT607"/>
      <c r="CU607"/>
      <c r="CV607"/>
      <c r="CW607"/>
      <c r="CX607"/>
      <c r="CY607"/>
      <c r="CZ607"/>
      <c r="DA607"/>
      <c r="DB607"/>
      <c r="DC607"/>
      <c r="DD607"/>
      <c r="DE607"/>
      <c r="DF607"/>
      <c r="DG607"/>
      <c r="DH607"/>
      <c r="DI607"/>
      <c r="DJ607"/>
      <c r="DK607"/>
      <c r="DL607"/>
      <c r="DM607"/>
      <c r="DN607"/>
      <c r="DO607"/>
      <c r="DP607"/>
      <c r="DQ607"/>
      <c r="DR607"/>
      <c r="DS607"/>
      <c r="DT607"/>
      <c r="DU607"/>
      <c r="DV607"/>
      <c r="DW607"/>
      <c r="DX607"/>
      <c r="DY607"/>
      <c r="DZ607"/>
      <c r="EA607"/>
      <c r="EB607"/>
      <c r="EC607"/>
      <c r="ED607"/>
      <c r="EE607"/>
      <c r="EF607"/>
      <c r="EG607"/>
      <c r="EH607"/>
      <c r="EI607"/>
      <c r="EJ607"/>
      <c r="EK607"/>
      <c r="EL607"/>
      <c r="EM607"/>
      <c r="EN607"/>
      <c r="EO607"/>
      <c r="EP607"/>
      <c r="EQ607"/>
      <c r="ER607"/>
      <c r="ES607"/>
      <c r="ET607"/>
      <c r="EU607"/>
      <c r="EV607"/>
      <c r="EW607"/>
      <c r="EX607"/>
      <c r="EY607"/>
      <c r="EZ607"/>
      <c r="FA607"/>
      <c r="FB607"/>
      <c r="FC607"/>
      <c r="FD607"/>
      <c r="FE607"/>
      <c r="FF607"/>
      <c r="FG607"/>
      <c r="FH607"/>
      <c r="FI607"/>
      <c r="FJ607"/>
      <c r="FK607"/>
      <c r="FL607"/>
      <c r="FM607"/>
      <c r="FN607"/>
      <c r="FO607"/>
      <c r="FP607"/>
      <c r="FQ607"/>
      <c r="FR607"/>
      <c r="FS607"/>
      <c r="FT607"/>
      <c r="FU607"/>
      <c r="FV607"/>
      <c r="FW607"/>
      <c r="FX607"/>
      <c r="FY607"/>
      <c r="FZ607"/>
      <c r="GA607"/>
      <c r="GB607"/>
      <c r="GC607"/>
      <c r="GD607"/>
      <c r="GE607"/>
      <c r="GF607"/>
      <c r="GG607"/>
      <c r="GH607"/>
      <c r="GI607"/>
      <c r="GJ607"/>
      <c r="GK607"/>
      <c r="GL607"/>
      <c r="GM607"/>
      <c r="GN607"/>
      <c r="GO607"/>
      <c r="GP607"/>
      <c r="GQ607"/>
      <c r="GR607"/>
      <c r="GS607"/>
      <c r="GT607"/>
      <c r="GU607"/>
      <c r="GV607"/>
      <c r="GW607"/>
      <c r="GX607"/>
      <c r="GY607"/>
      <c r="GZ607"/>
      <c r="HA607"/>
      <c r="HB607"/>
      <c r="HC607"/>
      <c r="HD607"/>
      <c r="HE607"/>
      <c r="HF607"/>
      <c r="HG607"/>
      <c r="HH607"/>
      <c r="HI607"/>
      <c r="HJ607"/>
      <c r="HK607"/>
      <c r="HL607"/>
      <c r="HM607"/>
      <c r="HN607"/>
      <c r="HO607"/>
      <c r="HP607"/>
      <c r="HQ607"/>
      <c r="HR607"/>
      <c r="HS607"/>
      <c r="HT607"/>
      <c r="HU607"/>
      <c r="HV607"/>
      <c r="HW607"/>
      <c r="HX607"/>
      <c r="HY607"/>
      <c r="HZ607"/>
      <c r="IA607"/>
      <c r="IB607"/>
      <c r="IC607"/>
      <c r="ID607"/>
      <c r="IE607"/>
      <c r="IF607"/>
      <c r="IG607"/>
      <c r="IH607"/>
      <c r="II607"/>
      <c r="IJ607"/>
      <c r="IK607"/>
      <c r="IL607"/>
      <c r="IM607"/>
      <c r="IN607"/>
      <c r="IO607"/>
      <c r="IP607"/>
      <c r="IQ607"/>
      <c r="IR607"/>
      <c r="IS607"/>
      <c r="IT607"/>
      <c r="IU607"/>
      <c r="IV607"/>
      <c r="IW607"/>
      <c r="IX607"/>
      <c r="IY607"/>
      <c r="IZ607"/>
      <c r="JA607"/>
      <c r="JB607"/>
      <c r="JC607"/>
      <c r="JD607"/>
      <c r="JE607"/>
      <c r="JF607"/>
      <c r="JG607"/>
      <c r="JH607"/>
      <c r="JI607"/>
      <c r="JJ607"/>
      <c r="JK607"/>
      <c r="JL607"/>
      <c r="JM607"/>
      <c r="JN607"/>
      <c r="JO607"/>
      <c r="JP607"/>
      <c r="JQ607"/>
      <c r="JR607"/>
      <c r="JS607"/>
      <c r="JT607"/>
      <c r="JU607"/>
      <c r="JV607"/>
      <c r="JW607"/>
      <c r="JX607"/>
      <c r="JY607"/>
      <c r="JZ607"/>
      <c r="KA607"/>
      <c r="KB607"/>
      <c r="KC607"/>
      <c r="KD607"/>
      <c r="KE607"/>
      <c r="KF607"/>
      <c r="KG607"/>
      <c r="KH607"/>
      <c r="KI607"/>
      <c r="KJ607"/>
      <c r="KK607"/>
      <c r="KL607"/>
      <c r="KM607"/>
      <c r="KN607"/>
      <c r="KO607"/>
      <c r="KP607"/>
      <c r="KQ607"/>
      <c r="KR607"/>
      <c r="KS607"/>
    </row>
    <row r="608" spans="2:305" hidden="1" x14ac:dyDescent="0.35">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c r="AL608"/>
      <c r="AM608"/>
      <c r="AN608"/>
      <c r="AO608"/>
      <c r="AP608"/>
      <c r="AQ608"/>
      <c r="AR608"/>
      <c r="AS608"/>
      <c r="AT608"/>
      <c r="AU608"/>
      <c r="AV608"/>
      <c r="AW608"/>
      <c r="AX608"/>
      <c r="AY608"/>
      <c r="AZ608"/>
      <c r="BA608"/>
      <c r="BB608"/>
      <c r="BC608"/>
      <c r="BD608"/>
      <c r="BE608"/>
      <c r="BF608"/>
      <c r="BG608"/>
      <c r="BH608"/>
      <c r="BI608"/>
      <c r="BJ608"/>
      <c r="BK608"/>
      <c r="BL608"/>
      <c r="BM608"/>
      <c r="BN608"/>
      <c r="BO608"/>
      <c r="BP608"/>
      <c r="BQ608"/>
      <c r="BR608"/>
      <c r="BS608"/>
      <c r="BT608"/>
      <c r="BU608"/>
      <c r="BV608"/>
      <c r="BW608"/>
      <c r="BX608"/>
      <c r="BY608"/>
      <c r="BZ608"/>
      <c r="CA608"/>
      <c r="CB608"/>
      <c r="CC608"/>
      <c r="CD608"/>
      <c r="CE608"/>
      <c r="CF608"/>
      <c r="CG608"/>
      <c r="CH608"/>
      <c r="CI608"/>
      <c r="CJ608"/>
      <c r="CK608"/>
      <c r="CL608"/>
      <c r="CM608"/>
      <c r="CN608"/>
      <c r="CO608"/>
      <c r="CP608"/>
      <c r="CQ608"/>
      <c r="CR608"/>
      <c r="CS608"/>
      <c r="CT608"/>
      <c r="CU608"/>
      <c r="CV608"/>
      <c r="CW608"/>
      <c r="CX608"/>
      <c r="CY608"/>
      <c r="CZ608"/>
      <c r="DA608"/>
      <c r="DB608"/>
      <c r="DC608"/>
      <c r="DD608"/>
      <c r="DE608"/>
      <c r="DF608"/>
      <c r="DG608"/>
      <c r="DH608"/>
      <c r="DI608"/>
      <c r="DJ608"/>
      <c r="DK608"/>
      <c r="DL608"/>
      <c r="DM608"/>
      <c r="DN608"/>
      <c r="DO608"/>
      <c r="DP608"/>
      <c r="DQ608"/>
      <c r="DR608"/>
      <c r="DS608"/>
      <c r="DT608"/>
      <c r="DU608"/>
      <c r="DV608"/>
      <c r="DW608"/>
      <c r="DX608"/>
      <c r="DY608"/>
      <c r="DZ608"/>
      <c r="EA608"/>
      <c r="EB608"/>
      <c r="EC608"/>
      <c r="ED608"/>
      <c r="EE608"/>
      <c r="EF608"/>
      <c r="EG608"/>
      <c r="EH608"/>
      <c r="EI608"/>
      <c r="EJ608"/>
      <c r="EK608"/>
      <c r="EL608"/>
      <c r="EM608"/>
      <c r="EN608"/>
      <c r="EO608"/>
      <c r="EP608"/>
      <c r="EQ608"/>
      <c r="ER608"/>
      <c r="ES608"/>
      <c r="ET608"/>
      <c r="EU608"/>
      <c r="EV608"/>
      <c r="EW608"/>
      <c r="EX608"/>
      <c r="EY608"/>
      <c r="EZ608"/>
      <c r="FA608"/>
      <c r="FB608"/>
      <c r="FC608"/>
      <c r="FD608"/>
      <c r="FE608"/>
      <c r="FF608"/>
      <c r="FG608"/>
      <c r="FH608"/>
      <c r="FI608"/>
      <c r="FJ608"/>
      <c r="FK608"/>
      <c r="FL608"/>
      <c r="FM608"/>
      <c r="FN608"/>
      <c r="FO608"/>
      <c r="FP608"/>
      <c r="FQ608"/>
      <c r="FR608"/>
      <c r="FS608"/>
      <c r="FT608"/>
      <c r="FU608"/>
      <c r="FV608"/>
      <c r="FW608"/>
      <c r="FX608"/>
      <c r="FY608"/>
      <c r="FZ608"/>
      <c r="GA608"/>
      <c r="GB608"/>
      <c r="GC608"/>
      <c r="GD608"/>
      <c r="GE608"/>
      <c r="GF608"/>
      <c r="GG608"/>
      <c r="GH608"/>
      <c r="GI608"/>
      <c r="GJ608"/>
      <c r="GK608"/>
      <c r="GL608"/>
      <c r="GM608"/>
      <c r="GN608"/>
      <c r="GO608"/>
      <c r="GP608"/>
      <c r="GQ608"/>
      <c r="GR608"/>
      <c r="GS608"/>
      <c r="GT608"/>
      <c r="GU608"/>
      <c r="GV608"/>
      <c r="GW608"/>
      <c r="GX608"/>
      <c r="GY608"/>
      <c r="GZ608"/>
      <c r="HA608"/>
      <c r="HB608"/>
      <c r="HC608"/>
      <c r="HD608"/>
      <c r="HE608"/>
      <c r="HF608"/>
      <c r="HG608"/>
      <c r="HH608"/>
      <c r="HI608"/>
      <c r="HJ608"/>
      <c r="HK608"/>
      <c r="HL608"/>
      <c r="HM608"/>
      <c r="HN608"/>
      <c r="HO608"/>
      <c r="HP608"/>
      <c r="HQ608"/>
      <c r="HR608"/>
      <c r="HS608"/>
      <c r="HT608"/>
      <c r="HU608"/>
      <c r="HV608"/>
      <c r="HW608"/>
      <c r="HX608"/>
      <c r="HY608"/>
      <c r="HZ608"/>
      <c r="IA608"/>
      <c r="IB608"/>
      <c r="IC608"/>
      <c r="ID608"/>
      <c r="IE608"/>
      <c r="IF608"/>
      <c r="IG608"/>
      <c r="IH608"/>
      <c r="II608"/>
      <c r="IJ608"/>
      <c r="IK608"/>
      <c r="IL608"/>
      <c r="IM608"/>
      <c r="IN608"/>
      <c r="IO608"/>
      <c r="IP608"/>
      <c r="IQ608"/>
      <c r="IR608"/>
      <c r="IS608"/>
      <c r="IT608"/>
      <c r="IU608"/>
      <c r="IV608"/>
      <c r="IW608"/>
      <c r="IX608"/>
      <c r="IY608"/>
      <c r="IZ608"/>
      <c r="JA608"/>
      <c r="JB608"/>
      <c r="JC608"/>
      <c r="JD608"/>
      <c r="JE608"/>
      <c r="JF608"/>
      <c r="JG608"/>
      <c r="JH608"/>
      <c r="JI608"/>
      <c r="JJ608"/>
      <c r="JK608"/>
      <c r="JL608"/>
      <c r="JM608"/>
      <c r="JN608"/>
      <c r="JO608"/>
      <c r="JP608"/>
      <c r="JQ608"/>
      <c r="JR608"/>
      <c r="JS608"/>
      <c r="JT608"/>
      <c r="JU608"/>
      <c r="JV608"/>
      <c r="JW608"/>
      <c r="JX608"/>
      <c r="JY608"/>
      <c r="JZ608"/>
      <c r="KA608"/>
      <c r="KB608"/>
      <c r="KC608"/>
      <c r="KD608"/>
      <c r="KE608"/>
      <c r="KF608"/>
      <c r="KG608"/>
      <c r="KH608"/>
      <c r="KI608"/>
      <c r="KJ608"/>
      <c r="KK608"/>
      <c r="KL608"/>
      <c r="KM608"/>
      <c r="KN608"/>
      <c r="KO608"/>
      <c r="KP608"/>
      <c r="KQ608"/>
      <c r="KR608"/>
      <c r="KS608"/>
    </row>
    <row r="609" spans="2:305" hidden="1" x14ac:dyDescent="0.35">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c r="AL609"/>
      <c r="AM609"/>
      <c r="AN609"/>
      <c r="AO609"/>
      <c r="AP609"/>
      <c r="AQ609"/>
      <c r="AR609"/>
      <c r="AS609"/>
      <c r="AT609"/>
      <c r="AU609"/>
      <c r="AV609"/>
      <c r="AW609"/>
      <c r="AX609"/>
      <c r="AY609"/>
      <c r="AZ609"/>
      <c r="BA609"/>
      <c r="BB609"/>
      <c r="BC609"/>
      <c r="BD609"/>
      <c r="BE609"/>
      <c r="BF609"/>
      <c r="BG609"/>
      <c r="BH609"/>
      <c r="BI609"/>
      <c r="BJ609"/>
      <c r="BK609"/>
      <c r="BL609"/>
      <c r="BM609"/>
      <c r="BN609"/>
      <c r="BO609"/>
      <c r="BP609"/>
      <c r="BQ609"/>
      <c r="BR609"/>
      <c r="BS609"/>
      <c r="BT609"/>
      <c r="BU609"/>
      <c r="BV609"/>
      <c r="BW609"/>
      <c r="BX609"/>
      <c r="BY609"/>
      <c r="BZ609"/>
      <c r="CA609"/>
      <c r="CB609"/>
      <c r="CC609"/>
      <c r="CD609"/>
      <c r="CE609"/>
      <c r="CF609"/>
      <c r="CG609"/>
      <c r="CH609"/>
      <c r="CI609"/>
      <c r="CJ609"/>
      <c r="CK609"/>
      <c r="CL609"/>
      <c r="CM609"/>
      <c r="CN609"/>
      <c r="CO609"/>
      <c r="CP609"/>
      <c r="CQ609"/>
      <c r="CR609"/>
      <c r="CS609"/>
      <c r="CT609"/>
      <c r="CU609"/>
      <c r="CV609"/>
      <c r="CW609"/>
      <c r="CX609"/>
      <c r="CY609"/>
      <c r="CZ609"/>
      <c r="DA609"/>
      <c r="DB609"/>
      <c r="DC609"/>
      <c r="DD609"/>
      <c r="DE609"/>
      <c r="DF609"/>
      <c r="DG609"/>
      <c r="DH609"/>
      <c r="DI609"/>
      <c r="DJ609"/>
      <c r="DK609"/>
      <c r="DL609"/>
      <c r="DM609"/>
      <c r="DN609"/>
      <c r="DO609"/>
      <c r="DP609"/>
      <c r="DQ609"/>
      <c r="DR609"/>
      <c r="DS609"/>
      <c r="DT609"/>
      <c r="DU609"/>
      <c r="DV609"/>
      <c r="DW609"/>
      <c r="DX609"/>
      <c r="DY609"/>
      <c r="DZ609"/>
      <c r="EA609"/>
      <c r="EB609"/>
      <c r="EC609"/>
      <c r="ED609"/>
      <c r="EE609"/>
      <c r="EF609"/>
      <c r="EG609"/>
      <c r="EH609"/>
      <c r="EI609"/>
      <c r="EJ609"/>
      <c r="EK609"/>
      <c r="EL609"/>
      <c r="EM609"/>
      <c r="EN609"/>
      <c r="EO609"/>
      <c r="EP609"/>
      <c r="EQ609"/>
      <c r="ER609"/>
      <c r="ES609"/>
      <c r="ET609"/>
      <c r="EU609"/>
      <c r="EV609"/>
      <c r="EW609"/>
      <c r="EX609"/>
      <c r="EY609"/>
      <c r="EZ609"/>
      <c r="FA609"/>
      <c r="FB609"/>
      <c r="FC609"/>
      <c r="FD609"/>
      <c r="FE609"/>
      <c r="FF609"/>
      <c r="FG609"/>
      <c r="FH609"/>
      <c r="FI609"/>
      <c r="FJ609"/>
      <c r="FK609"/>
      <c r="FL609"/>
      <c r="FM609"/>
      <c r="FN609"/>
      <c r="FO609"/>
      <c r="FP609"/>
      <c r="FQ609"/>
      <c r="FR609"/>
      <c r="FS609"/>
      <c r="FT609"/>
      <c r="FU609"/>
      <c r="FV609"/>
      <c r="FW609"/>
      <c r="FX609"/>
      <c r="FY609"/>
      <c r="FZ609"/>
      <c r="GA609"/>
      <c r="GB609"/>
      <c r="GC609"/>
      <c r="GD609"/>
      <c r="GE609"/>
      <c r="GF609"/>
      <c r="GG609"/>
      <c r="GH609"/>
      <c r="GI609"/>
      <c r="GJ609"/>
      <c r="GK609"/>
      <c r="GL609"/>
      <c r="GM609"/>
      <c r="GN609"/>
      <c r="GO609"/>
      <c r="GP609"/>
      <c r="GQ609"/>
      <c r="GR609"/>
      <c r="GS609"/>
      <c r="GT609"/>
      <c r="GU609"/>
      <c r="GV609"/>
      <c r="GW609"/>
      <c r="GX609"/>
      <c r="GY609"/>
      <c r="GZ609"/>
      <c r="HA609"/>
      <c r="HB609"/>
      <c r="HC609"/>
      <c r="HD609"/>
      <c r="HE609"/>
      <c r="HF609"/>
      <c r="HG609"/>
      <c r="HH609"/>
      <c r="HI609"/>
      <c r="HJ609"/>
      <c r="HK609"/>
      <c r="HL609"/>
      <c r="HM609"/>
      <c r="HN609"/>
      <c r="HO609"/>
      <c r="HP609"/>
      <c r="HQ609"/>
      <c r="HR609"/>
      <c r="HS609"/>
      <c r="HT609"/>
      <c r="HU609"/>
      <c r="HV609"/>
      <c r="HW609"/>
      <c r="HX609"/>
      <c r="HY609"/>
      <c r="HZ609"/>
      <c r="IA609"/>
      <c r="IB609"/>
      <c r="IC609"/>
      <c r="ID609"/>
      <c r="IE609"/>
      <c r="IF609"/>
      <c r="IG609"/>
      <c r="IH609"/>
      <c r="II609"/>
      <c r="IJ609"/>
      <c r="IK609"/>
      <c r="IL609"/>
      <c r="IM609"/>
      <c r="IN609"/>
      <c r="IO609"/>
      <c r="IP609"/>
      <c r="IQ609"/>
      <c r="IR609"/>
      <c r="IS609"/>
      <c r="IT609"/>
      <c r="IU609"/>
      <c r="IV609"/>
      <c r="IW609"/>
      <c r="IX609"/>
      <c r="IY609"/>
      <c r="IZ609"/>
      <c r="JA609"/>
      <c r="JB609"/>
      <c r="JC609"/>
      <c r="JD609"/>
      <c r="JE609"/>
      <c r="JF609"/>
      <c r="JG609"/>
      <c r="JH609"/>
      <c r="JI609"/>
      <c r="JJ609"/>
      <c r="JK609"/>
      <c r="JL609"/>
      <c r="JM609"/>
      <c r="JN609"/>
      <c r="JO609"/>
      <c r="JP609"/>
      <c r="JQ609"/>
      <c r="JR609"/>
      <c r="JS609"/>
      <c r="JT609"/>
      <c r="JU609"/>
      <c r="JV609"/>
      <c r="JW609"/>
      <c r="JX609"/>
      <c r="JY609"/>
      <c r="JZ609"/>
      <c r="KA609"/>
      <c r="KB609"/>
      <c r="KC609"/>
      <c r="KD609"/>
      <c r="KE609"/>
      <c r="KF609"/>
      <c r="KG609"/>
      <c r="KH609"/>
      <c r="KI609"/>
      <c r="KJ609"/>
      <c r="KK609"/>
      <c r="KL609"/>
      <c r="KM609"/>
      <c r="KN609"/>
      <c r="KO609"/>
      <c r="KP609"/>
      <c r="KQ609"/>
      <c r="KR609"/>
      <c r="KS609"/>
    </row>
    <row r="610" spans="2:305" hidden="1" x14ac:dyDescent="0.35">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c r="AL610"/>
      <c r="AM610"/>
      <c r="AN610"/>
      <c r="AO610"/>
      <c r="AP610"/>
      <c r="AQ610"/>
      <c r="AR610"/>
      <c r="AS610"/>
      <c r="AT610"/>
      <c r="AU610"/>
      <c r="AV610"/>
      <c r="AW610"/>
      <c r="AX610"/>
      <c r="AY610"/>
      <c r="AZ610"/>
      <c r="BA610"/>
      <c r="BB610"/>
      <c r="BC610"/>
      <c r="BD610"/>
      <c r="BE610"/>
      <c r="BF610"/>
      <c r="BG610"/>
      <c r="BH610"/>
      <c r="BI610"/>
      <c r="BJ610"/>
      <c r="BK610"/>
      <c r="BL610"/>
      <c r="BM610"/>
      <c r="BN610"/>
      <c r="BO610"/>
      <c r="BP610"/>
      <c r="BQ610"/>
      <c r="BR610"/>
      <c r="BS610"/>
      <c r="BT610"/>
      <c r="BU610"/>
      <c r="BV610"/>
      <c r="BW610"/>
      <c r="BX610"/>
      <c r="BY610"/>
      <c r="BZ610"/>
      <c r="CA610"/>
      <c r="CB610"/>
      <c r="CC610"/>
      <c r="CD610"/>
      <c r="CE610"/>
      <c r="CF610"/>
      <c r="CG610"/>
      <c r="CH610"/>
      <c r="CI610"/>
      <c r="CJ610"/>
      <c r="CK610"/>
      <c r="CL610"/>
      <c r="CM610"/>
      <c r="CN610"/>
      <c r="CO610"/>
      <c r="CP610"/>
      <c r="CQ610"/>
      <c r="CR610"/>
      <c r="CS610"/>
      <c r="CT610"/>
      <c r="CU610"/>
      <c r="CV610"/>
      <c r="CW610"/>
      <c r="CX610"/>
      <c r="CY610"/>
      <c r="CZ610"/>
      <c r="DA610"/>
      <c r="DB610"/>
      <c r="DC610"/>
      <c r="DD610"/>
      <c r="DE610"/>
      <c r="DF610"/>
      <c r="DG610"/>
      <c r="DH610"/>
      <c r="DI610"/>
      <c r="DJ610"/>
      <c r="DK610"/>
      <c r="DL610"/>
      <c r="DM610"/>
      <c r="DN610"/>
      <c r="DO610"/>
      <c r="DP610"/>
      <c r="DQ610"/>
      <c r="DR610"/>
      <c r="DS610"/>
      <c r="DT610"/>
      <c r="DU610"/>
      <c r="DV610"/>
      <c r="DW610"/>
      <c r="DX610"/>
      <c r="DY610"/>
      <c r="DZ610"/>
      <c r="EA610"/>
      <c r="EB610"/>
      <c r="EC610"/>
      <c r="ED610"/>
      <c r="EE610"/>
      <c r="EF610"/>
      <c r="EG610"/>
      <c r="EH610"/>
      <c r="EI610"/>
      <c r="EJ610"/>
      <c r="EK610"/>
      <c r="EL610"/>
      <c r="EM610"/>
      <c r="EN610"/>
      <c r="EO610"/>
      <c r="EP610"/>
      <c r="EQ610"/>
      <c r="ER610"/>
      <c r="ES610"/>
      <c r="ET610"/>
      <c r="EU610"/>
      <c r="EV610"/>
      <c r="EW610"/>
      <c r="EX610"/>
      <c r="EY610"/>
      <c r="EZ610"/>
      <c r="FA610"/>
      <c r="FB610"/>
      <c r="FC610"/>
      <c r="FD610"/>
      <c r="FE610"/>
      <c r="FF610"/>
      <c r="FG610"/>
      <c r="FH610"/>
      <c r="FI610"/>
      <c r="FJ610"/>
      <c r="FK610"/>
      <c r="FL610"/>
      <c r="FM610"/>
      <c r="FN610"/>
      <c r="FO610"/>
      <c r="FP610"/>
      <c r="FQ610"/>
      <c r="FR610"/>
      <c r="FS610"/>
      <c r="FT610"/>
      <c r="FU610"/>
      <c r="FV610"/>
      <c r="FW610"/>
      <c r="FX610"/>
      <c r="FY610"/>
      <c r="FZ610"/>
      <c r="GA610"/>
      <c r="GB610"/>
      <c r="GC610"/>
      <c r="GD610"/>
      <c r="GE610"/>
      <c r="GF610"/>
      <c r="GG610"/>
      <c r="GH610"/>
      <c r="GI610"/>
      <c r="GJ610"/>
      <c r="GK610"/>
      <c r="GL610"/>
      <c r="GM610"/>
      <c r="GN610"/>
      <c r="GO610"/>
      <c r="GP610"/>
      <c r="GQ610"/>
      <c r="GR610"/>
      <c r="GS610"/>
      <c r="GT610"/>
      <c r="GU610"/>
      <c r="GV610"/>
      <c r="GW610"/>
      <c r="GX610"/>
      <c r="GY610"/>
      <c r="GZ610"/>
      <c r="HA610"/>
      <c r="HB610"/>
      <c r="HC610"/>
      <c r="HD610"/>
      <c r="HE610"/>
      <c r="HF610"/>
      <c r="HG610"/>
      <c r="HH610"/>
      <c r="HI610"/>
      <c r="HJ610"/>
      <c r="HK610"/>
      <c r="HL610"/>
      <c r="HM610"/>
      <c r="HN610"/>
      <c r="HO610"/>
      <c r="HP610"/>
      <c r="HQ610"/>
      <c r="HR610"/>
      <c r="HS610"/>
      <c r="HT610"/>
      <c r="HU610"/>
      <c r="HV610"/>
      <c r="HW610"/>
      <c r="HX610"/>
      <c r="HY610"/>
      <c r="HZ610"/>
      <c r="IA610"/>
      <c r="IB610"/>
      <c r="IC610"/>
      <c r="ID610"/>
      <c r="IE610"/>
      <c r="IF610"/>
      <c r="IG610"/>
      <c r="IH610"/>
      <c r="II610"/>
      <c r="IJ610"/>
      <c r="IK610"/>
      <c r="IL610"/>
      <c r="IM610"/>
      <c r="IN610"/>
      <c r="IO610"/>
      <c r="IP610"/>
      <c r="IQ610"/>
      <c r="IR610"/>
      <c r="IS610"/>
      <c r="IT610"/>
      <c r="IU610"/>
      <c r="IV610"/>
      <c r="IW610"/>
      <c r="IX610"/>
      <c r="IY610"/>
      <c r="IZ610"/>
      <c r="JA610"/>
      <c r="JB610"/>
      <c r="JC610"/>
      <c r="JD610"/>
      <c r="JE610"/>
      <c r="JF610"/>
      <c r="JG610"/>
      <c r="JH610"/>
      <c r="JI610"/>
      <c r="JJ610"/>
      <c r="JK610"/>
      <c r="JL610"/>
      <c r="JM610"/>
      <c r="JN610"/>
      <c r="JO610"/>
      <c r="JP610"/>
      <c r="JQ610"/>
      <c r="JR610"/>
      <c r="JS610"/>
      <c r="JT610"/>
      <c r="JU610"/>
      <c r="JV610"/>
      <c r="JW610"/>
      <c r="JX610"/>
      <c r="JY610"/>
      <c r="JZ610"/>
      <c r="KA610"/>
      <c r="KB610"/>
      <c r="KC610"/>
      <c r="KD610"/>
      <c r="KE610"/>
      <c r="KF610"/>
      <c r="KG610"/>
      <c r="KH610"/>
      <c r="KI610"/>
      <c r="KJ610"/>
      <c r="KK610"/>
      <c r="KL610"/>
      <c r="KM610"/>
      <c r="KN610"/>
      <c r="KO610"/>
      <c r="KP610"/>
      <c r="KQ610"/>
      <c r="KR610"/>
      <c r="KS610"/>
    </row>
    <row r="611" spans="2:305" hidden="1" x14ac:dyDescent="0.35">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c r="AL611"/>
      <c r="AM611"/>
      <c r="AN611"/>
      <c r="AO611"/>
      <c r="AP611"/>
      <c r="AQ611"/>
      <c r="AR611"/>
      <c r="AS611"/>
      <c r="AT611"/>
      <c r="AU611"/>
      <c r="AV611"/>
      <c r="AW611"/>
      <c r="AX611"/>
      <c r="AY611"/>
      <c r="AZ611"/>
      <c r="BA611"/>
      <c r="BB611"/>
      <c r="BC611"/>
      <c r="BD611"/>
      <c r="BE611"/>
      <c r="BF611"/>
      <c r="BG611"/>
      <c r="BH611"/>
      <c r="BI611"/>
      <c r="BJ611"/>
      <c r="BK611"/>
      <c r="BL611"/>
      <c r="BM611"/>
      <c r="BN611"/>
      <c r="BO611"/>
      <c r="BP611"/>
      <c r="BQ611"/>
      <c r="BR611"/>
      <c r="BS611"/>
      <c r="BT611"/>
      <c r="BU611"/>
      <c r="BV611"/>
      <c r="BW611"/>
      <c r="BX611"/>
      <c r="BY611"/>
      <c r="BZ611"/>
      <c r="CA611"/>
      <c r="CB611"/>
      <c r="CC611"/>
      <c r="CD611"/>
      <c r="CE611"/>
      <c r="CF611"/>
      <c r="CG611"/>
      <c r="CH611"/>
      <c r="CI611"/>
      <c r="CJ611"/>
      <c r="CK611"/>
      <c r="CL611"/>
      <c r="CM611"/>
      <c r="CN611"/>
      <c r="CO611"/>
      <c r="CP611"/>
      <c r="CQ611"/>
      <c r="CR611"/>
      <c r="CS611"/>
      <c r="CT611"/>
      <c r="CU611"/>
      <c r="CV611"/>
      <c r="CW611"/>
      <c r="CX611"/>
      <c r="CY611"/>
      <c r="CZ611"/>
      <c r="DA611"/>
      <c r="DB611"/>
      <c r="DC611"/>
      <c r="DD611"/>
      <c r="DE611"/>
      <c r="DF611"/>
      <c r="DG611"/>
      <c r="DH611"/>
      <c r="DI611"/>
      <c r="DJ611"/>
      <c r="DK611"/>
      <c r="DL611"/>
      <c r="DM611"/>
      <c r="DN611"/>
      <c r="DO611"/>
      <c r="DP611"/>
      <c r="DQ611"/>
      <c r="DR611"/>
      <c r="DS611"/>
      <c r="DT611"/>
      <c r="DU611"/>
      <c r="DV611"/>
      <c r="DW611"/>
      <c r="DX611"/>
      <c r="DY611"/>
      <c r="DZ611"/>
      <c r="EA611"/>
      <c r="EB611"/>
      <c r="EC611"/>
      <c r="ED611"/>
      <c r="EE611"/>
      <c r="EF611"/>
      <c r="EG611"/>
      <c r="EH611"/>
      <c r="EI611"/>
      <c r="EJ611"/>
      <c r="EK611"/>
      <c r="EL611"/>
      <c r="EM611"/>
      <c r="EN611"/>
      <c r="EO611"/>
      <c r="EP611"/>
      <c r="EQ611"/>
      <c r="ER611"/>
      <c r="ES611"/>
      <c r="ET611"/>
      <c r="EU611"/>
      <c r="EV611"/>
      <c r="EW611"/>
      <c r="EX611"/>
      <c r="EY611"/>
      <c r="EZ611"/>
      <c r="FA611"/>
      <c r="FB611"/>
      <c r="FC611"/>
      <c r="FD611"/>
      <c r="FE611"/>
      <c r="FF611"/>
      <c r="FG611"/>
      <c r="FH611"/>
      <c r="FI611"/>
      <c r="FJ611"/>
      <c r="FK611"/>
      <c r="FL611"/>
      <c r="FM611"/>
      <c r="FN611"/>
      <c r="FO611"/>
      <c r="FP611"/>
      <c r="FQ611"/>
      <c r="FR611"/>
      <c r="FS611"/>
      <c r="FT611"/>
      <c r="FU611"/>
      <c r="FV611"/>
      <c r="FW611"/>
      <c r="FX611"/>
      <c r="FY611"/>
      <c r="FZ611"/>
      <c r="GA611"/>
      <c r="GB611"/>
      <c r="GC611"/>
      <c r="GD611"/>
      <c r="GE611"/>
      <c r="GF611"/>
      <c r="GG611"/>
      <c r="GH611"/>
      <c r="GI611"/>
      <c r="GJ611"/>
      <c r="GK611"/>
      <c r="GL611"/>
      <c r="GM611"/>
      <c r="GN611"/>
      <c r="GO611"/>
      <c r="GP611"/>
      <c r="GQ611"/>
      <c r="GR611"/>
      <c r="GS611"/>
      <c r="GT611"/>
      <c r="GU611"/>
      <c r="GV611"/>
      <c r="GW611"/>
      <c r="GX611"/>
      <c r="GY611"/>
      <c r="GZ611"/>
      <c r="HA611"/>
      <c r="HB611"/>
      <c r="HC611"/>
      <c r="HD611"/>
      <c r="HE611"/>
      <c r="HF611"/>
      <c r="HG611"/>
      <c r="HH611"/>
      <c r="HI611"/>
      <c r="HJ611"/>
      <c r="HK611"/>
      <c r="HL611"/>
      <c r="HM611"/>
      <c r="HN611"/>
      <c r="HO611"/>
      <c r="HP611"/>
      <c r="HQ611"/>
      <c r="HR611"/>
      <c r="HS611"/>
      <c r="HT611"/>
      <c r="HU611"/>
      <c r="HV611"/>
      <c r="HW611"/>
      <c r="HX611"/>
      <c r="HY611"/>
      <c r="HZ611"/>
      <c r="IA611"/>
      <c r="IB611"/>
      <c r="IC611"/>
      <c r="ID611"/>
      <c r="IE611"/>
      <c r="IF611"/>
      <c r="IG611"/>
      <c r="IH611"/>
      <c r="II611"/>
      <c r="IJ611"/>
      <c r="IK611"/>
      <c r="IL611"/>
      <c r="IM611"/>
      <c r="IN611"/>
      <c r="IO611"/>
      <c r="IP611"/>
      <c r="IQ611"/>
      <c r="IR611"/>
      <c r="IS611"/>
      <c r="IT611"/>
      <c r="IU611"/>
      <c r="IV611"/>
      <c r="IW611"/>
      <c r="IX611"/>
      <c r="IY611"/>
      <c r="IZ611"/>
      <c r="JA611"/>
      <c r="JB611"/>
      <c r="JC611"/>
      <c r="JD611"/>
      <c r="JE611"/>
      <c r="JF611"/>
      <c r="JG611"/>
      <c r="JH611"/>
      <c r="JI611"/>
      <c r="JJ611"/>
      <c r="JK611"/>
      <c r="JL611"/>
      <c r="JM611"/>
      <c r="JN611"/>
      <c r="JO611"/>
      <c r="JP611"/>
      <c r="JQ611"/>
      <c r="JR611"/>
      <c r="JS611"/>
      <c r="JT611"/>
      <c r="JU611"/>
      <c r="JV611"/>
      <c r="JW611"/>
      <c r="JX611"/>
      <c r="JY611"/>
      <c r="JZ611"/>
      <c r="KA611"/>
      <c r="KB611"/>
      <c r="KC611"/>
      <c r="KD611"/>
      <c r="KE611"/>
      <c r="KF611"/>
      <c r="KG611"/>
      <c r="KH611"/>
      <c r="KI611"/>
      <c r="KJ611"/>
      <c r="KK611"/>
      <c r="KL611"/>
      <c r="KM611"/>
      <c r="KN611"/>
      <c r="KO611"/>
      <c r="KP611"/>
      <c r="KQ611"/>
      <c r="KR611"/>
      <c r="KS611"/>
    </row>
    <row r="612" spans="2:305" hidden="1" x14ac:dyDescent="0.35">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c r="AL612"/>
      <c r="AM612"/>
      <c r="AN612"/>
      <c r="AO612"/>
      <c r="AP612"/>
      <c r="AQ612"/>
      <c r="AR612"/>
      <c r="AS612"/>
      <c r="AT612"/>
      <c r="AU612"/>
      <c r="AV612"/>
      <c r="AW612"/>
      <c r="AX612"/>
      <c r="AY612"/>
      <c r="AZ612"/>
      <c r="BA612"/>
      <c r="BB612"/>
      <c r="BC612"/>
      <c r="BD612"/>
      <c r="BE612"/>
      <c r="BF612"/>
      <c r="BG612"/>
      <c r="BH612"/>
      <c r="BI612"/>
      <c r="BJ612"/>
      <c r="BK612"/>
      <c r="BL612"/>
      <c r="BM612"/>
      <c r="BN612"/>
      <c r="BO612"/>
      <c r="BP612"/>
      <c r="BQ612"/>
      <c r="BR612"/>
      <c r="BS612"/>
      <c r="BT612"/>
      <c r="BU612"/>
      <c r="BV612"/>
      <c r="BW612"/>
      <c r="BX612"/>
      <c r="BY612"/>
      <c r="BZ612"/>
      <c r="CA612"/>
      <c r="CB612"/>
      <c r="CC612"/>
      <c r="CD612"/>
      <c r="CE612"/>
      <c r="CF612"/>
      <c r="CG612"/>
      <c r="CH612"/>
      <c r="CI612"/>
      <c r="CJ612"/>
      <c r="CK612"/>
      <c r="CL612"/>
      <c r="CM612"/>
      <c r="CN612"/>
      <c r="CO612"/>
      <c r="CP612"/>
      <c r="CQ612"/>
      <c r="CR612"/>
      <c r="CS612"/>
      <c r="CT612"/>
      <c r="CU612"/>
      <c r="CV612"/>
      <c r="CW612"/>
      <c r="CX612"/>
      <c r="CY612"/>
      <c r="CZ612"/>
      <c r="DA612"/>
      <c r="DB612"/>
      <c r="DC612"/>
      <c r="DD612"/>
      <c r="DE612"/>
      <c r="DF612"/>
      <c r="DG612"/>
      <c r="DH612"/>
      <c r="DI612"/>
      <c r="DJ612"/>
      <c r="DK612"/>
      <c r="DL612"/>
      <c r="DM612"/>
      <c r="DN612"/>
      <c r="DO612"/>
      <c r="DP612"/>
      <c r="DQ612"/>
      <c r="DR612"/>
      <c r="DS612"/>
      <c r="DT612"/>
      <c r="DU612"/>
      <c r="DV612"/>
      <c r="DW612"/>
      <c r="DX612"/>
      <c r="DY612"/>
      <c r="DZ612"/>
      <c r="EA612"/>
      <c r="EB612"/>
      <c r="EC612"/>
      <c r="ED612"/>
      <c r="EE612"/>
      <c r="EF612"/>
      <c r="EG612"/>
      <c r="EH612"/>
      <c r="EI612"/>
      <c r="EJ612"/>
      <c r="EK612"/>
      <c r="EL612"/>
      <c r="EM612"/>
      <c r="EN612"/>
      <c r="EO612"/>
      <c r="EP612"/>
      <c r="EQ612"/>
      <c r="ER612"/>
      <c r="ES612"/>
      <c r="ET612"/>
      <c r="EU612"/>
      <c r="EV612"/>
      <c r="EW612"/>
      <c r="EX612"/>
      <c r="EY612"/>
      <c r="EZ612"/>
      <c r="FA612"/>
      <c r="FB612"/>
      <c r="FC612"/>
      <c r="FD612"/>
      <c r="FE612"/>
      <c r="FF612"/>
      <c r="FG612"/>
      <c r="FH612"/>
      <c r="FI612"/>
      <c r="FJ612"/>
      <c r="FK612"/>
      <c r="FL612"/>
      <c r="FM612"/>
      <c r="FN612"/>
      <c r="FO612"/>
      <c r="FP612"/>
      <c r="FQ612"/>
      <c r="FR612"/>
      <c r="FS612"/>
      <c r="FT612"/>
      <c r="FU612"/>
      <c r="FV612"/>
      <c r="FW612"/>
      <c r="FX612"/>
      <c r="FY612"/>
      <c r="FZ612"/>
      <c r="GA612"/>
      <c r="GB612"/>
      <c r="GC612"/>
      <c r="GD612"/>
      <c r="GE612"/>
      <c r="GF612"/>
      <c r="GG612"/>
      <c r="GH612"/>
      <c r="GI612"/>
      <c r="GJ612"/>
      <c r="GK612"/>
      <c r="GL612"/>
      <c r="GM612"/>
      <c r="GN612"/>
      <c r="GO612"/>
      <c r="GP612"/>
      <c r="GQ612"/>
      <c r="GR612"/>
      <c r="GS612"/>
      <c r="GT612"/>
      <c r="GU612"/>
      <c r="GV612"/>
      <c r="GW612"/>
      <c r="GX612"/>
      <c r="GY612"/>
      <c r="GZ612"/>
      <c r="HA612"/>
      <c r="HB612"/>
      <c r="HC612"/>
      <c r="HD612"/>
      <c r="HE612"/>
      <c r="HF612"/>
      <c r="HG612"/>
      <c r="HH612"/>
      <c r="HI612"/>
      <c r="HJ612"/>
      <c r="HK612"/>
      <c r="HL612"/>
      <c r="HM612"/>
      <c r="HN612"/>
      <c r="HO612"/>
      <c r="HP612"/>
      <c r="HQ612"/>
      <c r="HR612"/>
      <c r="HS612"/>
      <c r="HT612"/>
      <c r="HU612"/>
      <c r="HV612"/>
      <c r="HW612"/>
      <c r="HX612"/>
      <c r="HY612"/>
      <c r="HZ612"/>
      <c r="IA612"/>
      <c r="IB612"/>
      <c r="IC612"/>
      <c r="ID612"/>
      <c r="IE612"/>
      <c r="IF612"/>
      <c r="IG612"/>
      <c r="IH612"/>
      <c r="II612"/>
      <c r="IJ612"/>
      <c r="IK612"/>
      <c r="IL612"/>
      <c r="IM612"/>
      <c r="IN612"/>
      <c r="IO612"/>
      <c r="IP612"/>
      <c r="IQ612"/>
      <c r="IR612"/>
      <c r="IS612"/>
      <c r="IT612"/>
      <c r="IU612"/>
      <c r="IV612"/>
      <c r="IW612"/>
      <c r="IX612"/>
      <c r="IY612"/>
      <c r="IZ612"/>
      <c r="JA612"/>
      <c r="JB612"/>
      <c r="JC612"/>
      <c r="JD612"/>
      <c r="JE612"/>
      <c r="JF612"/>
      <c r="JG612"/>
      <c r="JH612"/>
      <c r="JI612"/>
      <c r="JJ612"/>
      <c r="JK612"/>
      <c r="JL612"/>
      <c r="JM612"/>
      <c r="JN612"/>
      <c r="JO612"/>
      <c r="JP612"/>
      <c r="JQ612"/>
      <c r="JR612"/>
      <c r="JS612"/>
      <c r="JT612"/>
      <c r="JU612"/>
      <c r="JV612"/>
      <c r="JW612"/>
      <c r="JX612"/>
      <c r="JY612"/>
      <c r="JZ612"/>
      <c r="KA612"/>
      <c r="KB612"/>
      <c r="KC612"/>
      <c r="KD612"/>
      <c r="KE612"/>
      <c r="KF612"/>
      <c r="KG612"/>
      <c r="KH612"/>
      <c r="KI612"/>
      <c r="KJ612"/>
      <c r="KK612"/>
      <c r="KL612"/>
      <c r="KM612"/>
      <c r="KN612"/>
      <c r="KO612"/>
      <c r="KP612"/>
      <c r="KQ612"/>
      <c r="KR612"/>
      <c r="KS612"/>
    </row>
    <row r="613" spans="2:305" hidden="1" x14ac:dyDescent="0.35">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c r="AL613"/>
      <c r="AM613"/>
      <c r="AN613"/>
      <c r="AO613"/>
      <c r="AP613"/>
      <c r="AQ613"/>
      <c r="AR613"/>
      <c r="AS613"/>
      <c r="AT613"/>
      <c r="AU613"/>
      <c r="AV613"/>
      <c r="AW613"/>
      <c r="AX613"/>
      <c r="AY613"/>
      <c r="AZ613"/>
      <c r="BA613"/>
      <c r="BB613"/>
      <c r="BC613"/>
      <c r="BD613"/>
      <c r="BE613"/>
      <c r="BF613"/>
      <c r="BG613"/>
      <c r="BH613"/>
      <c r="BI613"/>
      <c r="BJ613"/>
      <c r="BK613"/>
      <c r="BL613"/>
      <c r="BM613"/>
      <c r="BN613"/>
      <c r="BO613"/>
      <c r="BP613"/>
      <c r="BQ613"/>
      <c r="BR613"/>
      <c r="BS613"/>
      <c r="BT613"/>
      <c r="BU613"/>
      <c r="BV613"/>
      <c r="BW613"/>
      <c r="BX613"/>
      <c r="BY613"/>
      <c r="BZ613"/>
      <c r="CA613"/>
      <c r="CB613"/>
      <c r="CC613"/>
      <c r="CD613"/>
      <c r="CE613"/>
      <c r="CF613"/>
      <c r="CG613"/>
      <c r="CH613"/>
      <c r="CI613"/>
      <c r="CJ613"/>
      <c r="CK613"/>
      <c r="CL613"/>
      <c r="CM613"/>
      <c r="CN613"/>
      <c r="CO613"/>
      <c r="CP613"/>
      <c r="CQ613"/>
      <c r="CR613"/>
      <c r="CS613"/>
      <c r="CT613"/>
      <c r="CU613"/>
      <c r="CV613"/>
      <c r="CW613"/>
      <c r="CX613"/>
      <c r="CY613"/>
      <c r="CZ613"/>
      <c r="DA613"/>
      <c r="DB613"/>
      <c r="DC613"/>
      <c r="DD613"/>
      <c r="DE613"/>
      <c r="DF613"/>
      <c r="DG613"/>
      <c r="DH613"/>
      <c r="DI613"/>
      <c r="DJ613"/>
      <c r="DK613"/>
      <c r="DL613"/>
      <c r="DM613"/>
      <c r="DN613"/>
      <c r="DO613"/>
      <c r="DP613"/>
      <c r="DQ613"/>
      <c r="DR613"/>
      <c r="DS613"/>
      <c r="DT613"/>
      <c r="DU613"/>
      <c r="DV613"/>
      <c r="DW613"/>
      <c r="DX613"/>
      <c r="DY613"/>
      <c r="DZ613"/>
      <c r="EA613"/>
      <c r="EB613"/>
      <c r="EC613"/>
      <c r="ED613"/>
      <c r="EE613"/>
      <c r="EF613"/>
      <c r="EG613"/>
      <c r="EH613"/>
      <c r="EI613"/>
      <c r="EJ613"/>
      <c r="EK613"/>
      <c r="EL613"/>
      <c r="EM613"/>
      <c r="EN613"/>
      <c r="EO613"/>
      <c r="EP613"/>
      <c r="EQ613"/>
      <c r="ER613"/>
      <c r="ES613"/>
      <c r="ET613"/>
      <c r="EU613"/>
      <c r="EV613"/>
      <c r="EW613"/>
      <c r="EX613"/>
      <c r="EY613"/>
      <c r="EZ613"/>
      <c r="FA613"/>
      <c r="FB613"/>
      <c r="FC613"/>
      <c r="FD613"/>
      <c r="FE613"/>
      <c r="FF613"/>
      <c r="FG613"/>
      <c r="FH613"/>
      <c r="FI613"/>
      <c r="FJ613"/>
      <c r="FK613"/>
      <c r="FL613"/>
      <c r="FM613"/>
      <c r="FN613"/>
      <c r="FO613"/>
      <c r="FP613"/>
      <c r="FQ613"/>
      <c r="FR613"/>
      <c r="FS613"/>
      <c r="FT613"/>
      <c r="FU613"/>
      <c r="FV613"/>
      <c r="FW613"/>
      <c r="FX613"/>
      <c r="FY613"/>
      <c r="FZ613"/>
      <c r="GA613"/>
      <c r="GB613"/>
      <c r="GC613"/>
      <c r="GD613"/>
      <c r="GE613"/>
      <c r="GF613"/>
      <c r="GG613"/>
      <c r="GH613"/>
      <c r="GI613"/>
      <c r="GJ613"/>
      <c r="GK613"/>
      <c r="GL613"/>
      <c r="GM613"/>
      <c r="GN613"/>
      <c r="GO613"/>
      <c r="GP613"/>
      <c r="GQ613"/>
      <c r="GR613"/>
      <c r="GS613"/>
      <c r="GT613"/>
      <c r="GU613"/>
      <c r="GV613"/>
      <c r="GW613"/>
      <c r="GX613"/>
      <c r="GY613"/>
      <c r="GZ613"/>
      <c r="HA613"/>
      <c r="HB613"/>
      <c r="HC613"/>
      <c r="HD613"/>
      <c r="HE613"/>
      <c r="HF613"/>
      <c r="HG613"/>
      <c r="HH613"/>
      <c r="HI613"/>
      <c r="HJ613"/>
      <c r="HK613"/>
      <c r="HL613"/>
      <c r="HM613"/>
      <c r="HN613"/>
      <c r="HO613"/>
      <c r="HP613"/>
      <c r="HQ613"/>
      <c r="HR613"/>
      <c r="HS613"/>
      <c r="HT613"/>
      <c r="HU613"/>
      <c r="HV613"/>
      <c r="HW613"/>
      <c r="HX613"/>
      <c r="HY613"/>
      <c r="HZ613"/>
      <c r="IA613"/>
      <c r="IB613"/>
      <c r="IC613"/>
      <c r="ID613"/>
      <c r="IE613"/>
      <c r="IF613"/>
      <c r="IG613"/>
      <c r="IH613"/>
      <c r="II613"/>
      <c r="IJ613"/>
      <c r="IK613"/>
      <c r="IL613"/>
      <c r="IM613"/>
      <c r="IN613"/>
      <c r="IO613"/>
      <c r="IP613"/>
      <c r="IQ613"/>
      <c r="IR613"/>
      <c r="IS613"/>
      <c r="IT613"/>
      <c r="IU613"/>
      <c r="IV613"/>
      <c r="IW613"/>
      <c r="IX613"/>
      <c r="IY613"/>
      <c r="IZ613"/>
      <c r="JA613"/>
      <c r="JB613"/>
      <c r="JC613"/>
      <c r="JD613"/>
      <c r="JE613"/>
      <c r="JF613"/>
      <c r="JG613"/>
      <c r="JH613"/>
      <c r="JI613"/>
      <c r="JJ613"/>
      <c r="JK613"/>
      <c r="JL613"/>
      <c r="JM613"/>
      <c r="JN613"/>
      <c r="JO613"/>
      <c r="JP613"/>
      <c r="JQ613"/>
      <c r="JR613"/>
      <c r="JS613"/>
      <c r="JT613"/>
      <c r="JU613"/>
      <c r="JV613"/>
      <c r="JW613"/>
      <c r="JX613"/>
      <c r="JY613"/>
      <c r="JZ613"/>
      <c r="KA613"/>
      <c r="KB613"/>
      <c r="KC613"/>
      <c r="KD613"/>
      <c r="KE613"/>
      <c r="KF613"/>
      <c r="KG613"/>
      <c r="KH613"/>
      <c r="KI613"/>
      <c r="KJ613"/>
      <c r="KK613"/>
      <c r="KL613"/>
      <c r="KM613"/>
      <c r="KN613"/>
      <c r="KO613"/>
      <c r="KP613"/>
      <c r="KQ613"/>
      <c r="KR613"/>
      <c r="KS613"/>
    </row>
    <row r="614" spans="2:305" hidden="1" x14ac:dyDescent="0.35">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c r="AL614"/>
      <c r="AM614"/>
      <c r="AN614"/>
      <c r="AO614"/>
      <c r="AP614"/>
      <c r="AQ614"/>
      <c r="AR614"/>
      <c r="AS614"/>
      <c r="AT614"/>
      <c r="AU614"/>
      <c r="AV614"/>
      <c r="AW614"/>
      <c r="AX614"/>
      <c r="AY614"/>
      <c r="AZ614"/>
      <c r="BA614"/>
      <c r="BB614"/>
      <c r="BC614"/>
      <c r="BD614"/>
      <c r="BE614"/>
      <c r="BF614"/>
      <c r="BG614"/>
      <c r="BH614"/>
      <c r="BI614"/>
      <c r="BJ614"/>
      <c r="BK614"/>
      <c r="BL614"/>
      <c r="BM614"/>
      <c r="BN614"/>
      <c r="BO614"/>
      <c r="BP614"/>
      <c r="BQ614"/>
      <c r="BR614"/>
      <c r="BS614"/>
      <c r="BT614"/>
      <c r="BU614"/>
      <c r="BV614"/>
      <c r="BW614"/>
      <c r="BX614"/>
      <c r="BY614"/>
      <c r="BZ614"/>
      <c r="CA614"/>
      <c r="CB614"/>
      <c r="CC614"/>
      <c r="CD614"/>
      <c r="CE614"/>
      <c r="CF614"/>
      <c r="CG614"/>
      <c r="CH614"/>
      <c r="CI614"/>
      <c r="CJ614"/>
      <c r="CK614"/>
      <c r="CL614"/>
      <c r="CM614"/>
      <c r="CN614"/>
      <c r="CO614"/>
      <c r="CP614"/>
      <c r="CQ614"/>
      <c r="CR614"/>
      <c r="CS614"/>
      <c r="CT614"/>
      <c r="CU614"/>
      <c r="CV614"/>
      <c r="CW614"/>
      <c r="CX614"/>
      <c r="CY614"/>
      <c r="CZ614"/>
      <c r="DA614"/>
      <c r="DB614"/>
      <c r="DC614"/>
      <c r="DD614"/>
      <c r="DE614"/>
      <c r="DF614"/>
      <c r="DG614"/>
      <c r="DH614"/>
      <c r="DI614"/>
      <c r="DJ614"/>
      <c r="DK614"/>
      <c r="DL614"/>
      <c r="DM614"/>
      <c r="DN614"/>
      <c r="DO614"/>
      <c r="DP614"/>
      <c r="DQ614"/>
      <c r="DR614"/>
      <c r="DS614"/>
      <c r="DT614"/>
      <c r="DU614"/>
      <c r="DV614"/>
      <c r="DW614"/>
      <c r="DX614"/>
      <c r="DY614"/>
      <c r="DZ614"/>
      <c r="EA614"/>
      <c r="EB614"/>
      <c r="EC614"/>
      <c r="ED614"/>
      <c r="EE614"/>
      <c r="EF614"/>
      <c r="EG614"/>
      <c r="EH614"/>
      <c r="EI614"/>
      <c r="EJ614"/>
      <c r="EK614"/>
      <c r="EL614"/>
      <c r="EM614"/>
      <c r="EN614"/>
      <c r="EO614"/>
      <c r="EP614"/>
      <c r="EQ614"/>
      <c r="ER614"/>
      <c r="ES614"/>
      <c r="ET614"/>
      <c r="EU614"/>
      <c r="EV614"/>
      <c r="EW614"/>
      <c r="EX614"/>
      <c r="EY614"/>
      <c r="EZ614"/>
      <c r="FA614"/>
      <c r="FB614"/>
      <c r="FC614"/>
      <c r="FD614"/>
      <c r="FE614"/>
      <c r="FF614"/>
      <c r="FG614"/>
      <c r="FH614"/>
      <c r="FI614"/>
      <c r="FJ614"/>
      <c r="FK614"/>
      <c r="FL614"/>
      <c r="FM614"/>
      <c r="FN614"/>
      <c r="FO614"/>
      <c r="FP614"/>
      <c r="FQ614"/>
      <c r="FR614"/>
      <c r="FS614"/>
      <c r="FT614"/>
      <c r="FU614"/>
      <c r="FV614"/>
      <c r="FW614"/>
      <c r="FX614"/>
      <c r="FY614"/>
      <c r="FZ614"/>
      <c r="GA614"/>
      <c r="GB614"/>
      <c r="GC614"/>
      <c r="GD614"/>
      <c r="GE614"/>
      <c r="GF614"/>
      <c r="GG614"/>
      <c r="GH614"/>
      <c r="GI614"/>
      <c r="GJ614"/>
      <c r="GK614"/>
      <c r="GL614"/>
      <c r="GM614"/>
      <c r="GN614"/>
      <c r="GO614"/>
      <c r="GP614"/>
      <c r="GQ614"/>
      <c r="GR614"/>
      <c r="GS614"/>
      <c r="GT614"/>
      <c r="GU614"/>
      <c r="GV614"/>
      <c r="GW614"/>
      <c r="GX614"/>
      <c r="GY614"/>
      <c r="GZ614"/>
      <c r="HA614"/>
      <c r="HB614"/>
      <c r="HC614"/>
      <c r="HD614"/>
      <c r="HE614"/>
      <c r="HF614"/>
      <c r="HG614"/>
      <c r="HH614"/>
      <c r="HI614"/>
      <c r="HJ614"/>
      <c r="HK614"/>
      <c r="HL614"/>
      <c r="HM614"/>
      <c r="HN614"/>
      <c r="HO614"/>
      <c r="HP614"/>
      <c r="HQ614"/>
      <c r="HR614"/>
      <c r="HS614"/>
      <c r="HT614"/>
      <c r="HU614"/>
      <c r="HV614"/>
      <c r="HW614"/>
      <c r="HX614"/>
      <c r="HY614"/>
      <c r="HZ614"/>
      <c r="IA614"/>
      <c r="IB614"/>
      <c r="IC614"/>
      <c r="ID614"/>
      <c r="IE614"/>
      <c r="IF614"/>
      <c r="IG614"/>
      <c r="IH614"/>
      <c r="II614"/>
      <c r="IJ614"/>
      <c r="IK614"/>
      <c r="IL614"/>
      <c r="IM614"/>
      <c r="IN614"/>
      <c r="IO614"/>
      <c r="IP614"/>
      <c r="IQ614"/>
      <c r="IR614"/>
      <c r="IS614"/>
      <c r="IT614"/>
      <c r="IU614"/>
      <c r="IV614"/>
      <c r="IW614"/>
      <c r="IX614"/>
      <c r="IY614"/>
      <c r="IZ614"/>
      <c r="JA614"/>
      <c r="JB614"/>
      <c r="JC614"/>
      <c r="JD614"/>
      <c r="JE614"/>
      <c r="JF614"/>
      <c r="JG614"/>
      <c r="JH614"/>
      <c r="JI614"/>
      <c r="JJ614"/>
      <c r="JK614"/>
      <c r="JL614"/>
      <c r="JM614"/>
      <c r="JN614"/>
      <c r="JO614"/>
      <c r="JP614"/>
      <c r="JQ614"/>
      <c r="JR614"/>
      <c r="JS614"/>
      <c r="JT614"/>
      <c r="JU614"/>
      <c r="JV614"/>
      <c r="JW614"/>
      <c r="JX614"/>
      <c r="JY614"/>
      <c r="JZ614"/>
      <c r="KA614"/>
      <c r="KB614"/>
      <c r="KC614"/>
      <c r="KD614"/>
      <c r="KE614"/>
      <c r="KF614"/>
      <c r="KG614"/>
      <c r="KH614"/>
      <c r="KI614"/>
      <c r="KJ614"/>
      <c r="KK614"/>
      <c r="KL614"/>
      <c r="KM614"/>
      <c r="KN614"/>
      <c r="KO614"/>
      <c r="KP614"/>
      <c r="KQ614"/>
      <c r="KR614"/>
      <c r="KS614"/>
    </row>
    <row r="615" spans="2:305" hidden="1" x14ac:dyDescent="0.3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c r="AL615"/>
      <c r="AM615"/>
      <c r="AN615"/>
      <c r="AO615"/>
      <c r="AP615"/>
      <c r="AQ615"/>
      <c r="AR615"/>
      <c r="AS615"/>
      <c r="AT615"/>
      <c r="AU615"/>
      <c r="AV615"/>
      <c r="AW615"/>
      <c r="AX615"/>
      <c r="AY615"/>
      <c r="AZ615"/>
      <c r="BA615"/>
      <c r="BB615"/>
      <c r="BC615"/>
      <c r="BD615"/>
      <c r="BE615"/>
      <c r="BF615"/>
      <c r="BG615"/>
      <c r="BH615"/>
      <c r="BI615"/>
      <c r="BJ615"/>
      <c r="BK615"/>
      <c r="BL615"/>
      <c r="BM615"/>
      <c r="BN615"/>
      <c r="BO615"/>
      <c r="BP615"/>
      <c r="BQ615"/>
      <c r="BR615"/>
      <c r="BS615"/>
      <c r="BT615"/>
      <c r="BU615"/>
      <c r="BV615"/>
      <c r="BW615"/>
      <c r="BX615"/>
      <c r="BY615"/>
      <c r="BZ615"/>
      <c r="CA615"/>
      <c r="CB615"/>
      <c r="CC615"/>
      <c r="CD615"/>
      <c r="CE615"/>
      <c r="CF615"/>
      <c r="CG615"/>
      <c r="CH615"/>
      <c r="CI615"/>
      <c r="CJ615"/>
      <c r="CK615"/>
      <c r="CL615"/>
      <c r="CM615"/>
      <c r="CN615"/>
      <c r="CO615"/>
      <c r="CP615"/>
      <c r="CQ615"/>
      <c r="CR615"/>
      <c r="CS615"/>
      <c r="CT615"/>
      <c r="CU615"/>
      <c r="CV615"/>
      <c r="CW615"/>
      <c r="CX615"/>
      <c r="CY615"/>
      <c r="CZ615"/>
      <c r="DA615"/>
      <c r="DB615"/>
      <c r="DC615"/>
      <c r="DD615"/>
      <c r="DE615"/>
      <c r="DF615"/>
      <c r="DG615"/>
      <c r="DH615"/>
      <c r="DI615"/>
      <c r="DJ615"/>
      <c r="DK615"/>
      <c r="DL615"/>
      <c r="DM615"/>
      <c r="DN615"/>
      <c r="DO615"/>
      <c r="DP615"/>
      <c r="DQ615"/>
      <c r="DR615"/>
      <c r="DS615"/>
      <c r="DT615"/>
      <c r="DU615"/>
      <c r="DV615"/>
      <c r="DW615"/>
      <c r="DX615"/>
      <c r="DY615"/>
      <c r="DZ615"/>
      <c r="EA615"/>
      <c r="EB615"/>
      <c r="EC615"/>
      <c r="ED615"/>
      <c r="EE615"/>
      <c r="EF615"/>
      <c r="EG615"/>
      <c r="EH615"/>
      <c r="EI615"/>
      <c r="EJ615"/>
      <c r="EK615"/>
      <c r="EL615"/>
      <c r="EM615"/>
      <c r="EN615"/>
      <c r="EO615"/>
      <c r="EP615"/>
      <c r="EQ615"/>
      <c r="ER615"/>
      <c r="ES615"/>
      <c r="ET615"/>
      <c r="EU615"/>
      <c r="EV615"/>
      <c r="EW615"/>
      <c r="EX615"/>
      <c r="EY615"/>
      <c r="EZ615"/>
      <c r="FA615"/>
      <c r="FB615"/>
      <c r="FC615"/>
      <c r="FD615"/>
      <c r="FE615"/>
      <c r="FF615"/>
      <c r="FG615"/>
      <c r="FH615"/>
      <c r="FI615"/>
      <c r="FJ615"/>
      <c r="FK615"/>
      <c r="FL615"/>
      <c r="FM615"/>
      <c r="FN615"/>
      <c r="FO615"/>
      <c r="FP615"/>
      <c r="FQ615"/>
      <c r="FR615"/>
      <c r="FS615"/>
      <c r="FT615"/>
      <c r="FU615"/>
      <c r="FV615"/>
      <c r="FW615"/>
      <c r="FX615"/>
      <c r="FY615"/>
      <c r="FZ615"/>
      <c r="GA615"/>
      <c r="GB615"/>
      <c r="GC615"/>
      <c r="GD615"/>
      <c r="GE615"/>
      <c r="GF615"/>
      <c r="GG615"/>
      <c r="GH615"/>
      <c r="GI615"/>
      <c r="GJ615"/>
      <c r="GK615"/>
      <c r="GL615"/>
      <c r="GM615"/>
      <c r="GN615"/>
      <c r="GO615"/>
      <c r="GP615"/>
      <c r="GQ615"/>
      <c r="GR615"/>
      <c r="GS615"/>
      <c r="GT615"/>
      <c r="GU615"/>
      <c r="GV615"/>
      <c r="GW615"/>
      <c r="GX615"/>
      <c r="GY615"/>
      <c r="GZ615"/>
      <c r="HA615"/>
      <c r="HB615"/>
      <c r="HC615"/>
      <c r="HD615"/>
      <c r="HE615"/>
      <c r="HF615"/>
      <c r="HG615"/>
      <c r="HH615"/>
      <c r="HI615"/>
      <c r="HJ615"/>
      <c r="HK615"/>
      <c r="HL615"/>
      <c r="HM615"/>
      <c r="HN615"/>
      <c r="HO615"/>
      <c r="HP615"/>
      <c r="HQ615"/>
      <c r="HR615"/>
      <c r="HS615"/>
      <c r="HT615"/>
      <c r="HU615"/>
      <c r="HV615"/>
      <c r="HW615"/>
      <c r="HX615"/>
      <c r="HY615"/>
      <c r="HZ615"/>
      <c r="IA615"/>
      <c r="IB615"/>
      <c r="IC615"/>
      <c r="ID615"/>
      <c r="IE615"/>
      <c r="IF615"/>
      <c r="IG615"/>
      <c r="IH615"/>
      <c r="II615"/>
      <c r="IJ615"/>
      <c r="IK615"/>
      <c r="IL615"/>
      <c r="IM615"/>
      <c r="IN615"/>
      <c r="IO615"/>
      <c r="IP615"/>
      <c r="IQ615"/>
      <c r="IR615"/>
      <c r="IS615"/>
      <c r="IT615"/>
      <c r="IU615"/>
      <c r="IV615"/>
      <c r="IW615"/>
      <c r="IX615"/>
      <c r="IY615"/>
      <c r="IZ615"/>
      <c r="JA615"/>
      <c r="JB615"/>
      <c r="JC615"/>
      <c r="JD615"/>
      <c r="JE615"/>
      <c r="JF615"/>
      <c r="JG615"/>
      <c r="JH615"/>
      <c r="JI615"/>
      <c r="JJ615"/>
      <c r="JK615"/>
      <c r="JL615"/>
      <c r="JM615"/>
      <c r="JN615"/>
      <c r="JO615"/>
      <c r="JP615"/>
      <c r="JQ615"/>
      <c r="JR615"/>
      <c r="JS615"/>
      <c r="JT615"/>
      <c r="JU615"/>
      <c r="JV615"/>
      <c r="JW615"/>
      <c r="JX615"/>
      <c r="JY615"/>
      <c r="JZ615"/>
      <c r="KA615"/>
      <c r="KB615"/>
      <c r="KC615"/>
      <c r="KD615"/>
      <c r="KE615"/>
      <c r="KF615"/>
      <c r="KG615"/>
      <c r="KH615"/>
      <c r="KI615"/>
      <c r="KJ615"/>
      <c r="KK615"/>
      <c r="KL615"/>
      <c r="KM615"/>
      <c r="KN615"/>
      <c r="KO615"/>
      <c r="KP615"/>
      <c r="KQ615"/>
      <c r="KR615"/>
      <c r="KS615"/>
    </row>
    <row r="616" spans="2:305" hidden="1" x14ac:dyDescent="0.35">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c r="AL616"/>
      <c r="AM616"/>
      <c r="AN616"/>
      <c r="AO616"/>
      <c r="AP616"/>
      <c r="AQ616"/>
      <c r="AR616"/>
      <c r="AS616"/>
      <c r="AT616"/>
      <c r="AU616"/>
      <c r="AV616"/>
      <c r="AW616"/>
      <c r="AX616"/>
      <c r="AY616"/>
      <c r="AZ616"/>
      <c r="BA616"/>
      <c r="BB616"/>
      <c r="BC616"/>
      <c r="BD616"/>
      <c r="BE616"/>
      <c r="BF616"/>
      <c r="BG616"/>
      <c r="BH616"/>
      <c r="BI616"/>
      <c r="BJ616"/>
      <c r="BK616"/>
      <c r="BL616"/>
      <c r="BM616"/>
      <c r="BN616"/>
      <c r="BO616"/>
      <c r="BP616"/>
      <c r="BQ616"/>
      <c r="BR616"/>
      <c r="BS616"/>
      <c r="BT616"/>
      <c r="BU616"/>
      <c r="BV616"/>
      <c r="BW616"/>
      <c r="BX616"/>
      <c r="BY616"/>
      <c r="BZ616"/>
      <c r="CA616"/>
      <c r="CB616"/>
      <c r="CC616"/>
      <c r="CD616"/>
      <c r="CE616"/>
      <c r="CF616"/>
      <c r="CG616"/>
      <c r="CH616"/>
      <c r="CI616"/>
      <c r="CJ616"/>
      <c r="CK616"/>
      <c r="CL616"/>
      <c r="CM616"/>
      <c r="CN616"/>
      <c r="CO616"/>
      <c r="CP616"/>
      <c r="CQ616"/>
      <c r="CR616"/>
      <c r="CS616"/>
      <c r="CT616"/>
      <c r="CU616"/>
      <c r="CV616"/>
      <c r="CW616"/>
      <c r="CX616"/>
      <c r="CY616"/>
      <c r="CZ616"/>
      <c r="DA616"/>
      <c r="DB616"/>
      <c r="DC616"/>
      <c r="DD616"/>
      <c r="DE616"/>
      <c r="DF616"/>
      <c r="DG616"/>
      <c r="DH616"/>
      <c r="DI616"/>
      <c r="DJ616"/>
      <c r="DK616"/>
      <c r="DL616"/>
      <c r="DM616"/>
      <c r="DN616"/>
      <c r="DO616"/>
      <c r="DP616"/>
      <c r="DQ616"/>
      <c r="DR616"/>
      <c r="DS616"/>
      <c r="DT616"/>
      <c r="DU616"/>
      <c r="DV616"/>
      <c r="DW616"/>
      <c r="DX616"/>
      <c r="DY616"/>
      <c r="DZ616"/>
      <c r="EA616"/>
      <c r="EB616"/>
      <c r="EC616"/>
      <c r="ED616"/>
      <c r="EE616"/>
      <c r="EF616"/>
      <c r="EG616"/>
      <c r="EH616"/>
      <c r="EI616"/>
      <c r="EJ616"/>
      <c r="EK616"/>
      <c r="EL616"/>
      <c r="EM616"/>
      <c r="EN616"/>
      <c r="EO616"/>
      <c r="EP616"/>
      <c r="EQ616"/>
      <c r="ER616"/>
      <c r="ES616"/>
      <c r="ET616"/>
      <c r="EU616"/>
      <c r="EV616"/>
      <c r="EW616"/>
      <c r="EX616"/>
      <c r="EY616"/>
      <c r="EZ616"/>
      <c r="FA616"/>
      <c r="FB616"/>
      <c r="FC616"/>
      <c r="FD616"/>
      <c r="FE616"/>
      <c r="FF616"/>
      <c r="FG616"/>
      <c r="FH616"/>
      <c r="FI616"/>
      <c r="FJ616"/>
      <c r="FK616"/>
      <c r="FL616"/>
      <c r="FM616"/>
      <c r="FN616"/>
      <c r="FO616"/>
      <c r="FP616"/>
      <c r="FQ616"/>
      <c r="FR616"/>
      <c r="FS616"/>
      <c r="FT616"/>
      <c r="FU616"/>
      <c r="FV616"/>
      <c r="FW616"/>
      <c r="FX616"/>
      <c r="FY616"/>
      <c r="FZ616"/>
      <c r="GA616"/>
      <c r="GB616"/>
      <c r="GC616"/>
      <c r="GD616"/>
      <c r="GE616"/>
      <c r="GF616"/>
      <c r="GG616"/>
      <c r="GH616"/>
      <c r="GI616"/>
      <c r="GJ616"/>
      <c r="GK616"/>
      <c r="GL616"/>
      <c r="GM616"/>
      <c r="GN616"/>
      <c r="GO616"/>
      <c r="GP616"/>
      <c r="GQ616"/>
      <c r="GR616"/>
      <c r="GS616"/>
      <c r="GT616"/>
      <c r="GU616"/>
      <c r="GV616"/>
      <c r="GW616"/>
      <c r="GX616"/>
      <c r="GY616"/>
      <c r="GZ616"/>
      <c r="HA616"/>
      <c r="HB616"/>
      <c r="HC616"/>
      <c r="HD616"/>
      <c r="HE616"/>
      <c r="HF616"/>
      <c r="HG616"/>
      <c r="HH616"/>
      <c r="HI616"/>
      <c r="HJ616"/>
      <c r="HK616"/>
      <c r="HL616"/>
      <c r="HM616"/>
      <c r="HN616"/>
      <c r="HO616"/>
      <c r="HP616"/>
      <c r="HQ616"/>
      <c r="HR616"/>
      <c r="HS616"/>
      <c r="HT616"/>
      <c r="HU616"/>
      <c r="HV616"/>
      <c r="HW616"/>
      <c r="HX616"/>
      <c r="HY616"/>
      <c r="HZ616"/>
      <c r="IA616"/>
      <c r="IB616"/>
      <c r="IC616"/>
      <c r="ID616"/>
      <c r="IE616"/>
      <c r="IF616"/>
      <c r="IG616"/>
      <c r="IH616"/>
      <c r="II616"/>
      <c r="IJ616"/>
      <c r="IK616"/>
      <c r="IL616"/>
      <c r="IM616"/>
      <c r="IN616"/>
      <c r="IO616"/>
      <c r="IP616"/>
      <c r="IQ616"/>
      <c r="IR616"/>
      <c r="IS616"/>
      <c r="IT616"/>
      <c r="IU616"/>
      <c r="IV616"/>
      <c r="IW616"/>
      <c r="IX616"/>
      <c r="IY616"/>
      <c r="IZ616"/>
      <c r="JA616"/>
      <c r="JB616"/>
      <c r="JC616"/>
      <c r="JD616"/>
      <c r="JE616"/>
      <c r="JF616"/>
      <c r="JG616"/>
      <c r="JH616"/>
      <c r="JI616"/>
      <c r="JJ616"/>
      <c r="JK616"/>
      <c r="JL616"/>
      <c r="JM616"/>
      <c r="JN616"/>
      <c r="JO616"/>
      <c r="JP616"/>
      <c r="JQ616"/>
      <c r="JR616"/>
      <c r="JS616"/>
      <c r="JT616"/>
      <c r="JU616"/>
      <c r="JV616"/>
      <c r="JW616"/>
      <c r="JX616"/>
      <c r="JY616"/>
      <c r="JZ616"/>
      <c r="KA616"/>
      <c r="KB616"/>
      <c r="KC616"/>
      <c r="KD616"/>
      <c r="KE616"/>
      <c r="KF616"/>
      <c r="KG616"/>
      <c r="KH616"/>
      <c r="KI616"/>
      <c r="KJ616"/>
      <c r="KK616"/>
      <c r="KL616"/>
      <c r="KM616"/>
      <c r="KN616"/>
      <c r="KO616"/>
      <c r="KP616"/>
      <c r="KQ616"/>
      <c r="KR616"/>
      <c r="KS616"/>
    </row>
    <row r="617" spans="2:305" hidden="1" x14ac:dyDescent="0.35">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c r="AL617"/>
      <c r="AM617"/>
      <c r="AN617"/>
      <c r="AO617"/>
      <c r="AP617"/>
      <c r="AQ617"/>
      <c r="AR617"/>
      <c r="AS617"/>
      <c r="AT617"/>
      <c r="AU617"/>
      <c r="AV617"/>
      <c r="AW617"/>
      <c r="AX617"/>
      <c r="AY617"/>
      <c r="AZ617"/>
      <c r="BA617"/>
      <c r="BB617"/>
      <c r="BC617"/>
      <c r="BD617"/>
      <c r="BE617"/>
      <c r="BF617"/>
      <c r="BG617"/>
      <c r="BH617"/>
      <c r="BI617"/>
      <c r="BJ617"/>
      <c r="BK617"/>
      <c r="BL617"/>
      <c r="BM617"/>
      <c r="BN617"/>
      <c r="BO617"/>
      <c r="BP617"/>
      <c r="BQ617"/>
      <c r="BR617"/>
      <c r="BS617"/>
      <c r="BT617"/>
      <c r="BU617"/>
      <c r="BV617"/>
      <c r="BW617"/>
      <c r="BX617"/>
      <c r="BY617"/>
      <c r="BZ617"/>
      <c r="CA617"/>
      <c r="CB617"/>
      <c r="CC617"/>
      <c r="CD617"/>
      <c r="CE617"/>
      <c r="CF617"/>
      <c r="CG617"/>
      <c r="CH617"/>
      <c r="CI617"/>
      <c r="CJ617"/>
      <c r="CK617"/>
      <c r="CL617"/>
      <c r="CM617"/>
      <c r="CN617"/>
      <c r="CO617"/>
      <c r="CP617"/>
      <c r="CQ617"/>
      <c r="CR617"/>
      <c r="CS617"/>
      <c r="CT617"/>
      <c r="CU617"/>
      <c r="CV617"/>
      <c r="CW617"/>
      <c r="CX617"/>
      <c r="CY617"/>
      <c r="CZ617"/>
      <c r="DA617"/>
      <c r="DB617"/>
      <c r="DC617"/>
      <c r="DD617"/>
      <c r="DE617"/>
      <c r="DF617"/>
      <c r="DG617"/>
      <c r="DH617"/>
      <c r="DI617"/>
      <c r="DJ617"/>
      <c r="DK617"/>
      <c r="DL617"/>
      <c r="DM617"/>
      <c r="DN617"/>
      <c r="DO617"/>
      <c r="DP617"/>
      <c r="DQ617"/>
      <c r="DR617"/>
      <c r="DS617"/>
      <c r="DT617"/>
      <c r="DU617"/>
      <c r="DV617"/>
      <c r="DW617"/>
      <c r="DX617"/>
      <c r="DY617"/>
      <c r="DZ617"/>
      <c r="EA617"/>
      <c r="EB617"/>
      <c r="EC617"/>
      <c r="ED617"/>
      <c r="EE617"/>
      <c r="EF617"/>
      <c r="EG617"/>
      <c r="EH617"/>
      <c r="EI617"/>
      <c r="EJ617"/>
      <c r="EK617"/>
      <c r="EL617"/>
      <c r="EM617"/>
      <c r="EN617"/>
      <c r="EO617"/>
      <c r="EP617"/>
      <c r="EQ617"/>
      <c r="ER617"/>
      <c r="ES617"/>
      <c r="ET617"/>
      <c r="EU617"/>
      <c r="EV617"/>
      <c r="EW617"/>
      <c r="EX617"/>
      <c r="EY617"/>
      <c r="EZ617"/>
      <c r="FA617"/>
      <c r="FB617"/>
      <c r="FC617"/>
      <c r="FD617"/>
      <c r="FE617"/>
      <c r="FF617"/>
      <c r="FG617"/>
      <c r="FH617"/>
      <c r="FI617"/>
      <c r="FJ617"/>
      <c r="FK617"/>
      <c r="FL617"/>
      <c r="FM617"/>
      <c r="FN617"/>
      <c r="FO617"/>
      <c r="FP617"/>
      <c r="FQ617"/>
      <c r="FR617"/>
      <c r="FS617"/>
      <c r="FT617"/>
      <c r="FU617"/>
      <c r="FV617"/>
      <c r="FW617"/>
      <c r="FX617"/>
      <c r="FY617"/>
      <c r="FZ617"/>
      <c r="GA617"/>
      <c r="GB617"/>
      <c r="GC617"/>
      <c r="GD617"/>
      <c r="GE617"/>
      <c r="GF617"/>
      <c r="GG617"/>
      <c r="GH617"/>
      <c r="GI617"/>
      <c r="GJ617"/>
      <c r="GK617"/>
      <c r="GL617"/>
      <c r="GM617"/>
      <c r="GN617"/>
      <c r="GO617"/>
      <c r="GP617"/>
      <c r="GQ617"/>
      <c r="GR617"/>
      <c r="GS617"/>
      <c r="GT617"/>
      <c r="GU617"/>
      <c r="GV617"/>
      <c r="GW617"/>
      <c r="GX617"/>
      <c r="GY617"/>
      <c r="GZ617"/>
      <c r="HA617"/>
      <c r="HB617"/>
      <c r="HC617"/>
      <c r="HD617"/>
      <c r="HE617"/>
      <c r="HF617"/>
      <c r="HG617"/>
      <c r="HH617"/>
      <c r="HI617"/>
      <c r="HJ617"/>
      <c r="HK617"/>
      <c r="HL617"/>
      <c r="HM617"/>
      <c r="HN617"/>
      <c r="HO617"/>
      <c r="HP617"/>
      <c r="HQ617"/>
      <c r="HR617"/>
      <c r="HS617"/>
      <c r="HT617"/>
      <c r="HU617"/>
      <c r="HV617"/>
      <c r="HW617"/>
      <c r="HX617"/>
      <c r="HY617"/>
      <c r="HZ617"/>
      <c r="IA617"/>
      <c r="IB617"/>
      <c r="IC617"/>
      <c r="ID617"/>
      <c r="IE617"/>
      <c r="IF617"/>
      <c r="IG617"/>
      <c r="IH617"/>
      <c r="II617"/>
      <c r="IJ617"/>
      <c r="IK617"/>
      <c r="IL617"/>
      <c r="IM617"/>
      <c r="IN617"/>
      <c r="IO617"/>
      <c r="IP617"/>
      <c r="IQ617"/>
      <c r="IR617"/>
      <c r="IS617"/>
      <c r="IT617"/>
      <c r="IU617"/>
      <c r="IV617"/>
      <c r="IW617"/>
      <c r="IX617"/>
      <c r="IY617"/>
      <c r="IZ617"/>
      <c r="JA617"/>
      <c r="JB617"/>
      <c r="JC617"/>
      <c r="JD617"/>
      <c r="JE617"/>
      <c r="JF617"/>
      <c r="JG617"/>
      <c r="JH617"/>
      <c r="JI617"/>
      <c r="JJ617"/>
      <c r="JK617"/>
      <c r="JL617"/>
      <c r="JM617"/>
      <c r="JN617"/>
      <c r="JO617"/>
      <c r="JP617"/>
      <c r="JQ617"/>
      <c r="JR617"/>
      <c r="JS617"/>
      <c r="JT617"/>
      <c r="JU617"/>
      <c r="JV617"/>
      <c r="JW617"/>
      <c r="JX617"/>
      <c r="JY617"/>
      <c r="JZ617"/>
      <c r="KA617"/>
      <c r="KB617"/>
      <c r="KC617"/>
      <c r="KD617"/>
      <c r="KE617"/>
      <c r="KF617"/>
      <c r="KG617"/>
      <c r="KH617"/>
      <c r="KI617"/>
      <c r="KJ617"/>
      <c r="KK617"/>
      <c r="KL617"/>
      <c r="KM617"/>
      <c r="KN617"/>
      <c r="KO617"/>
      <c r="KP617"/>
      <c r="KQ617"/>
      <c r="KR617"/>
      <c r="KS617"/>
    </row>
    <row r="618" spans="2:305" hidden="1" x14ac:dyDescent="0.35">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c r="AL618"/>
      <c r="AM618"/>
      <c r="AN618"/>
      <c r="AO618"/>
      <c r="AP618"/>
      <c r="AQ618"/>
      <c r="AR618"/>
      <c r="AS618"/>
      <c r="AT618"/>
      <c r="AU618"/>
      <c r="AV618"/>
      <c r="AW618"/>
      <c r="AX618"/>
      <c r="AY618"/>
      <c r="AZ618"/>
      <c r="BA618"/>
      <c r="BB618"/>
      <c r="BC618"/>
      <c r="BD618"/>
      <c r="BE618"/>
      <c r="BF618"/>
      <c r="BG618"/>
      <c r="BH618"/>
      <c r="BI618"/>
      <c r="BJ618"/>
      <c r="BK618"/>
      <c r="BL618"/>
      <c r="BM618"/>
      <c r="BN618"/>
      <c r="BO618"/>
      <c r="BP618"/>
      <c r="BQ618"/>
      <c r="BR618"/>
      <c r="BS618"/>
      <c r="BT618"/>
      <c r="BU618"/>
      <c r="BV618"/>
      <c r="BW618"/>
      <c r="BX618"/>
      <c r="BY618"/>
      <c r="BZ618"/>
      <c r="CA618"/>
      <c r="CB618"/>
      <c r="CC618"/>
      <c r="CD618"/>
      <c r="CE618"/>
      <c r="CF618"/>
      <c r="CG618"/>
      <c r="CH618"/>
      <c r="CI618"/>
      <c r="CJ618"/>
      <c r="CK618"/>
      <c r="CL618"/>
      <c r="CM618"/>
      <c r="CN618"/>
      <c r="CO618"/>
      <c r="CP618"/>
      <c r="CQ618"/>
      <c r="CR618"/>
      <c r="CS618"/>
      <c r="CT618"/>
      <c r="CU618"/>
      <c r="CV618"/>
      <c r="CW618"/>
      <c r="CX618"/>
      <c r="CY618"/>
      <c r="CZ618"/>
      <c r="DA618"/>
      <c r="DB618"/>
      <c r="DC618"/>
      <c r="DD618"/>
      <c r="DE618"/>
      <c r="DF618"/>
      <c r="DG618"/>
      <c r="DH618"/>
      <c r="DI618"/>
      <c r="DJ618"/>
      <c r="DK618"/>
      <c r="DL618"/>
      <c r="DM618"/>
      <c r="DN618"/>
      <c r="DO618"/>
      <c r="DP618"/>
      <c r="DQ618"/>
      <c r="DR618"/>
      <c r="DS618"/>
      <c r="DT618"/>
      <c r="DU618"/>
      <c r="DV618"/>
      <c r="DW618"/>
      <c r="DX618"/>
      <c r="DY618"/>
      <c r="DZ618"/>
      <c r="EA618"/>
      <c r="EB618"/>
      <c r="EC618"/>
      <c r="ED618"/>
      <c r="EE618"/>
      <c r="EF618"/>
      <c r="EG618"/>
      <c r="EH618"/>
      <c r="EI618"/>
      <c r="EJ618"/>
      <c r="EK618"/>
      <c r="EL618"/>
      <c r="EM618"/>
      <c r="EN618"/>
      <c r="EO618"/>
      <c r="EP618"/>
      <c r="EQ618"/>
      <c r="ER618"/>
      <c r="ES618"/>
      <c r="ET618"/>
      <c r="EU618"/>
      <c r="EV618"/>
      <c r="EW618"/>
      <c r="EX618"/>
      <c r="EY618"/>
      <c r="EZ618"/>
      <c r="FA618"/>
      <c r="FB618"/>
      <c r="FC618"/>
      <c r="FD618"/>
      <c r="FE618"/>
      <c r="FF618"/>
      <c r="FG618"/>
      <c r="FH618"/>
      <c r="FI618"/>
      <c r="FJ618"/>
      <c r="FK618"/>
      <c r="FL618"/>
      <c r="FM618"/>
      <c r="FN618"/>
      <c r="FO618"/>
      <c r="FP618"/>
      <c r="FQ618"/>
      <c r="FR618"/>
      <c r="FS618"/>
      <c r="FT618"/>
      <c r="FU618"/>
      <c r="FV618"/>
      <c r="FW618"/>
      <c r="FX618"/>
      <c r="FY618"/>
      <c r="FZ618"/>
      <c r="GA618"/>
      <c r="GB618"/>
      <c r="GC618"/>
      <c r="GD618"/>
      <c r="GE618"/>
      <c r="GF618"/>
      <c r="GG618"/>
      <c r="GH618"/>
      <c r="GI618"/>
      <c r="GJ618"/>
      <c r="GK618"/>
      <c r="GL618"/>
      <c r="GM618"/>
      <c r="GN618"/>
      <c r="GO618"/>
      <c r="GP618"/>
      <c r="GQ618"/>
      <c r="GR618"/>
      <c r="GS618"/>
      <c r="GT618"/>
      <c r="GU618"/>
      <c r="GV618"/>
      <c r="GW618"/>
      <c r="GX618"/>
      <c r="GY618"/>
      <c r="GZ618"/>
      <c r="HA618"/>
      <c r="HB618"/>
      <c r="HC618"/>
      <c r="HD618"/>
      <c r="HE618"/>
      <c r="HF618"/>
      <c r="HG618"/>
      <c r="HH618"/>
      <c r="HI618"/>
      <c r="HJ618"/>
      <c r="HK618"/>
      <c r="HL618"/>
      <c r="HM618"/>
      <c r="HN618"/>
      <c r="HO618"/>
      <c r="HP618"/>
      <c r="HQ618"/>
      <c r="HR618"/>
      <c r="HS618"/>
      <c r="HT618"/>
      <c r="HU618"/>
      <c r="HV618"/>
      <c r="HW618"/>
      <c r="HX618"/>
      <c r="HY618"/>
      <c r="HZ618"/>
      <c r="IA618"/>
      <c r="IB618"/>
      <c r="IC618"/>
      <c r="ID618"/>
      <c r="IE618"/>
      <c r="IF618"/>
      <c r="IG618"/>
      <c r="IH618"/>
      <c r="II618"/>
      <c r="IJ618"/>
      <c r="IK618"/>
      <c r="IL618"/>
      <c r="IM618"/>
      <c r="IN618"/>
      <c r="IO618"/>
      <c r="IP618"/>
      <c r="IQ618"/>
      <c r="IR618"/>
      <c r="IS618"/>
      <c r="IT618"/>
      <c r="IU618"/>
      <c r="IV618"/>
      <c r="IW618"/>
      <c r="IX618"/>
      <c r="IY618"/>
      <c r="IZ618"/>
      <c r="JA618"/>
      <c r="JB618"/>
      <c r="JC618"/>
      <c r="JD618"/>
      <c r="JE618"/>
      <c r="JF618"/>
      <c r="JG618"/>
      <c r="JH618"/>
      <c r="JI618"/>
      <c r="JJ618"/>
      <c r="JK618"/>
      <c r="JL618"/>
      <c r="JM618"/>
      <c r="JN618"/>
      <c r="JO618"/>
      <c r="JP618"/>
      <c r="JQ618"/>
      <c r="JR618"/>
      <c r="JS618"/>
      <c r="JT618"/>
      <c r="JU618"/>
      <c r="JV618"/>
      <c r="JW618"/>
      <c r="JX618"/>
      <c r="JY618"/>
      <c r="JZ618"/>
      <c r="KA618"/>
      <c r="KB618"/>
      <c r="KC618"/>
      <c r="KD618"/>
      <c r="KE618"/>
      <c r="KF618"/>
      <c r="KG618"/>
      <c r="KH618"/>
      <c r="KI618"/>
      <c r="KJ618"/>
      <c r="KK618"/>
      <c r="KL618"/>
      <c r="KM618"/>
      <c r="KN618"/>
      <c r="KO618"/>
      <c r="KP618"/>
      <c r="KQ618"/>
      <c r="KR618"/>
      <c r="KS618"/>
    </row>
    <row r="619" spans="2:305" hidden="1" x14ac:dyDescent="0.35">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c r="AL619"/>
      <c r="AM619"/>
      <c r="AN619"/>
      <c r="AO619"/>
      <c r="AP619"/>
      <c r="AQ619"/>
      <c r="AR619"/>
      <c r="AS619"/>
      <c r="AT619"/>
      <c r="AU619"/>
      <c r="AV619"/>
      <c r="AW619"/>
      <c r="AX619"/>
      <c r="AY619"/>
      <c r="AZ619"/>
      <c r="BA619"/>
      <c r="BB619"/>
      <c r="BC619"/>
      <c r="BD619"/>
      <c r="BE619"/>
      <c r="BF619"/>
      <c r="BG619"/>
      <c r="BH619"/>
      <c r="BI619"/>
      <c r="BJ619"/>
      <c r="BK619"/>
      <c r="BL619"/>
      <c r="BM619"/>
      <c r="BN619"/>
      <c r="BO619"/>
      <c r="BP619"/>
      <c r="BQ619"/>
      <c r="BR619"/>
      <c r="BS619"/>
      <c r="BT619"/>
      <c r="BU619"/>
      <c r="BV619"/>
      <c r="BW619"/>
      <c r="BX619"/>
      <c r="BY619"/>
      <c r="BZ619"/>
      <c r="CA619"/>
      <c r="CB619"/>
      <c r="CC619"/>
      <c r="CD619"/>
      <c r="CE619"/>
      <c r="CF619"/>
      <c r="CG619"/>
      <c r="CH619"/>
      <c r="CI619"/>
      <c r="CJ619"/>
      <c r="CK619"/>
      <c r="CL619"/>
      <c r="CM619"/>
      <c r="CN619"/>
      <c r="CO619"/>
      <c r="CP619"/>
      <c r="CQ619"/>
      <c r="CR619"/>
      <c r="CS619"/>
      <c r="CT619"/>
      <c r="CU619"/>
      <c r="CV619"/>
      <c r="CW619"/>
      <c r="CX619"/>
      <c r="CY619"/>
      <c r="CZ619"/>
      <c r="DA619"/>
      <c r="DB619"/>
      <c r="DC619"/>
      <c r="DD619"/>
      <c r="DE619"/>
      <c r="DF619"/>
      <c r="DG619"/>
      <c r="DH619"/>
      <c r="DI619"/>
      <c r="DJ619"/>
      <c r="DK619"/>
      <c r="DL619"/>
      <c r="DM619"/>
      <c r="DN619"/>
      <c r="DO619"/>
      <c r="DP619"/>
      <c r="DQ619"/>
      <c r="DR619"/>
      <c r="DS619"/>
      <c r="DT619"/>
      <c r="DU619"/>
      <c r="DV619"/>
      <c r="DW619"/>
      <c r="DX619"/>
      <c r="DY619"/>
      <c r="DZ619"/>
      <c r="EA619"/>
      <c r="EB619"/>
      <c r="EC619"/>
      <c r="ED619"/>
      <c r="EE619"/>
      <c r="EF619"/>
      <c r="EG619"/>
      <c r="EH619"/>
      <c r="EI619"/>
      <c r="EJ619"/>
      <c r="EK619"/>
      <c r="EL619"/>
      <c r="EM619"/>
      <c r="EN619"/>
      <c r="EO619"/>
      <c r="EP619"/>
      <c r="EQ619"/>
      <c r="ER619"/>
      <c r="ES619"/>
      <c r="ET619"/>
      <c r="EU619"/>
      <c r="EV619"/>
      <c r="EW619"/>
      <c r="EX619"/>
      <c r="EY619"/>
      <c r="EZ619"/>
      <c r="FA619"/>
      <c r="FB619"/>
      <c r="FC619"/>
      <c r="FD619"/>
      <c r="FE619"/>
      <c r="FF619"/>
      <c r="FG619"/>
      <c r="FH619"/>
      <c r="FI619"/>
      <c r="FJ619"/>
      <c r="FK619"/>
      <c r="FL619"/>
      <c r="FM619"/>
      <c r="FN619"/>
      <c r="FO619"/>
      <c r="FP619"/>
      <c r="FQ619"/>
      <c r="FR619"/>
      <c r="FS619"/>
      <c r="FT619"/>
      <c r="FU619"/>
      <c r="FV619"/>
      <c r="FW619"/>
      <c r="FX619"/>
      <c r="FY619"/>
      <c r="FZ619"/>
      <c r="GA619"/>
      <c r="GB619"/>
      <c r="GC619"/>
      <c r="GD619"/>
      <c r="GE619"/>
      <c r="GF619"/>
      <c r="GG619"/>
      <c r="GH619"/>
      <c r="GI619"/>
      <c r="GJ619"/>
      <c r="GK619"/>
      <c r="GL619"/>
      <c r="GM619"/>
      <c r="GN619"/>
      <c r="GO619"/>
      <c r="GP619"/>
      <c r="GQ619"/>
      <c r="GR619"/>
      <c r="GS619"/>
      <c r="GT619"/>
      <c r="GU619"/>
      <c r="GV619"/>
      <c r="GW619"/>
      <c r="GX619"/>
      <c r="GY619"/>
      <c r="GZ619"/>
      <c r="HA619"/>
      <c r="HB619"/>
      <c r="HC619"/>
      <c r="HD619"/>
      <c r="HE619"/>
      <c r="HF619"/>
      <c r="HG619"/>
      <c r="HH619"/>
      <c r="HI619"/>
      <c r="HJ619"/>
      <c r="HK619"/>
      <c r="HL619"/>
      <c r="HM619"/>
      <c r="HN619"/>
      <c r="HO619"/>
      <c r="HP619"/>
      <c r="HQ619"/>
      <c r="HR619"/>
      <c r="HS619"/>
      <c r="HT619"/>
      <c r="HU619"/>
      <c r="HV619"/>
      <c r="HW619"/>
      <c r="HX619"/>
      <c r="HY619"/>
      <c r="HZ619"/>
      <c r="IA619"/>
      <c r="IB619"/>
      <c r="IC619"/>
      <c r="ID619"/>
      <c r="IE619"/>
      <c r="IF619"/>
      <c r="IG619"/>
      <c r="IH619"/>
      <c r="II619"/>
      <c r="IJ619"/>
      <c r="IK619"/>
      <c r="IL619"/>
      <c r="IM619"/>
      <c r="IN619"/>
      <c r="IO619"/>
      <c r="IP619"/>
      <c r="IQ619"/>
      <c r="IR619"/>
      <c r="IS619"/>
      <c r="IT619"/>
      <c r="IU619"/>
      <c r="IV619"/>
      <c r="IW619"/>
      <c r="IX619"/>
      <c r="IY619"/>
      <c r="IZ619"/>
      <c r="JA619"/>
      <c r="JB619"/>
      <c r="JC619"/>
      <c r="JD619"/>
      <c r="JE619"/>
      <c r="JF619"/>
      <c r="JG619"/>
      <c r="JH619"/>
      <c r="JI619"/>
      <c r="JJ619"/>
      <c r="JK619"/>
      <c r="JL619"/>
      <c r="JM619"/>
      <c r="JN619"/>
      <c r="JO619"/>
      <c r="JP619"/>
      <c r="JQ619"/>
      <c r="JR619"/>
      <c r="JS619"/>
      <c r="JT619"/>
      <c r="JU619"/>
      <c r="JV619"/>
      <c r="JW619"/>
      <c r="JX619"/>
      <c r="JY619"/>
      <c r="JZ619"/>
      <c r="KA619"/>
      <c r="KB619"/>
      <c r="KC619"/>
      <c r="KD619"/>
      <c r="KE619"/>
      <c r="KF619"/>
      <c r="KG619"/>
      <c r="KH619"/>
      <c r="KI619"/>
      <c r="KJ619"/>
      <c r="KK619"/>
      <c r="KL619"/>
      <c r="KM619"/>
      <c r="KN619"/>
      <c r="KO619"/>
      <c r="KP619"/>
      <c r="KQ619"/>
      <c r="KR619"/>
      <c r="KS619"/>
    </row>
    <row r="620" spans="2:305" hidden="1" x14ac:dyDescent="0.35">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c r="AL620"/>
      <c r="AM620"/>
      <c r="AN620"/>
      <c r="AO620"/>
      <c r="AP620"/>
      <c r="AQ620"/>
      <c r="AR620"/>
      <c r="AS620"/>
      <c r="AT620"/>
      <c r="AU620"/>
      <c r="AV620"/>
      <c r="AW620"/>
      <c r="AX620"/>
      <c r="AY620"/>
      <c r="AZ620"/>
      <c r="BA620"/>
      <c r="BB620"/>
      <c r="BC620"/>
      <c r="BD620"/>
      <c r="BE620"/>
      <c r="BF620"/>
      <c r="BG620"/>
      <c r="BH620"/>
      <c r="BI620"/>
      <c r="BJ620"/>
      <c r="BK620"/>
      <c r="BL620"/>
      <c r="BM620"/>
      <c r="BN620"/>
      <c r="BO620"/>
      <c r="BP620"/>
      <c r="BQ620"/>
      <c r="BR620"/>
      <c r="BS620"/>
      <c r="BT620"/>
      <c r="BU620"/>
      <c r="BV620"/>
      <c r="BW620"/>
      <c r="BX620"/>
      <c r="BY620"/>
      <c r="BZ620"/>
      <c r="CA620"/>
      <c r="CB620"/>
      <c r="CC620"/>
      <c r="CD620"/>
      <c r="CE620"/>
      <c r="CF620"/>
      <c r="CG620"/>
      <c r="CH620"/>
      <c r="CI620"/>
      <c r="CJ620"/>
      <c r="CK620"/>
      <c r="CL620"/>
      <c r="CM620"/>
      <c r="CN620"/>
      <c r="CO620"/>
      <c r="CP620"/>
      <c r="CQ620"/>
      <c r="CR620"/>
      <c r="CS620"/>
      <c r="CT620"/>
      <c r="CU620"/>
      <c r="CV620"/>
      <c r="CW620"/>
      <c r="CX620"/>
      <c r="CY620"/>
      <c r="CZ620"/>
      <c r="DA620"/>
      <c r="DB620"/>
      <c r="DC620"/>
      <c r="DD620"/>
      <c r="DE620"/>
      <c r="DF620"/>
      <c r="DG620"/>
      <c r="DH620"/>
      <c r="DI620"/>
      <c r="DJ620"/>
      <c r="DK620"/>
      <c r="DL620"/>
      <c r="DM620"/>
      <c r="DN620"/>
      <c r="DO620"/>
      <c r="DP620"/>
      <c r="DQ620"/>
      <c r="DR620"/>
      <c r="DS620"/>
      <c r="DT620"/>
      <c r="DU620"/>
      <c r="DV620"/>
      <c r="DW620"/>
      <c r="DX620"/>
      <c r="DY620"/>
      <c r="DZ620"/>
      <c r="EA620"/>
      <c r="EB620"/>
      <c r="EC620"/>
      <c r="ED620"/>
      <c r="EE620"/>
      <c r="EF620"/>
      <c r="EG620"/>
      <c r="EH620"/>
      <c r="EI620"/>
      <c r="EJ620"/>
      <c r="EK620"/>
      <c r="EL620"/>
      <c r="EM620"/>
      <c r="EN620"/>
      <c r="EO620"/>
      <c r="EP620"/>
      <c r="EQ620"/>
      <c r="ER620"/>
      <c r="ES620"/>
      <c r="ET620"/>
      <c r="EU620"/>
      <c r="EV620"/>
      <c r="EW620"/>
      <c r="EX620"/>
      <c r="EY620"/>
      <c r="EZ620"/>
      <c r="FA620"/>
      <c r="FB620"/>
      <c r="FC620"/>
      <c r="FD620"/>
      <c r="FE620"/>
      <c r="FF620"/>
      <c r="FG620"/>
      <c r="FH620"/>
      <c r="FI620"/>
      <c r="FJ620"/>
      <c r="FK620"/>
      <c r="FL620"/>
      <c r="FM620"/>
      <c r="FN620"/>
      <c r="FO620"/>
      <c r="FP620"/>
      <c r="FQ620"/>
      <c r="FR620"/>
      <c r="FS620"/>
      <c r="FT620"/>
      <c r="FU620"/>
      <c r="FV620"/>
      <c r="FW620"/>
      <c r="FX620"/>
      <c r="FY620"/>
      <c r="FZ620"/>
      <c r="GA620"/>
      <c r="GB620"/>
      <c r="GC620"/>
      <c r="GD620"/>
      <c r="GE620"/>
      <c r="GF620"/>
      <c r="GG620"/>
      <c r="GH620"/>
      <c r="GI620"/>
      <c r="GJ620"/>
      <c r="GK620"/>
      <c r="GL620"/>
      <c r="GM620"/>
      <c r="GN620"/>
      <c r="GO620"/>
      <c r="GP620"/>
      <c r="GQ620"/>
      <c r="GR620"/>
      <c r="GS620"/>
      <c r="GT620"/>
      <c r="GU620"/>
      <c r="GV620"/>
      <c r="GW620"/>
      <c r="GX620"/>
      <c r="GY620"/>
      <c r="GZ620"/>
      <c r="HA620"/>
      <c r="HB620"/>
      <c r="HC620"/>
      <c r="HD620"/>
      <c r="HE620"/>
      <c r="HF620"/>
      <c r="HG620"/>
      <c r="HH620"/>
      <c r="HI620"/>
      <c r="HJ620"/>
      <c r="HK620"/>
      <c r="HL620"/>
      <c r="HM620"/>
      <c r="HN620"/>
      <c r="HO620"/>
      <c r="HP620"/>
      <c r="HQ620"/>
      <c r="HR620"/>
      <c r="HS620"/>
      <c r="HT620"/>
      <c r="HU620"/>
      <c r="HV620"/>
      <c r="HW620"/>
      <c r="HX620"/>
      <c r="HY620"/>
      <c r="HZ620"/>
      <c r="IA620"/>
      <c r="IB620"/>
      <c r="IC620"/>
      <c r="ID620"/>
      <c r="IE620"/>
      <c r="IF620"/>
      <c r="IG620"/>
      <c r="IH620"/>
      <c r="II620"/>
      <c r="IJ620"/>
      <c r="IK620"/>
      <c r="IL620"/>
      <c r="IM620"/>
      <c r="IN620"/>
      <c r="IO620"/>
      <c r="IP620"/>
      <c r="IQ620"/>
      <c r="IR620"/>
      <c r="IS620"/>
      <c r="IT620"/>
      <c r="IU620"/>
      <c r="IV620"/>
      <c r="IW620"/>
      <c r="IX620"/>
      <c r="IY620"/>
      <c r="IZ620"/>
      <c r="JA620"/>
      <c r="JB620"/>
      <c r="JC620"/>
      <c r="JD620"/>
      <c r="JE620"/>
      <c r="JF620"/>
      <c r="JG620"/>
      <c r="JH620"/>
      <c r="JI620"/>
      <c r="JJ620"/>
      <c r="JK620"/>
      <c r="JL620"/>
      <c r="JM620"/>
      <c r="JN620"/>
      <c r="JO620"/>
      <c r="JP620"/>
      <c r="JQ620"/>
      <c r="JR620"/>
      <c r="JS620"/>
      <c r="JT620"/>
      <c r="JU620"/>
      <c r="JV620"/>
      <c r="JW620"/>
      <c r="JX620"/>
      <c r="JY620"/>
      <c r="JZ620"/>
      <c r="KA620"/>
      <c r="KB620"/>
      <c r="KC620"/>
      <c r="KD620"/>
      <c r="KE620"/>
      <c r="KF620"/>
      <c r="KG620"/>
      <c r="KH620"/>
      <c r="KI620"/>
      <c r="KJ620"/>
      <c r="KK620"/>
      <c r="KL620"/>
      <c r="KM620"/>
      <c r="KN620"/>
      <c r="KO620"/>
      <c r="KP620"/>
      <c r="KQ620"/>
      <c r="KR620"/>
      <c r="KS620"/>
    </row>
    <row r="621" spans="2:305" hidden="1" x14ac:dyDescent="0.35">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c r="AL621"/>
      <c r="AM621"/>
      <c r="AN621"/>
      <c r="AO621"/>
      <c r="AP621"/>
      <c r="AQ621"/>
      <c r="AR621"/>
      <c r="AS621"/>
      <c r="AT621"/>
      <c r="AU621"/>
      <c r="AV621"/>
      <c r="AW621"/>
      <c r="AX621"/>
      <c r="AY621"/>
      <c r="AZ621"/>
      <c r="BA621"/>
      <c r="BB621"/>
      <c r="BC621"/>
      <c r="BD621"/>
      <c r="BE621"/>
      <c r="BF621"/>
      <c r="BG621"/>
      <c r="BH621"/>
      <c r="BI621"/>
      <c r="BJ621"/>
      <c r="BK621"/>
      <c r="BL621"/>
      <c r="BM621"/>
      <c r="BN621"/>
      <c r="BO621"/>
      <c r="BP621"/>
      <c r="BQ621"/>
      <c r="BR621"/>
      <c r="BS621"/>
      <c r="BT621"/>
      <c r="BU621"/>
      <c r="BV621"/>
      <c r="BW621"/>
      <c r="BX621"/>
      <c r="BY621"/>
      <c r="BZ621"/>
      <c r="CA621"/>
      <c r="CB621"/>
      <c r="CC621"/>
      <c r="CD621"/>
      <c r="CE621"/>
      <c r="CF621"/>
      <c r="CG621"/>
      <c r="CH621"/>
      <c r="CI621"/>
      <c r="CJ621"/>
      <c r="CK621"/>
      <c r="CL621"/>
      <c r="CM621"/>
      <c r="CN621"/>
      <c r="CO621"/>
      <c r="CP621"/>
      <c r="CQ621"/>
      <c r="CR621"/>
      <c r="CS621"/>
      <c r="CT621"/>
      <c r="CU621"/>
      <c r="CV621"/>
      <c r="CW621"/>
      <c r="CX621"/>
      <c r="CY621"/>
      <c r="CZ621"/>
      <c r="DA621"/>
      <c r="DB621"/>
      <c r="DC621"/>
      <c r="DD621"/>
      <c r="DE621"/>
      <c r="DF621"/>
      <c r="DG621"/>
      <c r="DH621"/>
      <c r="DI621"/>
      <c r="DJ621"/>
      <c r="DK621"/>
      <c r="DL621"/>
      <c r="DM621"/>
      <c r="DN621"/>
      <c r="DO621"/>
      <c r="DP621"/>
      <c r="DQ621"/>
      <c r="DR621"/>
      <c r="DS621"/>
      <c r="DT621"/>
      <c r="DU621"/>
      <c r="DV621"/>
      <c r="DW621"/>
      <c r="DX621"/>
      <c r="DY621"/>
      <c r="DZ621"/>
      <c r="EA621"/>
      <c r="EB621"/>
      <c r="EC621"/>
      <c r="ED621"/>
      <c r="EE621"/>
      <c r="EF621"/>
      <c r="EG621"/>
      <c r="EH621"/>
      <c r="EI621"/>
      <c r="EJ621"/>
      <c r="EK621"/>
      <c r="EL621"/>
      <c r="EM621"/>
      <c r="EN621"/>
      <c r="EO621"/>
      <c r="EP621"/>
      <c r="EQ621"/>
      <c r="ER621"/>
      <c r="ES621"/>
      <c r="ET621"/>
      <c r="EU621"/>
      <c r="EV621"/>
      <c r="EW621"/>
      <c r="EX621"/>
      <c r="EY621"/>
      <c r="EZ621"/>
      <c r="FA621"/>
      <c r="FB621"/>
      <c r="FC621"/>
      <c r="FD621"/>
      <c r="FE621"/>
      <c r="FF621"/>
      <c r="FG621"/>
      <c r="FH621"/>
      <c r="FI621"/>
      <c r="FJ621"/>
      <c r="FK621"/>
      <c r="FL621"/>
      <c r="FM621"/>
      <c r="FN621"/>
      <c r="FO621"/>
      <c r="FP621"/>
      <c r="FQ621"/>
      <c r="FR621"/>
      <c r="FS621"/>
      <c r="FT621"/>
      <c r="FU621"/>
      <c r="FV621"/>
      <c r="FW621"/>
      <c r="FX621"/>
      <c r="FY621"/>
      <c r="FZ621"/>
      <c r="GA621"/>
      <c r="GB621"/>
      <c r="GC621"/>
      <c r="GD621"/>
      <c r="GE621"/>
      <c r="GF621"/>
      <c r="GG621"/>
      <c r="GH621"/>
      <c r="GI621"/>
      <c r="GJ621"/>
      <c r="GK621"/>
      <c r="GL621"/>
      <c r="GM621"/>
      <c r="GN621"/>
      <c r="GO621"/>
      <c r="GP621"/>
      <c r="GQ621"/>
      <c r="GR621"/>
      <c r="GS621"/>
      <c r="GT621"/>
      <c r="GU621"/>
      <c r="GV621"/>
      <c r="GW621"/>
      <c r="GX621"/>
      <c r="GY621"/>
      <c r="GZ621"/>
      <c r="HA621"/>
      <c r="HB621"/>
      <c r="HC621"/>
      <c r="HD621"/>
      <c r="HE621"/>
      <c r="HF621"/>
      <c r="HG621"/>
      <c r="HH621"/>
      <c r="HI621"/>
      <c r="HJ621"/>
      <c r="HK621"/>
      <c r="HL621"/>
      <c r="HM621"/>
      <c r="HN621"/>
      <c r="HO621"/>
      <c r="HP621"/>
      <c r="HQ621"/>
      <c r="HR621"/>
      <c r="HS621"/>
      <c r="HT621"/>
      <c r="HU621"/>
      <c r="HV621"/>
      <c r="HW621"/>
      <c r="HX621"/>
      <c r="HY621"/>
      <c r="HZ621"/>
      <c r="IA621"/>
      <c r="IB621"/>
      <c r="IC621"/>
      <c r="ID621"/>
      <c r="IE621"/>
      <c r="IF621"/>
      <c r="IG621"/>
      <c r="IH621"/>
      <c r="II621"/>
      <c r="IJ621"/>
      <c r="IK621"/>
      <c r="IL621"/>
      <c r="IM621"/>
      <c r="IN621"/>
      <c r="IO621"/>
      <c r="IP621"/>
      <c r="IQ621"/>
      <c r="IR621"/>
      <c r="IS621"/>
      <c r="IT621"/>
      <c r="IU621"/>
      <c r="IV621"/>
      <c r="IW621"/>
      <c r="IX621"/>
      <c r="IY621"/>
      <c r="IZ621"/>
      <c r="JA621"/>
      <c r="JB621"/>
      <c r="JC621"/>
      <c r="JD621"/>
      <c r="JE621"/>
      <c r="JF621"/>
      <c r="JG621"/>
      <c r="JH621"/>
      <c r="JI621"/>
      <c r="JJ621"/>
      <c r="JK621"/>
      <c r="JL621"/>
      <c r="JM621"/>
      <c r="JN621"/>
      <c r="JO621"/>
      <c r="JP621"/>
      <c r="JQ621"/>
      <c r="JR621"/>
      <c r="JS621"/>
      <c r="JT621"/>
      <c r="JU621"/>
      <c r="JV621"/>
      <c r="JW621"/>
      <c r="JX621"/>
      <c r="JY621"/>
      <c r="JZ621"/>
      <c r="KA621"/>
      <c r="KB621"/>
      <c r="KC621"/>
      <c r="KD621"/>
      <c r="KE621"/>
      <c r="KF621"/>
      <c r="KG621"/>
      <c r="KH621"/>
      <c r="KI621"/>
      <c r="KJ621"/>
      <c r="KK621"/>
      <c r="KL621"/>
      <c r="KM621"/>
      <c r="KN621"/>
      <c r="KO621"/>
      <c r="KP621"/>
      <c r="KQ621"/>
      <c r="KR621"/>
      <c r="KS621"/>
    </row>
    <row r="622" spans="2:305" hidden="1" x14ac:dyDescent="0.35">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c r="AL622"/>
      <c r="AM622"/>
      <c r="AN622"/>
      <c r="AO622"/>
      <c r="AP622"/>
      <c r="AQ622"/>
      <c r="AR622"/>
      <c r="AS622"/>
      <c r="AT622"/>
      <c r="AU622"/>
      <c r="AV622"/>
      <c r="AW622"/>
      <c r="AX622"/>
      <c r="AY622"/>
      <c r="AZ622"/>
      <c r="BA622"/>
      <c r="BB622"/>
      <c r="BC622"/>
      <c r="BD622"/>
      <c r="BE622"/>
      <c r="BF622"/>
      <c r="BG622"/>
      <c r="BH622"/>
      <c r="BI622"/>
      <c r="BJ622"/>
      <c r="BK622"/>
      <c r="BL622"/>
      <c r="BM622"/>
      <c r="BN622"/>
      <c r="BO622"/>
      <c r="BP622"/>
      <c r="BQ622"/>
      <c r="BR622"/>
      <c r="BS622"/>
      <c r="BT622"/>
      <c r="BU622"/>
      <c r="BV622"/>
      <c r="BW622"/>
      <c r="BX622"/>
      <c r="BY622"/>
      <c r="BZ622"/>
      <c r="CA622"/>
      <c r="CB622"/>
      <c r="CC622"/>
      <c r="CD622"/>
      <c r="CE622"/>
      <c r="CF622"/>
      <c r="CG622"/>
      <c r="CH622"/>
      <c r="CI622"/>
      <c r="CJ622"/>
      <c r="CK622"/>
      <c r="CL622"/>
      <c r="CM622"/>
      <c r="CN622"/>
      <c r="CO622"/>
      <c r="CP622"/>
      <c r="CQ622"/>
      <c r="CR622"/>
      <c r="CS622"/>
      <c r="CT622"/>
      <c r="CU622"/>
      <c r="CV622"/>
      <c r="CW622"/>
      <c r="CX622"/>
      <c r="CY622"/>
      <c r="CZ622"/>
      <c r="DA622"/>
      <c r="DB622"/>
      <c r="DC622"/>
      <c r="DD622"/>
      <c r="DE622"/>
      <c r="DF622"/>
      <c r="DG622"/>
      <c r="DH622"/>
      <c r="DI622"/>
      <c r="DJ622"/>
      <c r="DK622"/>
      <c r="DL622"/>
      <c r="DM622"/>
      <c r="DN622"/>
      <c r="DO622"/>
      <c r="DP622"/>
      <c r="DQ622"/>
      <c r="DR622"/>
      <c r="DS622"/>
      <c r="DT622"/>
      <c r="DU622"/>
      <c r="DV622"/>
      <c r="DW622"/>
      <c r="DX622"/>
      <c r="DY622"/>
      <c r="DZ622"/>
      <c r="EA622"/>
      <c r="EB622"/>
      <c r="EC622"/>
      <c r="ED622"/>
      <c r="EE622"/>
      <c r="EF622"/>
      <c r="EG622"/>
      <c r="EH622"/>
      <c r="EI622"/>
      <c r="EJ622"/>
      <c r="EK622"/>
      <c r="EL622"/>
      <c r="EM622"/>
      <c r="EN622"/>
      <c r="EO622"/>
      <c r="EP622"/>
      <c r="EQ622"/>
      <c r="ER622"/>
      <c r="ES622"/>
      <c r="ET622"/>
      <c r="EU622"/>
      <c r="EV622"/>
      <c r="EW622"/>
      <c r="EX622"/>
      <c r="EY622"/>
      <c r="EZ622"/>
      <c r="FA622"/>
      <c r="FB622"/>
      <c r="FC622"/>
      <c r="FD622"/>
      <c r="FE622"/>
      <c r="FF622"/>
      <c r="FG622"/>
      <c r="FH622"/>
      <c r="FI622"/>
      <c r="FJ622"/>
      <c r="FK622"/>
      <c r="FL622"/>
      <c r="FM622"/>
      <c r="FN622"/>
      <c r="FO622"/>
      <c r="FP622"/>
      <c r="FQ622"/>
      <c r="FR622"/>
      <c r="FS622"/>
      <c r="FT622"/>
      <c r="FU622"/>
      <c r="FV622"/>
      <c r="FW622"/>
      <c r="FX622"/>
      <c r="FY622"/>
      <c r="FZ622"/>
      <c r="GA622"/>
      <c r="GB622"/>
      <c r="GC622"/>
      <c r="GD622"/>
      <c r="GE622"/>
      <c r="GF622"/>
      <c r="GG622"/>
      <c r="GH622"/>
      <c r="GI622"/>
      <c r="GJ622"/>
      <c r="GK622"/>
      <c r="GL622"/>
      <c r="GM622"/>
      <c r="GN622"/>
      <c r="GO622"/>
      <c r="GP622"/>
      <c r="GQ622"/>
      <c r="GR622"/>
      <c r="GS622"/>
      <c r="GT622"/>
      <c r="GU622"/>
      <c r="GV622"/>
      <c r="GW622"/>
      <c r="GX622"/>
      <c r="GY622"/>
      <c r="GZ622"/>
      <c r="HA622"/>
      <c r="HB622"/>
      <c r="HC622"/>
      <c r="HD622"/>
      <c r="HE622"/>
      <c r="HF622"/>
      <c r="HG622"/>
      <c r="HH622"/>
      <c r="HI622"/>
      <c r="HJ622"/>
      <c r="HK622"/>
      <c r="HL622"/>
      <c r="HM622"/>
      <c r="HN622"/>
      <c r="HO622"/>
      <c r="HP622"/>
      <c r="HQ622"/>
      <c r="HR622"/>
      <c r="HS622"/>
      <c r="HT622"/>
      <c r="HU622"/>
      <c r="HV622"/>
      <c r="HW622"/>
      <c r="HX622"/>
      <c r="HY622"/>
      <c r="HZ622"/>
      <c r="IA622"/>
      <c r="IB622"/>
      <c r="IC622"/>
      <c r="ID622"/>
      <c r="IE622"/>
      <c r="IF622"/>
      <c r="IG622"/>
      <c r="IH622"/>
      <c r="II622"/>
      <c r="IJ622"/>
      <c r="IK622"/>
      <c r="IL622"/>
      <c r="IM622"/>
      <c r="IN622"/>
      <c r="IO622"/>
      <c r="IP622"/>
      <c r="IQ622"/>
      <c r="IR622"/>
      <c r="IS622"/>
      <c r="IT622"/>
      <c r="IU622"/>
      <c r="IV622"/>
      <c r="IW622"/>
      <c r="IX622"/>
      <c r="IY622"/>
      <c r="IZ622"/>
      <c r="JA622"/>
      <c r="JB622"/>
      <c r="JC622"/>
      <c r="JD622"/>
      <c r="JE622"/>
      <c r="JF622"/>
      <c r="JG622"/>
      <c r="JH622"/>
      <c r="JI622"/>
      <c r="JJ622"/>
      <c r="JK622"/>
      <c r="JL622"/>
      <c r="JM622"/>
      <c r="JN622"/>
      <c r="JO622"/>
      <c r="JP622"/>
      <c r="JQ622"/>
      <c r="JR622"/>
      <c r="JS622"/>
      <c r="JT622"/>
      <c r="JU622"/>
      <c r="JV622"/>
      <c r="JW622"/>
      <c r="JX622"/>
      <c r="JY622"/>
      <c r="JZ622"/>
      <c r="KA622"/>
      <c r="KB622"/>
      <c r="KC622"/>
      <c r="KD622"/>
      <c r="KE622"/>
      <c r="KF622"/>
      <c r="KG622"/>
      <c r="KH622"/>
      <c r="KI622"/>
      <c r="KJ622"/>
      <c r="KK622"/>
      <c r="KL622"/>
      <c r="KM622"/>
      <c r="KN622"/>
      <c r="KO622"/>
      <c r="KP622"/>
      <c r="KQ622"/>
      <c r="KR622"/>
      <c r="KS622"/>
    </row>
    <row r="623" spans="2:305" hidden="1" x14ac:dyDescent="0.35">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c r="AL623"/>
      <c r="AM623"/>
      <c r="AN623"/>
      <c r="AO623"/>
      <c r="AP623"/>
      <c r="AQ623"/>
      <c r="AR623"/>
      <c r="AS623"/>
      <c r="AT623"/>
      <c r="AU623"/>
      <c r="AV623"/>
      <c r="AW623"/>
      <c r="AX623"/>
      <c r="AY623"/>
      <c r="AZ623"/>
      <c r="BA623"/>
      <c r="BB623"/>
      <c r="BC623"/>
      <c r="BD623"/>
      <c r="BE623"/>
      <c r="BF623"/>
      <c r="BG623"/>
      <c r="BH623"/>
      <c r="BI623"/>
      <c r="BJ623"/>
      <c r="BK623"/>
      <c r="BL623"/>
      <c r="BM623"/>
      <c r="BN623"/>
      <c r="BO623"/>
      <c r="BP623"/>
      <c r="BQ623"/>
      <c r="BR623"/>
      <c r="BS623"/>
      <c r="BT623"/>
      <c r="BU623"/>
      <c r="BV623"/>
      <c r="BW623"/>
      <c r="BX623"/>
      <c r="BY623"/>
      <c r="BZ623"/>
      <c r="CA623"/>
      <c r="CB623"/>
      <c r="CC623"/>
      <c r="CD623"/>
      <c r="CE623"/>
      <c r="CF623"/>
      <c r="CG623"/>
      <c r="CH623"/>
      <c r="CI623"/>
      <c r="CJ623"/>
      <c r="CK623"/>
      <c r="CL623"/>
      <c r="CM623"/>
      <c r="CN623"/>
      <c r="CO623"/>
      <c r="CP623"/>
      <c r="CQ623"/>
      <c r="CR623"/>
      <c r="CS623"/>
      <c r="CT623"/>
      <c r="CU623"/>
      <c r="CV623"/>
      <c r="CW623"/>
      <c r="CX623"/>
      <c r="CY623"/>
      <c r="CZ623"/>
      <c r="DA623"/>
      <c r="DB623"/>
      <c r="DC623"/>
      <c r="DD623"/>
      <c r="DE623"/>
      <c r="DF623"/>
      <c r="DG623"/>
      <c r="DH623"/>
      <c r="DI623"/>
      <c r="DJ623"/>
      <c r="DK623"/>
      <c r="DL623"/>
      <c r="DM623"/>
      <c r="DN623"/>
      <c r="DO623"/>
      <c r="DP623"/>
      <c r="DQ623"/>
      <c r="DR623"/>
      <c r="DS623"/>
      <c r="DT623"/>
      <c r="DU623"/>
      <c r="DV623"/>
      <c r="DW623"/>
      <c r="DX623"/>
      <c r="DY623"/>
      <c r="DZ623"/>
      <c r="EA623"/>
      <c r="EB623"/>
      <c r="EC623"/>
      <c r="ED623"/>
      <c r="EE623"/>
      <c r="EF623"/>
      <c r="EG623"/>
      <c r="EH623"/>
      <c r="EI623"/>
      <c r="EJ623"/>
      <c r="EK623"/>
      <c r="EL623"/>
      <c r="EM623"/>
      <c r="EN623"/>
      <c r="EO623"/>
      <c r="EP623"/>
      <c r="EQ623"/>
      <c r="ER623"/>
      <c r="ES623"/>
      <c r="ET623"/>
      <c r="EU623"/>
      <c r="EV623"/>
      <c r="EW623"/>
      <c r="EX623"/>
      <c r="EY623"/>
      <c r="EZ623"/>
      <c r="FA623"/>
      <c r="FB623"/>
      <c r="FC623"/>
      <c r="FD623"/>
      <c r="FE623"/>
      <c r="FF623"/>
      <c r="FG623"/>
      <c r="FH623"/>
      <c r="FI623"/>
      <c r="FJ623"/>
      <c r="FK623"/>
      <c r="FL623"/>
      <c r="FM623"/>
      <c r="FN623"/>
      <c r="FO623"/>
      <c r="FP623"/>
      <c r="FQ623"/>
      <c r="FR623"/>
      <c r="FS623"/>
      <c r="FT623"/>
      <c r="FU623"/>
      <c r="FV623"/>
      <c r="FW623"/>
      <c r="FX623"/>
      <c r="FY623"/>
      <c r="FZ623"/>
      <c r="GA623"/>
      <c r="GB623"/>
      <c r="GC623"/>
      <c r="GD623"/>
      <c r="GE623"/>
      <c r="GF623"/>
      <c r="GG623"/>
      <c r="GH623"/>
      <c r="GI623"/>
      <c r="GJ623"/>
      <c r="GK623"/>
      <c r="GL623"/>
      <c r="GM623"/>
      <c r="GN623"/>
      <c r="GO623"/>
      <c r="GP623"/>
      <c r="GQ623"/>
      <c r="GR623"/>
      <c r="GS623"/>
      <c r="GT623"/>
      <c r="GU623"/>
      <c r="GV623"/>
      <c r="GW623"/>
      <c r="GX623"/>
      <c r="GY623"/>
      <c r="GZ623"/>
      <c r="HA623"/>
      <c r="HB623"/>
      <c r="HC623"/>
      <c r="HD623"/>
      <c r="HE623"/>
      <c r="HF623"/>
      <c r="HG623"/>
      <c r="HH623"/>
      <c r="HI623"/>
      <c r="HJ623"/>
      <c r="HK623"/>
      <c r="HL623"/>
      <c r="HM623"/>
      <c r="HN623"/>
      <c r="HO623"/>
      <c r="HP623"/>
      <c r="HQ623"/>
      <c r="HR623"/>
      <c r="HS623"/>
      <c r="HT623"/>
      <c r="HU623"/>
      <c r="HV623"/>
      <c r="HW623"/>
      <c r="HX623"/>
      <c r="HY623"/>
      <c r="HZ623"/>
      <c r="IA623"/>
      <c r="IB623"/>
      <c r="IC623"/>
      <c r="ID623"/>
      <c r="IE623"/>
      <c r="IF623"/>
      <c r="IG623"/>
      <c r="IH623"/>
      <c r="II623"/>
      <c r="IJ623"/>
      <c r="IK623"/>
      <c r="IL623"/>
      <c r="IM623"/>
      <c r="IN623"/>
      <c r="IO623"/>
      <c r="IP623"/>
      <c r="IQ623"/>
      <c r="IR623"/>
      <c r="IS623"/>
      <c r="IT623"/>
      <c r="IU623"/>
      <c r="IV623"/>
      <c r="IW623"/>
      <c r="IX623"/>
      <c r="IY623"/>
      <c r="IZ623"/>
      <c r="JA623"/>
      <c r="JB623"/>
      <c r="JC623"/>
      <c r="JD623"/>
      <c r="JE623"/>
      <c r="JF623"/>
      <c r="JG623"/>
      <c r="JH623"/>
      <c r="JI623"/>
      <c r="JJ623"/>
      <c r="JK623"/>
      <c r="JL623"/>
      <c r="JM623"/>
      <c r="JN623"/>
      <c r="JO623"/>
      <c r="JP623"/>
      <c r="JQ623"/>
      <c r="JR623"/>
      <c r="JS623"/>
      <c r="JT623"/>
      <c r="JU623"/>
      <c r="JV623"/>
      <c r="JW623"/>
      <c r="JX623"/>
      <c r="JY623"/>
      <c r="JZ623"/>
      <c r="KA623"/>
      <c r="KB623"/>
      <c r="KC623"/>
      <c r="KD623"/>
      <c r="KE623"/>
      <c r="KF623"/>
      <c r="KG623"/>
      <c r="KH623"/>
      <c r="KI623"/>
      <c r="KJ623"/>
      <c r="KK623"/>
      <c r="KL623"/>
      <c r="KM623"/>
      <c r="KN623"/>
      <c r="KO623"/>
      <c r="KP623"/>
      <c r="KQ623"/>
      <c r="KR623"/>
      <c r="KS623"/>
    </row>
    <row r="624" spans="2:305" hidden="1" x14ac:dyDescent="0.35">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c r="AL624"/>
      <c r="AM624"/>
      <c r="AN624"/>
      <c r="AO624"/>
      <c r="AP624"/>
      <c r="AQ624"/>
      <c r="AR624"/>
      <c r="AS624"/>
      <c r="AT624"/>
      <c r="AU624"/>
      <c r="AV624"/>
      <c r="AW624"/>
      <c r="AX624"/>
      <c r="AY624"/>
      <c r="AZ624"/>
      <c r="BA624"/>
      <c r="BB624"/>
      <c r="BC624"/>
      <c r="BD624"/>
      <c r="BE624"/>
      <c r="BF624"/>
      <c r="BG624"/>
      <c r="BH624"/>
      <c r="BI624"/>
      <c r="BJ624"/>
      <c r="BK624"/>
      <c r="BL624"/>
      <c r="BM624"/>
      <c r="BN624"/>
      <c r="BO624"/>
      <c r="BP624"/>
      <c r="BQ624"/>
      <c r="BR624"/>
      <c r="BS624"/>
      <c r="BT624"/>
      <c r="BU624"/>
      <c r="BV624"/>
      <c r="BW624"/>
      <c r="BX624"/>
      <c r="BY624"/>
      <c r="BZ624"/>
      <c r="CA624"/>
      <c r="CB624"/>
      <c r="CC624"/>
      <c r="CD624"/>
      <c r="CE624"/>
      <c r="CF624"/>
      <c r="CG624"/>
      <c r="CH624"/>
      <c r="CI624"/>
      <c r="CJ624"/>
      <c r="CK624"/>
      <c r="CL624"/>
      <c r="CM624"/>
      <c r="CN624"/>
      <c r="CO624"/>
      <c r="CP624"/>
      <c r="CQ624"/>
      <c r="CR624"/>
      <c r="CS624"/>
      <c r="CT624"/>
      <c r="CU624"/>
      <c r="CV624"/>
      <c r="CW624"/>
      <c r="CX624"/>
      <c r="CY624"/>
      <c r="CZ624"/>
      <c r="DA624"/>
      <c r="DB624"/>
      <c r="DC624"/>
      <c r="DD624"/>
      <c r="DE624"/>
      <c r="DF624"/>
      <c r="DG624"/>
      <c r="DH624"/>
      <c r="DI624"/>
      <c r="DJ624"/>
      <c r="DK624"/>
      <c r="DL624"/>
      <c r="DM624"/>
      <c r="DN624"/>
      <c r="DO624"/>
      <c r="DP624"/>
      <c r="DQ624"/>
      <c r="DR624"/>
      <c r="DS624"/>
      <c r="DT624"/>
      <c r="DU624"/>
      <c r="DV624"/>
      <c r="DW624"/>
      <c r="DX624"/>
      <c r="DY624"/>
      <c r="DZ624"/>
      <c r="EA624"/>
      <c r="EB624"/>
      <c r="EC624"/>
      <c r="ED624"/>
      <c r="EE624"/>
      <c r="EF624"/>
      <c r="EG624"/>
      <c r="EH624"/>
      <c r="EI624"/>
      <c r="EJ624"/>
      <c r="EK624"/>
      <c r="EL624"/>
      <c r="EM624"/>
      <c r="EN624"/>
      <c r="EO624"/>
      <c r="EP624"/>
      <c r="EQ624"/>
      <c r="ER624"/>
      <c r="ES624"/>
      <c r="ET624"/>
      <c r="EU624"/>
      <c r="EV624"/>
      <c r="EW624"/>
      <c r="EX624"/>
      <c r="EY624"/>
      <c r="EZ624"/>
      <c r="FA624"/>
      <c r="FB624"/>
      <c r="FC624"/>
      <c r="FD624"/>
      <c r="FE624"/>
      <c r="FF624"/>
      <c r="FG624"/>
      <c r="FH624"/>
      <c r="FI624"/>
      <c r="FJ624"/>
      <c r="FK624"/>
      <c r="FL624"/>
      <c r="FM624"/>
      <c r="FN624"/>
      <c r="FO624"/>
      <c r="FP624"/>
      <c r="FQ624"/>
      <c r="FR624"/>
      <c r="FS624"/>
      <c r="FT624"/>
      <c r="FU624"/>
      <c r="FV624"/>
      <c r="FW624"/>
      <c r="FX624"/>
      <c r="FY624"/>
      <c r="FZ624"/>
      <c r="GA624"/>
      <c r="GB624"/>
      <c r="GC624"/>
      <c r="GD624"/>
      <c r="GE624"/>
      <c r="GF624"/>
      <c r="GG624"/>
      <c r="GH624"/>
      <c r="GI624"/>
      <c r="GJ624"/>
      <c r="GK624"/>
      <c r="GL624"/>
      <c r="GM624"/>
      <c r="GN624"/>
      <c r="GO624"/>
      <c r="GP624"/>
      <c r="GQ624"/>
      <c r="GR624"/>
      <c r="GS624"/>
      <c r="GT624"/>
      <c r="GU624"/>
      <c r="GV624"/>
      <c r="GW624"/>
      <c r="GX624"/>
      <c r="GY624"/>
      <c r="GZ624"/>
      <c r="HA624"/>
      <c r="HB624"/>
      <c r="HC624"/>
      <c r="HD624"/>
      <c r="HE624"/>
      <c r="HF624"/>
      <c r="HG624"/>
      <c r="HH624"/>
      <c r="HI624"/>
      <c r="HJ624"/>
      <c r="HK624"/>
      <c r="HL624"/>
      <c r="HM624"/>
      <c r="HN624"/>
      <c r="HO624"/>
      <c r="HP624"/>
      <c r="HQ624"/>
      <c r="HR624"/>
      <c r="HS624"/>
      <c r="HT624"/>
      <c r="HU624"/>
      <c r="HV624"/>
      <c r="HW624"/>
      <c r="HX624"/>
      <c r="HY624"/>
      <c r="HZ624"/>
      <c r="IA624"/>
      <c r="IB624"/>
      <c r="IC624"/>
      <c r="ID624"/>
      <c r="IE624"/>
      <c r="IF624"/>
      <c r="IG624"/>
      <c r="IH624"/>
      <c r="II624"/>
      <c r="IJ624"/>
      <c r="IK624"/>
      <c r="IL624"/>
      <c r="IM624"/>
      <c r="IN624"/>
      <c r="IO624"/>
      <c r="IP624"/>
      <c r="IQ624"/>
      <c r="IR624"/>
      <c r="IS624"/>
      <c r="IT624"/>
      <c r="IU624"/>
      <c r="IV624"/>
      <c r="IW624"/>
      <c r="IX624"/>
      <c r="IY624"/>
      <c r="IZ624"/>
      <c r="JA624"/>
      <c r="JB624"/>
      <c r="JC624"/>
      <c r="JD624"/>
      <c r="JE624"/>
      <c r="JF624"/>
      <c r="JG624"/>
      <c r="JH624"/>
      <c r="JI624"/>
      <c r="JJ624"/>
      <c r="JK624"/>
      <c r="JL624"/>
      <c r="JM624"/>
      <c r="JN624"/>
      <c r="JO624"/>
      <c r="JP624"/>
      <c r="JQ624"/>
      <c r="JR624"/>
      <c r="JS624"/>
      <c r="JT624"/>
      <c r="JU624"/>
      <c r="JV624"/>
      <c r="JW624"/>
      <c r="JX624"/>
      <c r="JY624"/>
      <c r="JZ624"/>
      <c r="KA624"/>
      <c r="KB624"/>
      <c r="KC624"/>
      <c r="KD624"/>
      <c r="KE624"/>
      <c r="KF624"/>
      <c r="KG624"/>
      <c r="KH624"/>
      <c r="KI624"/>
      <c r="KJ624"/>
      <c r="KK624"/>
      <c r="KL624"/>
      <c r="KM624"/>
      <c r="KN624"/>
      <c r="KO624"/>
      <c r="KP624"/>
      <c r="KQ624"/>
      <c r="KR624"/>
      <c r="KS624"/>
    </row>
    <row r="625" spans="2:305" hidden="1" x14ac:dyDescent="0.3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c r="AL625"/>
      <c r="AM625"/>
      <c r="AN625"/>
      <c r="AO625"/>
      <c r="AP625"/>
      <c r="AQ625"/>
      <c r="AR625"/>
      <c r="AS625"/>
      <c r="AT625"/>
      <c r="AU625"/>
      <c r="AV625"/>
      <c r="AW625"/>
      <c r="AX625"/>
      <c r="AY625"/>
      <c r="AZ625"/>
      <c r="BA625"/>
      <c r="BB625"/>
      <c r="BC625"/>
      <c r="BD625"/>
      <c r="BE625"/>
      <c r="BF625"/>
      <c r="BG625"/>
      <c r="BH625"/>
      <c r="BI625"/>
      <c r="BJ625"/>
      <c r="BK625"/>
      <c r="BL625"/>
      <c r="BM625"/>
      <c r="BN625"/>
      <c r="BO625"/>
      <c r="BP625"/>
      <c r="BQ625"/>
      <c r="BR625"/>
      <c r="BS625"/>
      <c r="BT625"/>
      <c r="BU625"/>
      <c r="BV625"/>
      <c r="BW625"/>
      <c r="BX625"/>
      <c r="BY625"/>
      <c r="BZ625"/>
      <c r="CA625"/>
      <c r="CB625"/>
      <c r="CC625"/>
      <c r="CD625"/>
      <c r="CE625"/>
      <c r="CF625"/>
      <c r="CG625"/>
      <c r="CH625"/>
      <c r="CI625"/>
      <c r="CJ625"/>
      <c r="CK625"/>
      <c r="CL625"/>
      <c r="CM625"/>
      <c r="CN625"/>
      <c r="CO625"/>
      <c r="CP625"/>
      <c r="CQ625"/>
      <c r="CR625"/>
      <c r="CS625"/>
      <c r="CT625"/>
      <c r="CU625"/>
      <c r="CV625"/>
      <c r="CW625"/>
      <c r="CX625"/>
      <c r="CY625"/>
      <c r="CZ625"/>
      <c r="DA625"/>
      <c r="DB625"/>
      <c r="DC625"/>
      <c r="DD625"/>
      <c r="DE625"/>
      <c r="DF625"/>
      <c r="DG625"/>
      <c r="DH625"/>
      <c r="DI625"/>
      <c r="DJ625"/>
      <c r="DK625"/>
      <c r="DL625"/>
      <c r="DM625"/>
      <c r="DN625"/>
      <c r="DO625"/>
      <c r="DP625"/>
      <c r="DQ625"/>
      <c r="DR625"/>
      <c r="DS625"/>
      <c r="DT625"/>
      <c r="DU625"/>
      <c r="DV625"/>
      <c r="DW625"/>
      <c r="DX625"/>
      <c r="DY625"/>
      <c r="DZ625"/>
      <c r="EA625"/>
      <c r="EB625"/>
      <c r="EC625"/>
      <c r="ED625"/>
      <c r="EE625"/>
      <c r="EF625"/>
      <c r="EG625"/>
      <c r="EH625"/>
      <c r="EI625"/>
      <c r="EJ625"/>
      <c r="EK625"/>
      <c r="EL625"/>
      <c r="EM625"/>
      <c r="EN625"/>
      <c r="EO625"/>
      <c r="EP625"/>
      <c r="EQ625"/>
      <c r="ER625"/>
      <c r="ES625"/>
      <c r="ET625"/>
      <c r="EU625"/>
      <c r="EV625"/>
      <c r="EW625"/>
      <c r="EX625"/>
      <c r="EY625"/>
      <c r="EZ625"/>
      <c r="FA625"/>
      <c r="FB625"/>
      <c r="FC625"/>
      <c r="FD625"/>
      <c r="FE625"/>
      <c r="FF625"/>
      <c r="FG625"/>
      <c r="FH625"/>
      <c r="FI625"/>
      <c r="FJ625"/>
      <c r="FK625"/>
      <c r="FL625"/>
      <c r="FM625"/>
      <c r="FN625"/>
      <c r="FO625"/>
      <c r="FP625"/>
      <c r="FQ625"/>
      <c r="FR625"/>
      <c r="FS625"/>
      <c r="FT625"/>
      <c r="FU625"/>
      <c r="FV625"/>
      <c r="FW625"/>
      <c r="FX625"/>
      <c r="FY625"/>
      <c r="FZ625"/>
      <c r="GA625"/>
      <c r="GB625"/>
      <c r="GC625"/>
      <c r="GD625"/>
      <c r="GE625"/>
      <c r="GF625"/>
      <c r="GG625"/>
      <c r="GH625"/>
      <c r="GI625"/>
      <c r="GJ625"/>
      <c r="GK625"/>
      <c r="GL625"/>
      <c r="GM625"/>
      <c r="GN625"/>
      <c r="GO625"/>
      <c r="GP625"/>
      <c r="GQ625"/>
      <c r="GR625"/>
      <c r="GS625"/>
      <c r="GT625"/>
      <c r="GU625"/>
      <c r="GV625"/>
      <c r="GW625"/>
      <c r="GX625"/>
      <c r="GY625"/>
      <c r="GZ625"/>
      <c r="HA625"/>
      <c r="HB625"/>
      <c r="HC625"/>
      <c r="HD625"/>
      <c r="HE625"/>
      <c r="HF625"/>
      <c r="HG625"/>
      <c r="HH625"/>
      <c r="HI625"/>
      <c r="HJ625"/>
      <c r="HK625"/>
      <c r="HL625"/>
      <c r="HM625"/>
      <c r="HN625"/>
      <c r="HO625"/>
      <c r="HP625"/>
      <c r="HQ625"/>
      <c r="HR625"/>
      <c r="HS625"/>
      <c r="HT625"/>
      <c r="HU625"/>
      <c r="HV625"/>
      <c r="HW625"/>
      <c r="HX625"/>
      <c r="HY625"/>
      <c r="HZ625"/>
      <c r="IA625"/>
      <c r="IB625"/>
      <c r="IC625"/>
      <c r="ID625"/>
      <c r="IE625"/>
      <c r="IF625"/>
      <c r="IG625"/>
      <c r="IH625"/>
      <c r="II625"/>
      <c r="IJ625"/>
      <c r="IK625"/>
      <c r="IL625"/>
      <c r="IM625"/>
      <c r="IN625"/>
      <c r="IO625"/>
      <c r="IP625"/>
      <c r="IQ625"/>
      <c r="IR625"/>
      <c r="IS625"/>
      <c r="IT625"/>
      <c r="IU625"/>
      <c r="IV625"/>
      <c r="IW625"/>
      <c r="IX625"/>
      <c r="IY625"/>
      <c r="IZ625"/>
      <c r="JA625"/>
      <c r="JB625"/>
      <c r="JC625"/>
      <c r="JD625"/>
      <c r="JE625"/>
      <c r="JF625"/>
      <c r="JG625"/>
      <c r="JH625"/>
      <c r="JI625"/>
      <c r="JJ625"/>
      <c r="JK625"/>
      <c r="JL625"/>
      <c r="JM625"/>
      <c r="JN625"/>
      <c r="JO625"/>
      <c r="JP625"/>
      <c r="JQ625"/>
      <c r="JR625"/>
      <c r="JS625"/>
      <c r="JT625"/>
      <c r="JU625"/>
      <c r="JV625"/>
      <c r="JW625"/>
      <c r="JX625"/>
      <c r="JY625"/>
      <c r="JZ625"/>
      <c r="KA625"/>
      <c r="KB625"/>
      <c r="KC625"/>
      <c r="KD625"/>
      <c r="KE625"/>
      <c r="KF625"/>
      <c r="KG625"/>
      <c r="KH625"/>
      <c r="KI625"/>
      <c r="KJ625"/>
      <c r="KK625"/>
      <c r="KL625"/>
      <c r="KM625"/>
      <c r="KN625"/>
      <c r="KO625"/>
      <c r="KP625"/>
      <c r="KQ625"/>
      <c r="KR625"/>
      <c r="KS625"/>
    </row>
    <row r="626" spans="2:305" hidden="1" x14ac:dyDescent="0.35">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c r="AL626"/>
      <c r="AM626"/>
      <c r="AN626"/>
      <c r="AO626"/>
      <c r="AP626"/>
      <c r="AQ626"/>
      <c r="AR626"/>
      <c r="AS626"/>
      <c r="AT626"/>
      <c r="AU626"/>
      <c r="AV626"/>
      <c r="AW626"/>
      <c r="AX626"/>
      <c r="AY626"/>
      <c r="AZ626"/>
      <c r="BA626"/>
      <c r="BB626"/>
      <c r="BC626"/>
      <c r="BD626"/>
      <c r="BE626"/>
      <c r="BF626"/>
      <c r="BG626"/>
      <c r="BH626"/>
      <c r="BI626"/>
      <c r="BJ626"/>
      <c r="BK626"/>
      <c r="BL626"/>
      <c r="BM626"/>
      <c r="BN626"/>
      <c r="BO626"/>
      <c r="BP626"/>
      <c r="BQ626"/>
      <c r="BR626"/>
      <c r="BS626"/>
      <c r="BT626"/>
      <c r="BU626"/>
      <c r="BV626"/>
      <c r="BW626"/>
      <c r="BX626"/>
      <c r="BY626"/>
      <c r="BZ626"/>
      <c r="CA626"/>
      <c r="CB626"/>
      <c r="CC626"/>
      <c r="CD626"/>
      <c r="CE626"/>
      <c r="CF626"/>
      <c r="CG626"/>
      <c r="CH626"/>
      <c r="CI626"/>
      <c r="CJ626"/>
      <c r="CK626"/>
      <c r="CL626"/>
      <c r="CM626"/>
      <c r="CN626"/>
      <c r="CO626"/>
      <c r="CP626"/>
      <c r="CQ626"/>
      <c r="CR626"/>
      <c r="CS626"/>
      <c r="CT626"/>
      <c r="CU626"/>
      <c r="CV626"/>
      <c r="CW626"/>
      <c r="CX626"/>
      <c r="CY626"/>
      <c r="CZ626"/>
      <c r="DA626"/>
      <c r="DB626"/>
      <c r="DC626"/>
      <c r="DD626"/>
      <c r="DE626"/>
      <c r="DF626"/>
      <c r="DG626"/>
      <c r="DH626"/>
      <c r="DI626"/>
      <c r="DJ626"/>
      <c r="DK626"/>
      <c r="DL626"/>
      <c r="DM626"/>
      <c r="DN626"/>
      <c r="DO626"/>
      <c r="DP626"/>
      <c r="DQ626"/>
      <c r="DR626"/>
      <c r="DS626"/>
      <c r="DT626"/>
      <c r="DU626"/>
      <c r="DV626"/>
      <c r="DW626"/>
      <c r="DX626"/>
      <c r="DY626"/>
      <c r="DZ626"/>
      <c r="EA626"/>
      <c r="EB626"/>
      <c r="EC626"/>
      <c r="ED626"/>
      <c r="EE626"/>
      <c r="EF626"/>
      <c r="EG626"/>
      <c r="EH626"/>
      <c r="EI626"/>
      <c r="EJ626"/>
      <c r="EK626"/>
      <c r="EL626"/>
      <c r="EM626"/>
      <c r="EN626"/>
      <c r="EO626"/>
      <c r="EP626"/>
      <c r="EQ626"/>
      <c r="ER626"/>
      <c r="ES626"/>
      <c r="ET626"/>
      <c r="EU626"/>
      <c r="EV626"/>
      <c r="EW626"/>
      <c r="EX626"/>
      <c r="EY626"/>
      <c r="EZ626"/>
      <c r="FA626"/>
      <c r="FB626"/>
      <c r="FC626"/>
      <c r="FD626"/>
      <c r="FE626"/>
      <c r="FF626"/>
      <c r="FG626"/>
      <c r="FH626"/>
      <c r="FI626"/>
      <c r="FJ626"/>
      <c r="FK626"/>
      <c r="FL626"/>
      <c r="FM626"/>
      <c r="FN626"/>
      <c r="FO626"/>
      <c r="FP626"/>
      <c r="FQ626"/>
      <c r="FR626"/>
      <c r="FS626"/>
      <c r="FT626"/>
      <c r="FU626"/>
      <c r="FV626"/>
      <c r="FW626"/>
      <c r="FX626"/>
      <c r="FY626"/>
      <c r="FZ626"/>
      <c r="GA626"/>
      <c r="GB626"/>
      <c r="GC626"/>
      <c r="GD626"/>
      <c r="GE626"/>
      <c r="GF626"/>
      <c r="GG626"/>
      <c r="GH626"/>
      <c r="GI626"/>
      <c r="GJ626"/>
      <c r="GK626"/>
      <c r="GL626"/>
      <c r="GM626"/>
      <c r="GN626"/>
      <c r="GO626"/>
      <c r="GP626"/>
      <c r="GQ626"/>
      <c r="GR626"/>
      <c r="GS626"/>
      <c r="GT626"/>
      <c r="GU626"/>
      <c r="GV626"/>
      <c r="GW626"/>
      <c r="GX626"/>
      <c r="GY626"/>
      <c r="GZ626"/>
      <c r="HA626"/>
      <c r="HB626"/>
      <c r="HC626"/>
      <c r="HD626"/>
      <c r="HE626"/>
      <c r="HF626"/>
      <c r="HG626"/>
      <c r="HH626"/>
      <c r="HI626"/>
      <c r="HJ626"/>
      <c r="HK626"/>
      <c r="HL626"/>
      <c r="HM626"/>
      <c r="HN626"/>
      <c r="HO626"/>
      <c r="HP626"/>
      <c r="HQ626"/>
      <c r="HR626"/>
      <c r="HS626"/>
      <c r="HT626"/>
      <c r="HU626"/>
      <c r="HV626"/>
      <c r="HW626"/>
      <c r="HX626"/>
      <c r="HY626"/>
      <c r="HZ626"/>
      <c r="IA626"/>
      <c r="IB626"/>
      <c r="IC626"/>
      <c r="ID626"/>
      <c r="IE626"/>
      <c r="IF626"/>
      <c r="IG626"/>
      <c r="IH626"/>
      <c r="II626"/>
      <c r="IJ626"/>
      <c r="IK626"/>
      <c r="IL626"/>
      <c r="IM626"/>
      <c r="IN626"/>
      <c r="IO626"/>
      <c r="IP626"/>
      <c r="IQ626"/>
      <c r="IR626"/>
      <c r="IS626"/>
      <c r="IT626"/>
      <c r="IU626"/>
      <c r="IV626"/>
      <c r="IW626"/>
      <c r="IX626"/>
      <c r="IY626"/>
      <c r="IZ626"/>
      <c r="JA626"/>
      <c r="JB626"/>
      <c r="JC626"/>
      <c r="JD626"/>
      <c r="JE626"/>
      <c r="JF626"/>
      <c r="JG626"/>
      <c r="JH626"/>
      <c r="JI626"/>
      <c r="JJ626"/>
      <c r="JK626"/>
      <c r="JL626"/>
      <c r="JM626"/>
      <c r="JN626"/>
      <c r="JO626"/>
      <c r="JP626"/>
      <c r="JQ626"/>
      <c r="JR626"/>
      <c r="JS626"/>
      <c r="JT626"/>
      <c r="JU626"/>
      <c r="JV626"/>
      <c r="JW626"/>
      <c r="JX626"/>
      <c r="JY626"/>
      <c r="JZ626"/>
      <c r="KA626"/>
      <c r="KB626"/>
      <c r="KC626"/>
      <c r="KD626"/>
      <c r="KE626"/>
      <c r="KF626"/>
      <c r="KG626"/>
      <c r="KH626"/>
      <c r="KI626"/>
      <c r="KJ626"/>
      <c r="KK626"/>
      <c r="KL626"/>
      <c r="KM626"/>
      <c r="KN626"/>
      <c r="KO626"/>
      <c r="KP626"/>
      <c r="KQ626"/>
      <c r="KR626"/>
      <c r="KS626"/>
    </row>
    <row r="627" spans="2:305" hidden="1" x14ac:dyDescent="0.35">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c r="AL627"/>
      <c r="AM627"/>
      <c r="AN627"/>
      <c r="AO627"/>
      <c r="AP627"/>
      <c r="AQ627"/>
      <c r="AR627"/>
      <c r="AS627"/>
      <c r="AT627"/>
      <c r="AU627"/>
      <c r="AV627"/>
      <c r="AW627"/>
      <c r="AX627"/>
      <c r="AY627"/>
      <c r="AZ627"/>
      <c r="BA627"/>
      <c r="BB627"/>
      <c r="BC627"/>
      <c r="BD627"/>
      <c r="BE627"/>
      <c r="BF627"/>
      <c r="BG627"/>
      <c r="BH627"/>
      <c r="BI627"/>
      <c r="BJ627"/>
      <c r="BK627"/>
      <c r="BL627"/>
      <c r="BM627"/>
      <c r="BN627"/>
      <c r="BO627"/>
      <c r="BP627"/>
      <c r="BQ627"/>
      <c r="BR627"/>
      <c r="BS627"/>
      <c r="BT627"/>
      <c r="BU627"/>
      <c r="BV627"/>
      <c r="BW627"/>
      <c r="BX627"/>
      <c r="BY627"/>
      <c r="BZ627"/>
      <c r="CA627"/>
      <c r="CB627"/>
      <c r="CC627"/>
      <c r="CD627"/>
      <c r="CE627"/>
      <c r="CF627"/>
      <c r="CG627"/>
      <c r="CH627"/>
      <c r="CI627"/>
      <c r="CJ627"/>
      <c r="CK627"/>
      <c r="CL627"/>
      <c r="CM627"/>
      <c r="CN627"/>
      <c r="CO627"/>
      <c r="CP627"/>
      <c r="CQ627"/>
      <c r="CR627"/>
      <c r="CS627"/>
      <c r="CT627"/>
      <c r="CU627"/>
      <c r="CV627"/>
      <c r="CW627"/>
      <c r="CX627"/>
      <c r="CY627"/>
      <c r="CZ627"/>
      <c r="DA627"/>
      <c r="DB627"/>
      <c r="DC627"/>
      <c r="DD627"/>
      <c r="DE627"/>
      <c r="DF627"/>
      <c r="DG627"/>
      <c r="DH627"/>
      <c r="DI627"/>
      <c r="DJ627"/>
      <c r="DK627"/>
      <c r="DL627"/>
      <c r="DM627"/>
      <c r="DN627"/>
      <c r="DO627"/>
      <c r="DP627"/>
      <c r="DQ627"/>
      <c r="DR627"/>
      <c r="DS627"/>
      <c r="DT627"/>
      <c r="DU627"/>
      <c r="DV627"/>
      <c r="DW627"/>
      <c r="DX627"/>
      <c r="DY627"/>
      <c r="DZ627"/>
      <c r="EA627"/>
      <c r="EB627"/>
      <c r="EC627"/>
      <c r="ED627"/>
      <c r="EE627"/>
      <c r="EF627"/>
      <c r="EG627"/>
      <c r="EH627"/>
      <c r="EI627"/>
      <c r="EJ627"/>
      <c r="EK627"/>
      <c r="EL627"/>
      <c r="EM627"/>
      <c r="EN627"/>
      <c r="EO627"/>
      <c r="EP627"/>
      <c r="EQ627"/>
      <c r="ER627"/>
      <c r="ES627"/>
      <c r="ET627"/>
      <c r="EU627"/>
      <c r="EV627"/>
      <c r="EW627"/>
      <c r="EX627"/>
      <c r="EY627"/>
      <c r="EZ627"/>
      <c r="FA627"/>
      <c r="FB627"/>
      <c r="FC627"/>
      <c r="FD627"/>
      <c r="FE627"/>
      <c r="FF627"/>
      <c r="FG627"/>
      <c r="FH627"/>
      <c r="FI627"/>
      <c r="FJ627"/>
      <c r="FK627"/>
      <c r="FL627"/>
      <c r="FM627"/>
      <c r="FN627"/>
      <c r="FO627"/>
      <c r="FP627"/>
      <c r="FQ627"/>
      <c r="FR627"/>
      <c r="FS627"/>
      <c r="FT627"/>
      <c r="FU627"/>
      <c r="FV627"/>
      <c r="FW627"/>
      <c r="FX627"/>
      <c r="FY627"/>
      <c r="FZ627"/>
      <c r="GA627"/>
      <c r="GB627"/>
      <c r="GC627"/>
      <c r="GD627"/>
      <c r="GE627"/>
      <c r="GF627"/>
      <c r="GG627"/>
      <c r="GH627"/>
      <c r="GI627"/>
      <c r="GJ627"/>
      <c r="GK627"/>
      <c r="GL627"/>
      <c r="GM627"/>
      <c r="GN627"/>
      <c r="GO627"/>
      <c r="GP627"/>
      <c r="GQ627"/>
      <c r="GR627"/>
      <c r="GS627"/>
      <c r="GT627"/>
      <c r="GU627"/>
      <c r="GV627"/>
      <c r="GW627"/>
      <c r="GX627"/>
      <c r="GY627"/>
      <c r="GZ627"/>
      <c r="HA627"/>
      <c r="HB627"/>
      <c r="HC627"/>
      <c r="HD627"/>
      <c r="HE627"/>
      <c r="HF627"/>
      <c r="HG627"/>
      <c r="HH627"/>
      <c r="HI627"/>
      <c r="HJ627"/>
      <c r="HK627"/>
      <c r="HL627"/>
      <c r="HM627"/>
      <c r="HN627"/>
      <c r="HO627"/>
      <c r="HP627"/>
      <c r="HQ627"/>
      <c r="HR627"/>
      <c r="HS627"/>
      <c r="HT627"/>
      <c r="HU627"/>
      <c r="HV627"/>
      <c r="HW627"/>
      <c r="HX627"/>
      <c r="HY627"/>
      <c r="HZ627"/>
      <c r="IA627"/>
      <c r="IB627"/>
      <c r="IC627"/>
      <c r="ID627"/>
      <c r="IE627"/>
      <c r="IF627"/>
      <c r="IG627"/>
      <c r="IH627"/>
      <c r="II627"/>
      <c r="IJ627"/>
      <c r="IK627"/>
      <c r="IL627"/>
      <c r="IM627"/>
      <c r="IN627"/>
      <c r="IO627"/>
      <c r="IP627"/>
      <c r="IQ627"/>
      <c r="IR627"/>
      <c r="IS627"/>
      <c r="IT627"/>
      <c r="IU627"/>
      <c r="IV627"/>
      <c r="IW627"/>
      <c r="IX627"/>
      <c r="IY627"/>
      <c r="IZ627"/>
      <c r="JA627"/>
      <c r="JB627"/>
      <c r="JC627"/>
      <c r="JD627"/>
      <c r="JE627"/>
      <c r="JF627"/>
      <c r="JG627"/>
      <c r="JH627"/>
      <c r="JI627"/>
      <c r="JJ627"/>
      <c r="JK627"/>
      <c r="JL627"/>
      <c r="JM627"/>
      <c r="JN627"/>
      <c r="JO627"/>
      <c r="JP627"/>
      <c r="JQ627"/>
      <c r="JR627"/>
      <c r="JS627"/>
      <c r="JT627"/>
      <c r="JU627"/>
      <c r="JV627"/>
      <c r="JW627"/>
      <c r="JX627"/>
      <c r="JY627"/>
      <c r="JZ627"/>
      <c r="KA627"/>
      <c r="KB627"/>
      <c r="KC627"/>
      <c r="KD627"/>
      <c r="KE627"/>
      <c r="KF627"/>
      <c r="KG627"/>
      <c r="KH627"/>
      <c r="KI627"/>
      <c r="KJ627"/>
      <c r="KK627"/>
      <c r="KL627"/>
      <c r="KM627"/>
      <c r="KN627"/>
      <c r="KO627"/>
      <c r="KP627"/>
      <c r="KQ627"/>
      <c r="KR627"/>
      <c r="KS627"/>
    </row>
    <row r="628" spans="2:305" hidden="1" x14ac:dyDescent="0.35">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c r="AL628"/>
      <c r="AM628"/>
      <c r="AN628"/>
      <c r="AO628"/>
      <c r="AP628"/>
      <c r="AQ628"/>
      <c r="AR628"/>
      <c r="AS628"/>
      <c r="AT628"/>
      <c r="AU628"/>
      <c r="AV628"/>
      <c r="AW628"/>
      <c r="AX628"/>
      <c r="AY628"/>
      <c r="AZ628"/>
      <c r="BA628"/>
      <c r="BB628"/>
      <c r="BC628"/>
      <c r="BD628"/>
      <c r="BE628"/>
      <c r="BF628"/>
      <c r="BG628"/>
      <c r="BH628"/>
      <c r="BI628"/>
      <c r="BJ628"/>
      <c r="BK628"/>
      <c r="BL628"/>
      <c r="BM628"/>
      <c r="BN628"/>
      <c r="BO628"/>
      <c r="BP628"/>
      <c r="BQ628"/>
      <c r="BR628"/>
      <c r="BS628"/>
      <c r="BT628"/>
      <c r="BU628"/>
      <c r="BV628"/>
      <c r="BW628"/>
      <c r="BX628"/>
      <c r="BY628"/>
      <c r="BZ628"/>
      <c r="CA628"/>
      <c r="CB628"/>
      <c r="CC628"/>
      <c r="CD628"/>
      <c r="CE628"/>
      <c r="CF628"/>
      <c r="CG628"/>
      <c r="CH628"/>
      <c r="CI628"/>
      <c r="CJ628"/>
      <c r="CK628"/>
      <c r="CL628"/>
      <c r="CM628"/>
      <c r="CN628"/>
      <c r="CO628"/>
      <c r="CP628"/>
      <c r="CQ628"/>
      <c r="CR628"/>
      <c r="CS628"/>
      <c r="CT628"/>
      <c r="CU628"/>
      <c r="CV628"/>
      <c r="CW628"/>
      <c r="CX628"/>
      <c r="CY628"/>
      <c r="CZ628"/>
      <c r="DA628"/>
      <c r="DB628"/>
      <c r="DC628"/>
      <c r="DD628"/>
      <c r="DE628"/>
      <c r="DF628"/>
      <c r="DG628"/>
      <c r="DH628"/>
      <c r="DI628"/>
      <c r="DJ628"/>
      <c r="DK628"/>
      <c r="DL628"/>
      <c r="DM628"/>
      <c r="DN628"/>
      <c r="DO628"/>
      <c r="DP628"/>
      <c r="DQ628"/>
      <c r="DR628"/>
      <c r="DS628"/>
      <c r="DT628"/>
      <c r="DU628"/>
      <c r="DV628"/>
      <c r="DW628"/>
      <c r="DX628"/>
      <c r="DY628"/>
      <c r="DZ628"/>
      <c r="EA628"/>
      <c r="EB628"/>
      <c r="EC628"/>
      <c r="ED628"/>
      <c r="EE628"/>
      <c r="EF628"/>
      <c r="EG628"/>
      <c r="EH628"/>
      <c r="EI628"/>
      <c r="EJ628"/>
      <c r="EK628"/>
      <c r="EL628"/>
      <c r="EM628"/>
      <c r="EN628"/>
      <c r="EO628"/>
      <c r="EP628"/>
      <c r="EQ628"/>
      <c r="ER628"/>
      <c r="ES628"/>
      <c r="ET628"/>
      <c r="EU628"/>
      <c r="EV628"/>
      <c r="EW628"/>
      <c r="EX628"/>
      <c r="EY628"/>
      <c r="EZ628"/>
      <c r="FA628"/>
      <c r="FB628"/>
      <c r="FC628"/>
      <c r="FD628"/>
      <c r="FE628"/>
      <c r="FF628"/>
      <c r="FG628"/>
      <c r="FH628"/>
      <c r="FI628"/>
      <c r="FJ628"/>
      <c r="FK628"/>
      <c r="FL628"/>
      <c r="FM628"/>
      <c r="FN628"/>
      <c r="FO628"/>
      <c r="FP628"/>
      <c r="FQ628"/>
      <c r="FR628"/>
      <c r="FS628"/>
      <c r="FT628"/>
      <c r="FU628"/>
      <c r="FV628"/>
      <c r="FW628"/>
      <c r="FX628"/>
      <c r="FY628"/>
      <c r="FZ628"/>
      <c r="GA628"/>
      <c r="GB628"/>
      <c r="GC628"/>
      <c r="GD628"/>
      <c r="GE628"/>
      <c r="GF628"/>
      <c r="GG628"/>
      <c r="GH628"/>
      <c r="GI628"/>
      <c r="GJ628"/>
      <c r="GK628"/>
      <c r="GL628"/>
      <c r="GM628"/>
      <c r="GN628"/>
      <c r="GO628"/>
      <c r="GP628"/>
      <c r="GQ628"/>
      <c r="GR628"/>
      <c r="GS628"/>
      <c r="GT628"/>
      <c r="GU628"/>
      <c r="GV628"/>
      <c r="GW628"/>
      <c r="GX628"/>
      <c r="GY628"/>
      <c r="GZ628"/>
      <c r="HA628"/>
      <c r="HB628"/>
      <c r="HC628"/>
      <c r="HD628"/>
      <c r="HE628"/>
      <c r="HF628"/>
      <c r="HG628"/>
      <c r="HH628"/>
      <c r="HI628"/>
      <c r="HJ628"/>
      <c r="HK628"/>
      <c r="HL628"/>
      <c r="HM628"/>
      <c r="HN628"/>
      <c r="HO628"/>
      <c r="HP628"/>
      <c r="HQ628"/>
      <c r="HR628"/>
      <c r="HS628"/>
      <c r="HT628"/>
      <c r="HU628"/>
      <c r="HV628"/>
      <c r="HW628"/>
      <c r="HX628"/>
      <c r="HY628"/>
      <c r="HZ628"/>
      <c r="IA628"/>
      <c r="IB628"/>
      <c r="IC628"/>
      <c r="ID628"/>
      <c r="IE628"/>
      <c r="IF628"/>
      <c r="IG628"/>
      <c r="IH628"/>
      <c r="II628"/>
      <c r="IJ628"/>
      <c r="IK628"/>
      <c r="IL628"/>
      <c r="IM628"/>
      <c r="IN628"/>
      <c r="IO628"/>
      <c r="IP628"/>
      <c r="IQ628"/>
      <c r="IR628"/>
      <c r="IS628"/>
      <c r="IT628"/>
      <c r="IU628"/>
      <c r="IV628"/>
      <c r="IW628"/>
      <c r="IX628"/>
      <c r="IY628"/>
      <c r="IZ628"/>
      <c r="JA628"/>
      <c r="JB628"/>
      <c r="JC628"/>
      <c r="JD628"/>
      <c r="JE628"/>
      <c r="JF628"/>
      <c r="JG628"/>
      <c r="JH628"/>
      <c r="JI628"/>
      <c r="JJ628"/>
      <c r="JK628"/>
      <c r="JL628"/>
      <c r="JM628"/>
      <c r="JN628"/>
      <c r="JO628"/>
      <c r="JP628"/>
      <c r="JQ628"/>
      <c r="JR628"/>
      <c r="JS628"/>
      <c r="JT628"/>
      <c r="JU628"/>
      <c r="JV628"/>
      <c r="JW628"/>
      <c r="JX628"/>
      <c r="JY628"/>
      <c r="JZ628"/>
      <c r="KA628"/>
      <c r="KB628"/>
      <c r="KC628"/>
      <c r="KD628"/>
      <c r="KE628"/>
      <c r="KF628"/>
      <c r="KG628"/>
      <c r="KH628"/>
      <c r="KI628"/>
      <c r="KJ628"/>
      <c r="KK628"/>
      <c r="KL628"/>
      <c r="KM628"/>
      <c r="KN628"/>
      <c r="KO628"/>
      <c r="KP628"/>
      <c r="KQ628"/>
      <c r="KR628"/>
      <c r="KS628"/>
    </row>
    <row r="629" spans="2:305" hidden="1" x14ac:dyDescent="0.35">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c r="AL629"/>
      <c r="AM629"/>
      <c r="AN629"/>
      <c r="AO629"/>
      <c r="AP629"/>
      <c r="AQ629"/>
      <c r="AR629"/>
      <c r="AS629"/>
      <c r="AT629"/>
      <c r="AU629"/>
      <c r="AV629"/>
      <c r="AW629"/>
      <c r="AX629"/>
      <c r="AY629"/>
      <c r="AZ629"/>
      <c r="BA629"/>
      <c r="BB629"/>
      <c r="BC629"/>
      <c r="BD629"/>
      <c r="BE629"/>
      <c r="BF629"/>
      <c r="BG629"/>
      <c r="BH629"/>
      <c r="BI629"/>
      <c r="BJ629"/>
      <c r="BK629"/>
      <c r="BL629"/>
      <c r="BM629"/>
      <c r="BN629"/>
      <c r="BO629"/>
      <c r="BP629"/>
      <c r="BQ629"/>
      <c r="BR629"/>
      <c r="BS629"/>
      <c r="BT629"/>
      <c r="BU629"/>
      <c r="BV629"/>
      <c r="BW629"/>
      <c r="BX629"/>
      <c r="BY629"/>
      <c r="BZ629"/>
      <c r="CA629"/>
      <c r="CB629"/>
      <c r="CC629"/>
      <c r="CD629"/>
      <c r="CE629"/>
      <c r="CF629"/>
      <c r="CG629"/>
      <c r="CH629"/>
      <c r="CI629"/>
      <c r="CJ629"/>
      <c r="CK629"/>
      <c r="CL629"/>
      <c r="CM629"/>
      <c r="CN629"/>
      <c r="CO629"/>
      <c r="CP629"/>
      <c r="CQ629"/>
      <c r="CR629"/>
      <c r="CS629"/>
      <c r="CT629"/>
      <c r="CU629"/>
      <c r="CV629"/>
      <c r="CW629"/>
      <c r="CX629"/>
      <c r="CY629"/>
      <c r="CZ629"/>
      <c r="DA629"/>
      <c r="DB629"/>
      <c r="DC629"/>
      <c r="DD629"/>
      <c r="DE629"/>
      <c r="DF629"/>
      <c r="DG629"/>
      <c r="DH629"/>
      <c r="DI629"/>
      <c r="DJ629"/>
      <c r="DK629"/>
      <c r="DL629"/>
      <c r="DM629"/>
      <c r="DN629"/>
      <c r="DO629"/>
      <c r="DP629"/>
      <c r="DQ629"/>
      <c r="DR629"/>
      <c r="DS629"/>
      <c r="DT629"/>
      <c r="DU629"/>
      <c r="DV629"/>
      <c r="DW629"/>
      <c r="DX629"/>
      <c r="DY629"/>
      <c r="DZ629"/>
      <c r="EA629"/>
      <c r="EB629"/>
      <c r="EC629"/>
      <c r="ED629"/>
      <c r="EE629"/>
      <c r="EF629"/>
      <c r="EG629"/>
      <c r="EH629"/>
      <c r="EI629"/>
      <c r="EJ629"/>
      <c r="EK629"/>
      <c r="EL629"/>
      <c r="EM629"/>
      <c r="EN629"/>
      <c r="EO629"/>
      <c r="EP629"/>
      <c r="EQ629"/>
      <c r="ER629"/>
      <c r="ES629"/>
      <c r="ET629"/>
      <c r="EU629"/>
      <c r="EV629"/>
      <c r="EW629"/>
      <c r="EX629"/>
      <c r="EY629"/>
      <c r="EZ629"/>
      <c r="FA629"/>
      <c r="FB629"/>
      <c r="FC629"/>
      <c r="FD629"/>
      <c r="FE629"/>
      <c r="FF629"/>
      <c r="FG629"/>
      <c r="FH629"/>
      <c r="FI629"/>
      <c r="FJ629"/>
      <c r="FK629"/>
      <c r="FL629"/>
      <c r="FM629"/>
      <c r="FN629"/>
      <c r="FO629"/>
      <c r="FP629"/>
      <c r="FQ629"/>
      <c r="FR629"/>
      <c r="FS629"/>
      <c r="FT629"/>
      <c r="FU629"/>
      <c r="FV629"/>
      <c r="FW629"/>
      <c r="FX629"/>
      <c r="FY629"/>
      <c r="FZ629"/>
      <c r="GA629"/>
      <c r="GB629"/>
      <c r="GC629"/>
      <c r="GD629"/>
      <c r="GE629"/>
      <c r="GF629"/>
      <c r="GG629"/>
      <c r="GH629"/>
      <c r="GI629"/>
      <c r="GJ629"/>
      <c r="GK629"/>
      <c r="GL629"/>
      <c r="GM629"/>
      <c r="GN629"/>
      <c r="GO629"/>
      <c r="GP629"/>
      <c r="GQ629"/>
      <c r="GR629"/>
      <c r="GS629"/>
      <c r="GT629"/>
      <c r="GU629"/>
      <c r="GV629"/>
      <c r="GW629"/>
      <c r="GX629"/>
      <c r="GY629"/>
      <c r="GZ629"/>
      <c r="HA629"/>
      <c r="HB629"/>
      <c r="HC629"/>
      <c r="HD629"/>
      <c r="HE629"/>
      <c r="HF629"/>
      <c r="HG629"/>
      <c r="HH629"/>
      <c r="HI629"/>
      <c r="HJ629"/>
      <c r="HK629"/>
      <c r="HL629"/>
      <c r="HM629"/>
      <c r="HN629"/>
      <c r="HO629"/>
      <c r="HP629"/>
      <c r="HQ629"/>
      <c r="HR629"/>
      <c r="HS629"/>
      <c r="HT629"/>
      <c r="HU629"/>
      <c r="HV629"/>
      <c r="HW629"/>
      <c r="HX629"/>
      <c r="HY629"/>
      <c r="HZ629"/>
      <c r="IA629"/>
      <c r="IB629"/>
      <c r="IC629"/>
      <c r="ID629"/>
      <c r="IE629"/>
      <c r="IF629"/>
      <c r="IG629"/>
      <c r="IH629"/>
      <c r="II629"/>
      <c r="IJ629"/>
      <c r="IK629"/>
      <c r="IL629"/>
      <c r="IM629"/>
      <c r="IN629"/>
      <c r="IO629"/>
      <c r="IP629"/>
      <c r="IQ629"/>
      <c r="IR629"/>
      <c r="IS629"/>
      <c r="IT629"/>
      <c r="IU629"/>
      <c r="IV629"/>
      <c r="IW629"/>
      <c r="IX629"/>
      <c r="IY629"/>
      <c r="IZ629"/>
      <c r="JA629"/>
      <c r="JB629"/>
      <c r="JC629"/>
      <c r="JD629"/>
      <c r="JE629"/>
      <c r="JF629"/>
      <c r="JG629"/>
      <c r="JH629"/>
      <c r="JI629"/>
      <c r="JJ629"/>
      <c r="JK629"/>
      <c r="JL629"/>
      <c r="JM629"/>
      <c r="JN629"/>
      <c r="JO629"/>
      <c r="JP629"/>
      <c r="JQ629"/>
      <c r="JR629"/>
      <c r="JS629"/>
      <c r="JT629"/>
      <c r="JU629"/>
      <c r="JV629"/>
      <c r="JW629"/>
      <c r="JX629"/>
      <c r="JY629"/>
      <c r="JZ629"/>
      <c r="KA629"/>
      <c r="KB629"/>
      <c r="KC629"/>
      <c r="KD629"/>
      <c r="KE629"/>
      <c r="KF629"/>
      <c r="KG629"/>
      <c r="KH629"/>
      <c r="KI629"/>
      <c r="KJ629"/>
      <c r="KK629"/>
      <c r="KL629"/>
      <c r="KM629"/>
      <c r="KN629"/>
      <c r="KO629"/>
      <c r="KP629"/>
      <c r="KQ629"/>
      <c r="KR629"/>
      <c r="KS629"/>
    </row>
    <row r="630" spans="2:305" hidden="1" x14ac:dyDescent="0.35">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c r="AL630"/>
      <c r="AM630"/>
      <c r="AN630"/>
      <c r="AO630"/>
      <c r="AP630"/>
      <c r="AQ630"/>
      <c r="AR630"/>
      <c r="AS630"/>
      <c r="AT630"/>
      <c r="AU630"/>
      <c r="AV630"/>
      <c r="AW630"/>
      <c r="AX630"/>
      <c r="AY630"/>
      <c r="AZ630"/>
      <c r="BA630"/>
      <c r="BB630"/>
      <c r="BC630"/>
      <c r="BD630"/>
      <c r="BE630"/>
      <c r="BF630"/>
      <c r="BG630"/>
      <c r="BH630"/>
      <c r="BI630"/>
      <c r="BJ630"/>
      <c r="BK630"/>
      <c r="BL630"/>
      <c r="BM630"/>
      <c r="BN630"/>
      <c r="BO630"/>
      <c r="BP630"/>
      <c r="BQ630"/>
      <c r="BR630"/>
      <c r="BS630"/>
      <c r="BT630"/>
      <c r="BU630"/>
      <c r="BV630"/>
      <c r="BW630"/>
      <c r="BX630"/>
      <c r="BY630"/>
      <c r="BZ630"/>
      <c r="CA630"/>
      <c r="CB630"/>
      <c r="CC630"/>
      <c r="CD630"/>
      <c r="CE630"/>
      <c r="CF630"/>
      <c r="CG630"/>
      <c r="CH630"/>
      <c r="CI630"/>
      <c r="CJ630"/>
      <c r="CK630"/>
      <c r="CL630"/>
      <c r="CM630"/>
      <c r="CN630"/>
      <c r="CO630"/>
      <c r="CP630"/>
      <c r="CQ630"/>
      <c r="CR630"/>
      <c r="CS630"/>
      <c r="CT630"/>
      <c r="CU630"/>
      <c r="CV630"/>
      <c r="CW630"/>
      <c r="CX630"/>
      <c r="CY630"/>
      <c r="CZ630"/>
      <c r="DA630"/>
      <c r="DB630"/>
      <c r="DC630"/>
      <c r="DD630"/>
      <c r="DE630"/>
      <c r="DF630"/>
      <c r="DG630"/>
      <c r="DH630"/>
      <c r="DI630"/>
      <c r="DJ630"/>
      <c r="DK630"/>
      <c r="DL630"/>
      <c r="DM630"/>
      <c r="DN630"/>
      <c r="DO630"/>
      <c r="DP630"/>
      <c r="DQ630"/>
      <c r="DR630"/>
      <c r="DS630"/>
      <c r="DT630"/>
      <c r="DU630"/>
      <c r="DV630"/>
      <c r="DW630"/>
      <c r="DX630"/>
      <c r="DY630"/>
      <c r="DZ630"/>
      <c r="EA630"/>
      <c r="EB630"/>
      <c r="EC630"/>
      <c r="ED630"/>
      <c r="EE630"/>
      <c r="EF630"/>
      <c r="EG630"/>
      <c r="EH630"/>
      <c r="EI630"/>
      <c r="EJ630"/>
      <c r="EK630"/>
      <c r="EL630"/>
      <c r="EM630"/>
      <c r="EN630"/>
      <c r="EO630"/>
      <c r="EP630"/>
      <c r="EQ630"/>
      <c r="ER630"/>
      <c r="ES630"/>
      <c r="ET630"/>
      <c r="EU630"/>
      <c r="EV630"/>
      <c r="EW630"/>
      <c r="EX630"/>
      <c r="EY630"/>
      <c r="EZ630"/>
      <c r="FA630"/>
      <c r="FB630"/>
      <c r="FC630"/>
      <c r="FD630"/>
      <c r="FE630"/>
      <c r="FF630"/>
      <c r="FG630"/>
      <c r="FH630"/>
      <c r="FI630"/>
      <c r="FJ630"/>
      <c r="FK630"/>
      <c r="FL630"/>
      <c r="FM630"/>
      <c r="FN630"/>
      <c r="FO630"/>
      <c r="FP630"/>
      <c r="FQ630"/>
      <c r="FR630"/>
      <c r="FS630"/>
      <c r="FT630"/>
      <c r="FU630"/>
      <c r="FV630"/>
      <c r="FW630"/>
      <c r="FX630"/>
      <c r="FY630"/>
      <c r="FZ630"/>
      <c r="GA630"/>
      <c r="GB630"/>
      <c r="GC630"/>
      <c r="GD630"/>
      <c r="GE630"/>
      <c r="GF630"/>
      <c r="GG630"/>
      <c r="GH630"/>
      <c r="GI630"/>
      <c r="GJ630"/>
      <c r="GK630"/>
      <c r="GL630"/>
      <c r="GM630"/>
      <c r="GN630"/>
      <c r="GO630"/>
      <c r="GP630"/>
      <c r="GQ630"/>
      <c r="GR630"/>
      <c r="GS630"/>
      <c r="GT630"/>
      <c r="GU630"/>
      <c r="GV630"/>
      <c r="GW630"/>
      <c r="GX630"/>
      <c r="GY630"/>
      <c r="GZ630"/>
      <c r="HA630"/>
      <c r="HB630"/>
      <c r="HC630"/>
      <c r="HD630"/>
      <c r="HE630"/>
      <c r="HF630"/>
      <c r="HG630"/>
      <c r="HH630"/>
      <c r="HI630"/>
      <c r="HJ630"/>
      <c r="HK630"/>
      <c r="HL630"/>
      <c r="HM630"/>
      <c r="HN630"/>
      <c r="HO630"/>
      <c r="HP630"/>
      <c r="HQ630"/>
      <c r="HR630"/>
      <c r="HS630"/>
      <c r="HT630"/>
      <c r="HU630"/>
      <c r="HV630"/>
      <c r="HW630"/>
      <c r="HX630"/>
      <c r="HY630"/>
      <c r="HZ630"/>
      <c r="IA630"/>
      <c r="IB630"/>
      <c r="IC630"/>
      <c r="ID630"/>
      <c r="IE630"/>
      <c r="IF630"/>
      <c r="IG630"/>
      <c r="IH630"/>
      <c r="II630"/>
      <c r="IJ630"/>
      <c r="IK630"/>
      <c r="IL630"/>
      <c r="IM630"/>
      <c r="IN630"/>
      <c r="IO630"/>
      <c r="IP630"/>
      <c r="IQ630"/>
      <c r="IR630"/>
      <c r="IS630"/>
      <c r="IT630"/>
      <c r="IU630"/>
      <c r="IV630"/>
      <c r="IW630"/>
      <c r="IX630"/>
      <c r="IY630"/>
      <c r="IZ630"/>
      <c r="JA630"/>
      <c r="JB630"/>
      <c r="JC630"/>
      <c r="JD630"/>
      <c r="JE630"/>
      <c r="JF630"/>
      <c r="JG630"/>
      <c r="JH630"/>
      <c r="JI630"/>
      <c r="JJ630"/>
      <c r="JK630"/>
      <c r="JL630"/>
      <c r="JM630"/>
      <c r="JN630"/>
      <c r="JO630"/>
      <c r="JP630"/>
      <c r="JQ630"/>
      <c r="JR630"/>
      <c r="JS630"/>
      <c r="JT630"/>
      <c r="JU630"/>
      <c r="JV630"/>
      <c r="JW630"/>
      <c r="JX630"/>
      <c r="JY630"/>
      <c r="JZ630"/>
      <c r="KA630"/>
      <c r="KB630"/>
      <c r="KC630"/>
      <c r="KD630"/>
      <c r="KE630"/>
      <c r="KF630"/>
      <c r="KG630"/>
      <c r="KH630"/>
      <c r="KI630"/>
      <c r="KJ630"/>
      <c r="KK630"/>
      <c r="KL630"/>
      <c r="KM630"/>
      <c r="KN630"/>
      <c r="KO630"/>
      <c r="KP630"/>
      <c r="KQ630"/>
      <c r="KR630"/>
      <c r="KS630"/>
    </row>
    <row r="631" spans="2:305" hidden="1" x14ac:dyDescent="0.35">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c r="AL631"/>
      <c r="AM631"/>
      <c r="AN631"/>
      <c r="AO631"/>
      <c r="AP631"/>
      <c r="AQ631"/>
      <c r="AR631"/>
      <c r="AS631"/>
      <c r="AT631"/>
      <c r="AU631"/>
      <c r="AV631"/>
      <c r="AW631"/>
      <c r="AX631"/>
      <c r="AY631"/>
      <c r="AZ631"/>
      <c r="BA631"/>
      <c r="BB631"/>
      <c r="BC631"/>
      <c r="BD631"/>
      <c r="BE631"/>
      <c r="BF631"/>
      <c r="BG631"/>
      <c r="BH631"/>
      <c r="BI631"/>
      <c r="BJ631"/>
      <c r="BK631"/>
      <c r="BL631"/>
      <c r="BM631"/>
      <c r="BN631"/>
      <c r="BO631"/>
      <c r="BP631"/>
      <c r="BQ631"/>
      <c r="BR631"/>
      <c r="BS631"/>
      <c r="BT631"/>
      <c r="BU631"/>
      <c r="BV631"/>
      <c r="BW631"/>
      <c r="BX631"/>
      <c r="BY631"/>
      <c r="BZ631"/>
      <c r="CA631"/>
      <c r="CB631"/>
      <c r="CC631"/>
      <c r="CD631"/>
      <c r="CE631"/>
      <c r="CF631"/>
      <c r="CG631"/>
      <c r="CH631"/>
      <c r="CI631"/>
      <c r="CJ631"/>
      <c r="CK631"/>
      <c r="CL631"/>
      <c r="CM631"/>
      <c r="CN631"/>
      <c r="CO631"/>
      <c r="CP631"/>
      <c r="CQ631"/>
      <c r="CR631"/>
      <c r="CS631"/>
      <c r="CT631"/>
      <c r="CU631"/>
      <c r="CV631"/>
      <c r="CW631"/>
      <c r="CX631"/>
      <c r="CY631"/>
      <c r="CZ631"/>
      <c r="DA631"/>
      <c r="DB631"/>
      <c r="DC631"/>
      <c r="DD631"/>
      <c r="DE631"/>
      <c r="DF631"/>
      <c r="DG631"/>
      <c r="DH631"/>
      <c r="DI631"/>
      <c r="DJ631"/>
      <c r="DK631"/>
      <c r="DL631"/>
      <c r="DM631"/>
      <c r="DN631"/>
      <c r="DO631"/>
      <c r="DP631"/>
      <c r="DQ631"/>
      <c r="DR631"/>
      <c r="DS631"/>
      <c r="DT631"/>
      <c r="DU631"/>
      <c r="DV631"/>
      <c r="DW631"/>
      <c r="DX631"/>
      <c r="DY631"/>
      <c r="DZ631"/>
      <c r="EA631"/>
      <c r="EB631"/>
      <c r="EC631"/>
      <c r="ED631"/>
      <c r="EE631"/>
      <c r="EF631"/>
      <c r="EG631"/>
      <c r="EH631"/>
      <c r="EI631"/>
      <c r="EJ631"/>
      <c r="EK631"/>
      <c r="EL631"/>
      <c r="EM631"/>
      <c r="EN631"/>
      <c r="EO631"/>
      <c r="EP631"/>
      <c r="EQ631"/>
      <c r="ER631"/>
      <c r="ES631"/>
      <c r="ET631"/>
      <c r="EU631"/>
      <c r="EV631"/>
      <c r="EW631"/>
      <c r="EX631"/>
      <c r="EY631"/>
      <c r="EZ631"/>
      <c r="FA631"/>
      <c r="FB631"/>
      <c r="FC631"/>
      <c r="FD631"/>
      <c r="FE631"/>
      <c r="FF631"/>
      <c r="FG631"/>
      <c r="FH631"/>
      <c r="FI631"/>
      <c r="FJ631"/>
      <c r="FK631"/>
      <c r="FL631"/>
      <c r="FM631"/>
      <c r="FN631"/>
      <c r="FO631"/>
      <c r="FP631"/>
      <c r="FQ631"/>
      <c r="FR631"/>
      <c r="FS631"/>
      <c r="FT631"/>
      <c r="FU631"/>
      <c r="FV631"/>
      <c r="FW631"/>
      <c r="FX631"/>
      <c r="FY631"/>
      <c r="FZ631"/>
      <c r="GA631"/>
      <c r="GB631"/>
      <c r="GC631"/>
      <c r="GD631"/>
      <c r="GE631"/>
      <c r="GF631"/>
      <c r="GG631"/>
      <c r="GH631"/>
      <c r="GI631"/>
      <c r="GJ631"/>
      <c r="GK631"/>
      <c r="GL631"/>
      <c r="GM631"/>
      <c r="GN631"/>
      <c r="GO631"/>
      <c r="GP631"/>
      <c r="GQ631"/>
      <c r="GR631"/>
      <c r="GS631"/>
      <c r="GT631"/>
      <c r="GU631"/>
      <c r="GV631"/>
      <c r="GW631"/>
      <c r="GX631"/>
      <c r="GY631"/>
      <c r="GZ631"/>
      <c r="HA631"/>
      <c r="HB631"/>
      <c r="HC631"/>
      <c r="HD631"/>
      <c r="HE631"/>
      <c r="HF631"/>
      <c r="HG631"/>
      <c r="HH631"/>
      <c r="HI631"/>
      <c r="HJ631"/>
      <c r="HK631"/>
      <c r="HL631"/>
      <c r="HM631"/>
      <c r="HN631"/>
      <c r="HO631"/>
      <c r="HP631"/>
      <c r="HQ631"/>
      <c r="HR631"/>
      <c r="HS631"/>
      <c r="HT631"/>
      <c r="HU631"/>
      <c r="HV631"/>
      <c r="HW631"/>
      <c r="HX631"/>
      <c r="HY631"/>
      <c r="HZ631"/>
      <c r="IA631"/>
      <c r="IB631"/>
      <c r="IC631"/>
      <c r="ID631"/>
      <c r="IE631"/>
      <c r="IF631"/>
      <c r="IG631"/>
      <c r="IH631"/>
      <c r="II631"/>
      <c r="IJ631"/>
      <c r="IK631"/>
      <c r="IL631"/>
      <c r="IM631"/>
      <c r="IN631"/>
      <c r="IO631"/>
      <c r="IP631"/>
      <c r="IQ631"/>
      <c r="IR631"/>
      <c r="IS631"/>
      <c r="IT631"/>
      <c r="IU631"/>
      <c r="IV631"/>
      <c r="IW631"/>
      <c r="IX631"/>
      <c r="IY631"/>
      <c r="IZ631"/>
      <c r="JA631"/>
      <c r="JB631"/>
      <c r="JC631"/>
      <c r="JD631"/>
      <c r="JE631"/>
      <c r="JF631"/>
      <c r="JG631"/>
      <c r="JH631"/>
      <c r="JI631"/>
      <c r="JJ631"/>
      <c r="JK631"/>
      <c r="JL631"/>
      <c r="JM631"/>
      <c r="JN631"/>
      <c r="JO631"/>
      <c r="JP631"/>
      <c r="JQ631"/>
      <c r="JR631"/>
      <c r="JS631"/>
      <c r="JT631"/>
      <c r="JU631"/>
      <c r="JV631"/>
      <c r="JW631"/>
      <c r="JX631"/>
      <c r="JY631"/>
      <c r="JZ631"/>
      <c r="KA631"/>
      <c r="KB631"/>
      <c r="KC631"/>
      <c r="KD631"/>
      <c r="KE631"/>
      <c r="KF631"/>
      <c r="KG631"/>
      <c r="KH631"/>
      <c r="KI631"/>
      <c r="KJ631"/>
      <c r="KK631"/>
      <c r="KL631"/>
      <c r="KM631"/>
      <c r="KN631"/>
      <c r="KO631"/>
      <c r="KP631"/>
      <c r="KQ631"/>
      <c r="KR631"/>
      <c r="KS631"/>
    </row>
    <row r="632" spans="2:305" hidden="1" x14ac:dyDescent="0.35">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c r="AL632"/>
      <c r="AM632"/>
      <c r="AN632"/>
      <c r="AO632"/>
      <c r="AP632"/>
      <c r="AQ632"/>
      <c r="AR632"/>
      <c r="AS632"/>
      <c r="AT632"/>
      <c r="AU632"/>
      <c r="AV632"/>
      <c r="AW632"/>
      <c r="AX632"/>
      <c r="AY632"/>
      <c r="AZ632"/>
      <c r="BA632"/>
      <c r="BB632"/>
      <c r="BC632"/>
      <c r="BD632"/>
      <c r="BE632"/>
      <c r="BF632"/>
      <c r="BG632"/>
      <c r="BH632"/>
      <c r="BI632"/>
      <c r="BJ632"/>
      <c r="BK632"/>
      <c r="BL632"/>
      <c r="BM632"/>
      <c r="BN632"/>
      <c r="BO632"/>
      <c r="BP632"/>
      <c r="BQ632"/>
      <c r="BR632"/>
      <c r="BS632"/>
      <c r="BT632"/>
      <c r="BU632"/>
      <c r="BV632"/>
      <c r="BW632"/>
      <c r="BX632"/>
      <c r="BY632"/>
      <c r="BZ632"/>
      <c r="CA632"/>
      <c r="CB632"/>
      <c r="CC632"/>
      <c r="CD632"/>
      <c r="CE632"/>
      <c r="CF632"/>
      <c r="CG632"/>
      <c r="CH632"/>
      <c r="CI632"/>
      <c r="CJ632"/>
      <c r="CK632"/>
      <c r="CL632"/>
      <c r="CM632"/>
      <c r="CN632"/>
      <c r="CO632"/>
      <c r="CP632"/>
      <c r="CQ632"/>
      <c r="CR632"/>
      <c r="CS632"/>
      <c r="CT632"/>
      <c r="CU632"/>
      <c r="CV632"/>
      <c r="CW632"/>
      <c r="CX632"/>
      <c r="CY632"/>
      <c r="CZ632"/>
      <c r="DA632"/>
      <c r="DB632"/>
      <c r="DC632"/>
      <c r="DD632"/>
      <c r="DE632"/>
      <c r="DF632"/>
      <c r="DG632"/>
      <c r="DH632"/>
      <c r="DI632"/>
      <c r="DJ632"/>
      <c r="DK632"/>
      <c r="DL632"/>
      <c r="DM632"/>
      <c r="DN632"/>
      <c r="DO632"/>
      <c r="DP632"/>
      <c r="DQ632"/>
      <c r="DR632"/>
      <c r="DS632"/>
      <c r="DT632"/>
      <c r="DU632"/>
      <c r="DV632"/>
      <c r="DW632"/>
      <c r="DX632"/>
      <c r="DY632"/>
      <c r="DZ632"/>
      <c r="EA632"/>
      <c r="EB632"/>
      <c r="EC632"/>
      <c r="ED632"/>
      <c r="EE632"/>
      <c r="EF632"/>
      <c r="EG632"/>
      <c r="EH632"/>
      <c r="EI632"/>
      <c r="EJ632"/>
      <c r="EK632"/>
      <c r="EL632"/>
      <c r="EM632"/>
      <c r="EN632"/>
      <c r="EO632"/>
      <c r="EP632"/>
      <c r="EQ632"/>
      <c r="ER632"/>
      <c r="ES632"/>
      <c r="ET632"/>
      <c r="EU632"/>
      <c r="EV632"/>
      <c r="EW632"/>
      <c r="EX632"/>
      <c r="EY632"/>
      <c r="EZ632"/>
      <c r="FA632"/>
      <c r="FB632"/>
      <c r="FC632"/>
      <c r="FD632"/>
      <c r="FE632"/>
      <c r="FF632"/>
      <c r="FG632"/>
      <c r="FH632"/>
      <c r="FI632"/>
      <c r="FJ632"/>
      <c r="FK632"/>
      <c r="FL632"/>
      <c r="FM632"/>
      <c r="FN632"/>
      <c r="FO632"/>
      <c r="FP632"/>
      <c r="FQ632"/>
      <c r="FR632"/>
      <c r="FS632"/>
      <c r="FT632"/>
      <c r="FU632"/>
      <c r="FV632"/>
      <c r="FW632"/>
      <c r="FX632"/>
      <c r="FY632"/>
      <c r="FZ632"/>
      <c r="GA632"/>
      <c r="GB632"/>
      <c r="GC632"/>
      <c r="GD632"/>
      <c r="GE632"/>
      <c r="GF632"/>
      <c r="GG632"/>
      <c r="GH632"/>
      <c r="GI632"/>
      <c r="GJ632"/>
      <c r="GK632"/>
      <c r="GL632"/>
      <c r="GM632"/>
      <c r="GN632"/>
      <c r="GO632"/>
      <c r="GP632"/>
      <c r="GQ632"/>
      <c r="GR632"/>
      <c r="GS632"/>
      <c r="GT632"/>
      <c r="GU632"/>
      <c r="GV632"/>
      <c r="GW632"/>
      <c r="GX632"/>
      <c r="GY632"/>
      <c r="GZ632"/>
      <c r="HA632"/>
      <c r="HB632"/>
      <c r="HC632"/>
      <c r="HD632"/>
      <c r="HE632"/>
      <c r="HF632"/>
      <c r="HG632"/>
      <c r="HH632"/>
      <c r="HI632"/>
      <c r="HJ632"/>
      <c r="HK632"/>
      <c r="HL632"/>
      <c r="HM632"/>
      <c r="HN632"/>
      <c r="HO632"/>
      <c r="HP632"/>
      <c r="HQ632"/>
      <c r="HR632"/>
      <c r="HS632"/>
      <c r="HT632"/>
      <c r="HU632"/>
      <c r="HV632"/>
      <c r="HW632"/>
      <c r="HX632"/>
      <c r="HY632"/>
      <c r="HZ632"/>
      <c r="IA632"/>
      <c r="IB632"/>
      <c r="IC632"/>
      <c r="ID632"/>
      <c r="IE632"/>
      <c r="IF632"/>
      <c r="IG632"/>
      <c r="IH632"/>
      <c r="II632"/>
      <c r="IJ632"/>
      <c r="IK632"/>
      <c r="IL632"/>
      <c r="IM632"/>
      <c r="IN632"/>
      <c r="IO632"/>
      <c r="IP632"/>
      <c r="IQ632"/>
      <c r="IR632"/>
      <c r="IS632"/>
      <c r="IT632"/>
      <c r="IU632"/>
      <c r="IV632"/>
      <c r="IW632"/>
      <c r="IX632"/>
      <c r="IY632"/>
      <c r="IZ632"/>
      <c r="JA632"/>
      <c r="JB632"/>
      <c r="JC632"/>
      <c r="JD632"/>
      <c r="JE632"/>
      <c r="JF632"/>
      <c r="JG632"/>
      <c r="JH632"/>
      <c r="JI632"/>
      <c r="JJ632"/>
      <c r="JK632"/>
      <c r="JL632"/>
      <c r="JM632"/>
      <c r="JN632"/>
      <c r="JO632"/>
      <c r="JP632"/>
      <c r="JQ632"/>
      <c r="JR632"/>
      <c r="JS632"/>
      <c r="JT632"/>
      <c r="JU632"/>
      <c r="JV632"/>
      <c r="JW632"/>
      <c r="JX632"/>
      <c r="JY632"/>
      <c r="JZ632"/>
      <c r="KA632"/>
      <c r="KB632"/>
      <c r="KC632"/>
      <c r="KD632"/>
      <c r="KE632"/>
      <c r="KF632"/>
      <c r="KG632"/>
      <c r="KH632"/>
      <c r="KI632"/>
      <c r="KJ632"/>
      <c r="KK632"/>
      <c r="KL632"/>
      <c r="KM632"/>
      <c r="KN632"/>
      <c r="KO632"/>
      <c r="KP632"/>
      <c r="KQ632"/>
      <c r="KR632"/>
      <c r="KS632"/>
    </row>
    <row r="633" spans="2:305" hidden="1" x14ac:dyDescent="0.35">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c r="AL633"/>
      <c r="AM633"/>
      <c r="AN633"/>
      <c r="AO633"/>
      <c r="AP633"/>
      <c r="AQ633"/>
      <c r="AR633"/>
      <c r="AS633"/>
      <c r="AT633"/>
      <c r="AU633"/>
      <c r="AV633"/>
      <c r="AW633"/>
      <c r="AX633"/>
      <c r="AY633"/>
      <c r="AZ633"/>
      <c r="BA633"/>
      <c r="BB633"/>
      <c r="BC633"/>
      <c r="BD633"/>
      <c r="BE633"/>
      <c r="BF633"/>
      <c r="BG633"/>
      <c r="BH633"/>
      <c r="BI633"/>
      <c r="BJ633"/>
      <c r="BK633"/>
      <c r="BL633"/>
      <c r="BM633"/>
      <c r="BN633"/>
      <c r="BO633"/>
      <c r="BP633"/>
      <c r="BQ633"/>
      <c r="BR633"/>
      <c r="BS633"/>
      <c r="BT633"/>
      <c r="BU633"/>
      <c r="BV633"/>
      <c r="BW633"/>
      <c r="BX633"/>
      <c r="BY633"/>
      <c r="BZ633"/>
      <c r="CA633"/>
      <c r="CB633"/>
      <c r="CC633"/>
      <c r="CD633"/>
      <c r="CE633"/>
      <c r="CF633"/>
      <c r="CG633"/>
      <c r="CH633"/>
      <c r="CI633"/>
      <c r="CJ633"/>
      <c r="CK633"/>
      <c r="CL633"/>
      <c r="CM633"/>
      <c r="CN633"/>
      <c r="CO633"/>
      <c r="CP633"/>
      <c r="CQ633"/>
      <c r="CR633"/>
      <c r="CS633"/>
      <c r="CT633"/>
      <c r="CU633"/>
      <c r="CV633"/>
      <c r="CW633"/>
      <c r="CX633"/>
      <c r="CY633"/>
      <c r="CZ633"/>
      <c r="DA633"/>
      <c r="DB633"/>
      <c r="DC633"/>
      <c r="DD633"/>
      <c r="DE633"/>
      <c r="DF633"/>
      <c r="DG633"/>
      <c r="DH633"/>
      <c r="DI633"/>
      <c r="DJ633"/>
      <c r="DK633"/>
      <c r="DL633"/>
      <c r="DM633"/>
      <c r="DN633"/>
      <c r="DO633"/>
      <c r="DP633"/>
      <c r="DQ633"/>
      <c r="DR633"/>
      <c r="DS633"/>
      <c r="DT633"/>
      <c r="DU633"/>
      <c r="DV633"/>
      <c r="DW633"/>
      <c r="DX633"/>
      <c r="DY633"/>
      <c r="DZ633"/>
      <c r="EA633"/>
      <c r="EB633"/>
      <c r="EC633"/>
      <c r="ED633"/>
      <c r="EE633"/>
      <c r="EF633"/>
      <c r="EG633"/>
      <c r="EH633"/>
      <c r="EI633"/>
      <c r="EJ633"/>
      <c r="EK633"/>
      <c r="EL633"/>
      <c r="EM633"/>
      <c r="EN633"/>
      <c r="EO633"/>
      <c r="EP633"/>
      <c r="EQ633"/>
      <c r="ER633"/>
      <c r="ES633"/>
      <c r="ET633"/>
      <c r="EU633"/>
      <c r="EV633"/>
      <c r="EW633"/>
      <c r="EX633"/>
      <c r="EY633"/>
      <c r="EZ633"/>
      <c r="FA633"/>
      <c r="FB633"/>
      <c r="FC633"/>
      <c r="FD633"/>
      <c r="FE633"/>
      <c r="FF633"/>
      <c r="FG633"/>
      <c r="FH633"/>
      <c r="FI633"/>
      <c r="FJ633"/>
      <c r="FK633"/>
      <c r="FL633"/>
      <c r="FM633"/>
      <c r="FN633"/>
      <c r="FO633"/>
      <c r="FP633"/>
      <c r="FQ633"/>
      <c r="FR633"/>
      <c r="FS633"/>
      <c r="FT633"/>
      <c r="FU633"/>
      <c r="FV633"/>
      <c r="FW633"/>
      <c r="FX633"/>
      <c r="FY633"/>
      <c r="FZ633"/>
      <c r="GA633"/>
      <c r="GB633"/>
      <c r="GC633"/>
      <c r="GD633"/>
      <c r="GE633"/>
      <c r="GF633"/>
      <c r="GG633"/>
      <c r="GH633"/>
      <c r="GI633"/>
      <c r="GJ633"/>
      <c r="GK633"/>
      <c r="GL633"/>
      <c r="GM633"/>
      <c r="GN633"/>
      <c r="GO633"/>
      <c r="GP633"/>
      <c r="GQ633"/>
      <c r="GR633"/>
      <c r="GS633"/>
      <c r="GT633"/>
      <c r="GU633"/>
      <c r="GV633"/>
      <c r="GW633"/>
      <c r="GX633"/>
      <c r="GY633"/>
      <c r="GZ633"/>
      <c r="HA633"/>
      <c r="HB633"/>
      <c r="HC633"/>
      <c r="HD633"/>
      <c r="HE633"/>
      <c r="HF633"/>
      <c r="HG633"/>
      <c r="HH633"/>
      <c r="HI633"/>
      <c r="HJ633"/>
      <c r="HK633"/>
      <c r="HL633"/>
      <c r="HM633"/>
      <c r="HN633"/>
      <c r="HO633"/>
      <c r="HP633"/>
      <c r="HQ633"/>
      <c r="HR633"/>
      <c r="HS633"/>
      <c r="HT633"/>
      <c r="HU633"/>
      <c r="HV633"/>
      <c r="HW633"/>
      <c r="HX633"/>
      <c r="HY633"/>
      <c r="HZ633"/>
      <c r="IA633"/>
      <c r="IB633"/>
      <c r="IC633"/>
      <c r="ID633"/>
      <c r="IE633"/>
      <c r="IF633"/>
      <c r="IG633"/>
      <c r="IH633"/>
      <c r="II633"/>
      <c r="IJ633"/>
      <c r="IK633"/>
      <c r="IL633"/>
      <c r="IM633"/>
      <c r="IN633"/>
      <c r="IO633"/>
      <c r="IP633"/>
      <c r="IQ633"/>
      <c r="IR633"/>
      <c r="IS633"/>
      <c r="IT633"/>
      <c r="IU633"/>
      <c r="IV633"/>
      <c r="IW633"/>
      <c r="IX633"/>
      <c r="IY633"/>
      <c r="IZ633"/>
      <c r="JA633"/>
      <c r="JB633"/>
      <c r="JC633"/>
      <c r="JD633"/>
      <c r="JE633"/>
      <c r="JF633"/>
      <c r="JG633"/>
      <c r="JH633"/>
      <c r="JI633"/>
      <c r="JJ633"/>
      <c r="JK633"/>
      <c r="JL633"/>
      <c r="JM633"/>
      <c r="JN633"/>
      <c r="JO633"/>
      <c r="JP633"/>
      <c r="JQ633"/>
      <c r="JR633"/>
      <c r="JS633"/>
      <c r="JT633"/>
      <c r="JU633"/>
      <c r="JV633"/>
      <c r="JW633"/>
      <c r="JX633"/>
      <c r="JY633"/>
      <c r="JZ633"/>
      <c r="KA633"/>
      <c r="KB633"/>
      <c r="KC633"/>
      <c r="KD633"/>
      <c r="KE633"/>
      <c r="KF633"/>
      <c r="KG633"/>
      <c r="KH633"/>
      <c r="KI633"/>
      <c r="KJ633"/>
      <c r="KK633"/>
      <c r="KL633"/>
      <c r="KM633"/>
      <c r="KN633"/>
      <c r="KO633"/>
      <c r="KP633"/>
      <c r="KQ633"/>
      <c r="KR633"/>
      <c r="KS633"/>
    </row>
    <row r="634" spans="2:305" hidden="1" x14ac:dyDescent="0.35">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c r="AL634"/>
      <c r="AM634"/>
      <c r="AN634"/>
      <c r="AO634"/>
      <c r="AP634"/>
      <c r="AQ634"/>
      <c r="AR634"/>
      <c r="AS634"/>
      <c r="AT634"/>
      <c r="AU634"/>
      <c r="AV634"/>
      <c r="AW634"/>
      <c r="AX634"/>
      <c r="AY634"/>
      <c r="AZ634"/>
      <c r="BA634"/>
      <c r="BB634"/>
      <c r="BC634"/>
      <c r="BD634"/>
      <c r="BE634"/>
      <c r="BF634"/>
      <c r="BG634"/>
      <c r="BH634"/>
      <c r="BI634"/>
      <c r="BJ634"/>
      <c r="BK634"/>
      <c r="BL634"/>
      <c r="BM634"/>
      <c r="BN634"/>
      <c r="BO634"/>
      <c r="BP634"/>
      <c r="BQ634"/>
      <c r="BR634"/>
      <c r="BS634"/>
      <c r="BT634"/>
      <c r="BU634"/>
      <c r="BV634"/>
      <c r="BW634"/>
      <c r="BX634"/>
      <c r="BY634"/>
      <c r="BZ634"/>
      <c r="CA634"/>
      <c r="CB634"/>
      <c r="CC634"/>
      <c r="CD634"/>
      <c r="CE634"/>
      <c r="CF634"/>
      <c r="CG634"/>
      <c r="CH634"/>
      <c r="CI634"/>
      <c r="CJ634"/>
      <c r="CK634"/>
      <c r="CL634"/>
      <c r="CM634"/>
      <c r="CN634"/>
      <c r="CO634"/>
      <c r="CP634"/>
      <c r="CQ634"/>
      <c r="CR634"/>
      <c r="CS634"/>
      <c r="CT634"/>
      <c r="CU634"/>
      <c r="CV634"/>
      <c r="CW634"/>
      <c r="CX634"/>
      <c r="CY634"/>
      <c r="CZ634"/>
      <c r="DA634"/>
      <c r="DB634"/>
      <c r="DC634"/>
      <c r="DD634"/>
      <c r="DE634"/>
      <c r="DF634"/>
      <c r="DG634"/>
      <c r="DH634"/>
      <c r="DI634"/>
      <c r="DJ634"/>
      <c r="DK634"/>
      <c r="DL634"/>
      <c r="DM634"/>
      <c r="DN634"/>
      <c r="DO634"/>
      <c r="DP634"/>
      <c r="DQ634"/>
      <c r="DR634"/>
      <c r="DS634"/>
      <c r="DT634"/>
      <c r="DU634"/>
      <c r="DV634"/>
      <c r="DW634"/>
      <c r="DX634"/>
      <c r="DY634"/>
      <c r="DZ634"/>
      <c r="EA634"/>
      <c r="EB634"/>
      <c r="EC634"/>
      <c r="ED634"/>
      <c r="EE634"/>
      <c r="EF634"/>
      <c r="EG634"/>
      <c r="EH634"/>
      <c r="EI634"/>
      <c r="EJ634"/>
      <c r="EK634"/>
      <c r="EL634"/>
      <c r="EM634"/>
      <c r="EN634"/>
      <c r="EO634"/>
      <c r="EP634"/>
      <c r="EQ634"/>
      <c r="ER634"/>
      <c r="ES634"/>
      <c r="ET634"/>
      <c r="EU634"/>
      <c r="EV634"/>
      <c r="EW634"/>
      <c r="EX634"/>
      <c r="EY634"/>
      <c r="EZ634"/>
      <c r="FA634"/>
      <c r="FB634"/>
      <c r="FC634"/>
      <c r="FD634"/>
      <c r="FE634"/>
      <c r="FF634"/>
      <c r="FG634"/>
      <c r="FH634"/>
      <c r="FI634"/>
      <c r="FJ634"/>
      <c r="FK634"/>
      <c r="FL634"/>
      <c r="FM634"/>
      <c r="FN634"/>
      <c r="FO634"/>
      <c r="FP634"/>
      <c r="FQ634"/>
      <c r="FR634"/>
      <c r="FS634"/>
      <c r="FT634"/>
      <c r="FU634"/>
      <c r="FV634"/>
      <c r="FW634"/>
      <c r="FX634"/>
      <c r="FY634"/>
      <c r="FZ634"/>
      <c r="GA634"/>
      <c r="GB634"/>
      <c r="GC634"/>
      <c r="GD634"/>
      <c r="GE634"/>
      <c r="GF634"/>
      <c r="GG634"/>
      <c r="GH634"/>
      <c r="GI634"/>
      <c r="GJ634"/>
      <c r="GK634"/>
      <c r="GL634"/>
      <c r="GM634"/>
      <c r="GN634"/>
      <c r="GO634"/>
      <c r="GP634"/>
      <c r="GQ634"/>
      <c r="GR634"/>
      <c r="GS634"/>
      <c r="GT634"/>
      <c r="GU634"/>
      <c r="GV634"/>
      <c r="GW634"/>
      <c r="GX634"/>
      <c r="GY634"/>
      <c r="GZ634"/>
      <c r="HA634"/>
      <c r="HB634"/>
      <c r="HC634"/>
      <c r="HD634"/>
      <c r="HE634"/>
      <c r="HF634"/>
      <c r="HG634"/>
      <c r="HH634"/>
      <c r="HI634"/>
      <c r="HJ634"/>
      <c r="HK634"/>
      <c r="HL634"/>
      <c r="HM634"/>
      <c r="HN634"/>
      <c r="HO634"/>
      <c r="HP634"/>
      <c r="HQ634"/>
      <c r="HR634"/>
      <c r="HS634"/>
      <c r="HT634"/>
      <c r="HU634"/>
      <c r="HV634"/>
      <c r="HW634"/>
      <c r="HX634"/>
      <c r="HY634"/>
      <c r="HZ634"/>
      <c r="IA634"/>
      <c r="IB634"/>
      <c r="IC634"/>
      <c r="ID634"/>
      <c r="IE634"/>
      <c r="IF634"/>
      <c r="IG634"/>
      <c r="IH634"/>
      <c r="II634"/>
      <c r="IJ634"/>
      <c r="IK634"/>
      <c r="IL634"/>
      <c r="IM634"/>
      <c r="IN634"/>
      <c r="IO634"/>
      <c r="IP634"/>
      <c r="IQ634"/>
      <c r="IR634"/>
      <c r="IS634"/>
      <c r="IT634"/>
      <c r="IU634"/>
      <c r="IV634"/>
      <c r="IW634"/>
      <c r="IX634"/>
      <c r="IY634"/>
      <c r="IZ634"/>
      <c r="JA634"/>
      <c r="JB634"/>
      <c r="JC634"/>
      <c r="JD634"/>
      <c r="JE634"/>
      <c r="JF634"/>
      <c r="JG634"/>
      <c r="JH634"/>
      <c r="JI634"/>
      <c r="JJ634"/>
      <c r="JK634"/>
      <c r="JL634"/>
      <c r="JM634"/>
      <c r="JN634"/>
      <c r="JO634"/>
      <c r="JP634"/>
      <c r="JQ634"/>
      <c r="JR634"/>
      <c r="JS634"/>
      <c r="JT634"/>
      <c r="JU634"/>
      <c r="JV634"/>
      <c r="JW634"/>
      <c r="JX634"/>
      <c r="JY634"/>
      <c r="JZ634"/>
      <c r="KA634"/>
      <c r="KB634"/>
      <c r="KC634"/>
      <c r="KD634"/>
      <c r="KE634"/>
      <c r="KF634"/>
      <c r="KG634"/>
      <c r="KH634"/>
      <c r="KI634"/>
      <c r="KJ634"/>
      <c r="KK634"/>
      <c r="KL634"/>
      <c r="KM634"/>
      <c r="KN634"/>
      <c r="KO634"/>
      <c r="KP634"/>
      <c r="KQ634"/>
      <c r="KR634"/>
      <c r="KS634"/>
    </row>
    <row r="635" spans="2:305" hidden="1" x14ac:dyDescent="0.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c r="AL635"/>
      <c r="AM635"/>
      <c r="AN635"/>
      <c r="AO635"/>
      <c r="AP635"/>
      <c r="AQ635"/>
      <c r="AR635"/>
      <c r="AS635"/>
      <c r="AT635"/>
      <c r="AU635"/>
      <c r="AV635"/>
      <c r="AW635"/>
      <c r="AX635"/>
      <c r="AY635"/>
      <c r="AZ635"/>
      <c r="BA635"/>
      <c r="BB635"/>
      <c r="BC635"/>
      <c r="BD635"/>
      <c r="BE635"/>
      <c r="BF635"/>
      <c r="BG635"/>
      <c r="BH635"/>
      <c r="BI635"/>
      <c r="BJ635"/>
      <c r="BK635"/>
      <c r="BL635"/>
      <c r="BM635"/>
      <c r="BN635"/>
      <c r="BO635"/>
      <c r="BP635"/>
      <c r="BQ635"/>
      <c r="BR635"/>
      <c r="BS635"/>
      <c r="BT635"/>
      <c r="BU635"/>
      <c r="BV635"/>
      <c r="BW635"/>
      <c r="BX635"/>
      <c r="BY635"/>
      <c r="BZ635"/>
      <c r="CA635"/>
      <c r="CB635"/>
      <c r="CC635"/>
      <c r="CD635"/>
      <c r="CE635"/>
      <c r="CF635"/>
      <c r="CG635"/>
      <c r="CH635"/>
      <c r="CI635"/>
      <c r="CJ635"/>
      <c r="CK635"/>
      <c r="CL635"/>
      <c r="CM635"/>
      <c r="CN635"/>
      <c r="CO635"/>
      <c r="CP635"/>
      <c r="CQ635"/>
      <c r="CR635"/>
      <c r="CS635"/>
      <c r="CT635"/>
      <c r="CU635"/>
      <c r="CV635"/>
      <c r="CW635"/>
      <c r="CX635"/>
      <c r="CY635"/>
      <c r="CZ635"/>
      <c r="DA635"/>
      <c r="DB635"/>
      <c r="DC635"/>
      <c r="DD635"/>
      <c r="DE635"/>
      <c r="DF635"/>
      <c r="DG635"/>
      <c r="DH635"/>
      <c r="DI635"/>
      <c r="DJ635"/>
      <c r="DK635"/>
      <c r="DL635"/>
      <c r="DM635"/>
      <c r="DN635"/>
      <c r="DO635"/>
      <c r="DP635"/>
      <c r="DQ635"/>
      <c r="DR635"/>
      <c r="DS635"/>
      <c r="DT635"/>
      <c r="DU635"/>
      <c r="DV635"/>
      <c r="DW635"/>
      <c r="DX635"/>
      <c r="DY635"/>
      <c r="DZ635"/>
      <c r="EA635"/>
      <c r="EB635"/>
      <c r="EC635"/>
      <c r="ED635"/>
      <c r="EE635"/>
      <c r="EF635"/>
      <c r="EG635"/>
      <c r="EH635"/>
      <c r="EI635"/>
      <c r="EJ635"/>
      <c r="EK635"/>
      <c r="EL635"/>
      <c r="EM635"/>
      <c r="EN635"/>
      <c r="EO635"/>
      <c r="EP635"/>
      <c r="EQ635"/>
      <c r="ER635"/>
      <c r="ES635"/>
      <c r="ET635"/>
      <c r="EU635"/>
      <c r="EV635"/>
      <c r="EW635"/>
      <c r="EX635"/>
      <c r="EY635"/>
      <c r="EZ635"/>
      <c r="FA635"/>
      <c r="FB635"/>
      <c r="FC635"/>
      <c r="FD635"/>
      <c r="FE635"/>
      <c r="FF635"/>
      <c r="FG635"/>
      <c r="FH635"/>
      <c r="FI635"/>
      <c r="FJ635"/>
      <c r="FK635"/>
      <c r="FL635"/>
      <c r="FM635"/>
      <c r="FN635"/>
      <c r="FO635"/>
      <c r="FP635"/>
      <c r="FQ635"/>
      <c r="FR635"/>
      <c r="FS635"/>
      <c r="FT635"/>
      <c r="FU635"/>
      <c r="FV635"/>
      <c r="FW635"/>
      <c r="FX635"/>
      <c r="FY635"/>
      <c r="FZ635"/>
      <c r="GA635"/>
      <c r="GB635"/>
      <c r="GC635"/>
      <c r="GD635"/>
      <c r="GE635"/>
      <c r="GF635"/>
      <c r="GG635"/>
      <c r="GH635"/>
      <c r="GI635"/>
      <c r="GJ635"/>
      <c r="GK635"/>
      <c r="GL635"/>
      <c r="GM635"/>
      <c r="GN635"/>
      <c r="GO635"/>
      <c r="GP635"/>
      <c r="GQ635"/>
      <c r="GR635"/>
      <c r="GS635"/>
      <c r="GT635"/>
      <c r="GU635"/>
      <c r="GV635"/>
      <c r="GW635"/>
      <c r="GX635"/>
      <c r="GY635"/>
      <c r="GZ635"/>
      <c r="HA635"/>
      <c r="HB635"/>
      <c r="HC635"/>
      <c r="HD635"/>
      <c r="HE635"/>
      <c r="HF635"/>
      <c r="HG635"/>
      <c r="HH635"/>
      <c r="HI635"/>
      <c r="HJ635"/>
      <c r="HK635"/>
      <c r="HL635"/>
      <c r="HM635"/>
      <c r="HN635"/>
      <c r="HO635"/>
      <c r="HP635"/>
      <c r="HQ635"/>
      <c r="HR635"/>
      <c r="HS635"/>
      <c r="HT635"/>
      <c r="HU635"/>
      <c r="HV635"/>
      <c r="HW635"/>
      <c r="HX635"/>
      <c r="HY635"/>
      <c r="HZ635"/>
      <c r="IA635"/>
      <c r="IB635"/>
      <c r="IC635"/>
      <c r="ID635"/>
      <c r="IE635"/>
      <c r="IF635"/>
      <c r="IG635"/>
      <c r="IH635"/>
      <c r="II635"/>
      <c r="IJ635"/>
      <c r="IK635"/>
      <c r="IL635"/>
      <c r="IM635"/>
      <c r="IN635"/>
      <c r="IO635"/>
      <c r="IP635"/>
      <c r="IQ635"/>
      <c r="IR635"/>
      <c r="IS635"/>
      <c r="IT635"/>
      <c r="IU635"/>
      <c r="IV635"/>
      <c r="IW635"/>
      <c r="IX635"/>
      <c r="IY635"/>
      <c r="IZ635"/>
      <c r="JA635"/>
      <c r="JB635"/>
      <c r="JC635"/>
      <c r="JD635"/>
      <c r="JE635"/>
      <c r="JF635"/>
      <c r="JG635"/>
      <c r="JH635"/>
      <c r="JI635"/>
      <c r="JJ635"/>
      <c r="JK635"/>
      <c r="JL635"/>
      <c r="JM635"/>
      <c r="JN635"/>
      <c r="JO635"/>
      <c r="JP635"/>
      <c r="JQ635"/>
      <c r="JR635"/>
      <c r="JS635"/>
      <c r="JT635"/>
      <c r="JU635"/>
      <c r="JV635"/>
      <c r="JW635"/>
      <c r="JX635"/>
      <c r="JY635"/>
      <c r="JZ635"/>
      <c r="KA635"/>
      <c r="KB635"/>
      <c r="KC635"/>
      <c r="KD635"/>
      <c r="KE635"/>
      <c r="KF635"/>
      <c r="KG635"/>
      <c r="KH635"/>
      <c r="KI635"/>
      <c r="KJ635"/>
      <c r="KK635"/>
      <c r="KL635"/>
      <c r="KM635"/>
      <c r="KN635"/>
      <c r="KO635"/>
      <c r="KP635"/>
      <c r="KQ635"/>
      <c r="KR635"/>
      <c r="KS635"/>
    </row>
    <row r="636" spans="2:305" hidden="1" x14ac:dyDescent="0.35">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c r="AL636"/>
      <c r="AM636"/>
      <c r="AN636"/>
      <c r="AO636"/>
      <c r="AP636"/>
      <c r="AQ636"/>
      <c r="AR636"/>
      <c r="AS636"/>
      <c r="AT636"/>
      <c r="AU636"/>
      <c r="AV636"/>
      <c r="AW636"/>
      <c r="AX636"/>
      <c r="AY636"/>
      <c r="AZ636"/>
      <c r="BA636"/>
      <c r="BB636"/>
      <c r="BC636"/>
      <c r="BD636"/>
      <c r="BE636"/>
      <c r="BF636"/>
      <c r="BG636"/>
      <c r="BH636"/>
      <c r="BI636"/>
      <c r="BJ636"/>
      <c r="BK636"/>
      <c r="BL636"/>
      <c r="BM636"/>
      <c r="BN636"/>
      <c r="BO636"/>
      <c r="BP636"/>
      <c r="BQ636"/>
      <c r="BR636"/>
      <c r="BS636"/>
      <c r="BT636"/>
      <c r="BU636"/>
      <c r="BV636"/>
      <c r="BW636"/>
      <c r="BX636"/>
      <c r="BY636"/>
      <c r="BZ636"/>
      <c r="CA636"/>
      <c r="CB636"/>
      <c r="CC636"/>
      <c r="CD636"/>
      <c r="CE636"/>
      <c r="CF636"/>
      <c r="CG636"/>
      <c r="CH636"/>
      <c r="CI636"/>
      <c r="CJ636"/>
      <c r="CK636"/>
      <c r="CL636"/>
      <c r="CM636"/>
      <c r="CN636"/>
      <c r="CO636"/>
      <c r="CP636"/>
      <c r="CQ636"/>
      <c r="CR636"/>
      <c r="CS636"/>
      <c r="CT636"/>
      <c r="CU636"/>
      <c r="CV636"/>
      <c r="CW636"/>
      <c r="CX636"/>
      <c r="CY636"/>
      <c r="CZ636"/>
      <c r="DA636"/>
      <c r="DB636"/>
      <c r="DC636"/>
      <c r="DD636"/>
      <c r="DE636"/>
      <c r="DF636"/>
      <c r="DG636"/>
      <c r="DH636"/>
      <c r="DI636"/>
      <c r="DJ636"/>
      <c r="DK636"/>
      <c r="DL636"/>
      <c r="DM636"/>
      <c r="DN636"/>
      <c r="DO636"/>
      <c r="DP636"/>
      <c r="DQ636"/>
      <c r="DR636"/>
      <c r="DS636"/>
      <c r="DT636"/>
      <c r="DU636"/>
      <c r="DV636"/>
      <c r="DW636"/>
      <c r="DX636"/>
      <c r="DY636"/>
      <c r="DZ636"/>
      <c r="EA636"/>
      <c r="EB636"/>
      <c r="EC636"/>
      <c r="ED636"/>
      <c r="EE636"/>
      <c r="EF636"/>
      <c r="EG636"/>
      <c r="EH636"/>
      <c r="EI636"/>
      <c r="EJ636"/>
      <c r="EK636"/>
      <c r="EL636"/>
      <c r="EM636"/>
      <c r="EN636"/>
      <c r="EO636"/>
      <c r="EP636"/>
      <c r="EQ636"/>
      <c r="ER636"/>
      <c r="ES636"/>
      <c r="ET636"/>
      <c r="EU636"/>
      <c r="EV636"/>
      <c r="EW636"/>
      <c r="EX636"/>
      <c r="EY636"/>
      <c r="EZ636"/>
      <c r="FA636"/>
      <c r="FB636"/>
      <c r="FC636"/>
      <c r="FD636"/>
      <c r="FE636"/>
      <c r="FF636"/>
      <c r="FG636"/>
      <c r="FH636"/>
      <c r="FI636"/>
      <c r="FJ636"/>
      <c r="FK636"/>
      <c r="FL636"/>
      <c r="FM636"/>
      <c r="FN636"/>
      <c r="FO636"/>
      <c r="FP636"/>
      <c r="FQ636"/>
      <c r="FR636"/>
      <c r="FS636"/>
      <c r="FT636"/>
      <c r="FU636"/>
      <c r="FV636"/>
      <c r="FW636"/>
      <c r="FX636"/>
      <c r="FY636"/>
      <c r="FZ636"/>
      <c r="GA636"/>
      <c r="GB636"/>
      <c r="GC636"/>
      <c r="GD636"/>
      <c r="GE636"/>
      <c r="GF636"/>
      <c r="GG636"/>
      <c r="GH636"/>
      <c r="GI636"/>
      <c r="GJ636"/>
      <c r="GK636"/>
      <c r="GL636"/>
      <c r="GM636"/>
      <c r="GN636"/>
      <c r="GO636"/>
      <c r="GP636"/>
      <c r="GQ636"/>
      <c r="GR636"/>
      <c r="GS636"/>
      <c r="GT636"/>
      <c r="GU636"/>
      <c r="GV636"/>
      <c r="GW636"/>
      <c r="GX636"/>
      <c r="GY636"/>
      <c r="GZ636"/>
      <c r="HA636"/>
      <c r="HB636"/>
      <c r="HC636"/>
      <c r="HD636"/>
      <c r="HE636"/>
      <c r="HF636"/>
      <c r="HG636"/>
      <c r="HH636"/>
      <c r="HI636"/>
      <c r="HJ636"/>
      <c r="HK636"/>
      <c r="HL636"/>
      <c r="HM636"/>
      <c r="HN636"/>
      <c r="HO636"/>
      <c r="HP636"/>
      <c r="HQ636"/>
      <c r="HR636"/>
      <c r="HS636"/>
      <c r="HT636"/>
      <c r="HU636"/>
      <c r="HV636"/>
      <c r="HW636"/>
      <c r="HX636"/>
      <c r="HY636"/>
      <c r="HZ636"/>
      <c r="IA636"/>
      <c r="IB636"/>
      <c r="IC636"/>
      <c r="ID636"/>
      <c r="IE636"/>
      <c r="IF636"/>
      <c r="IG636"/>
      <c r="IH636"/>
      <c r="II636"/>
      <c r="IJ636"/>
      <c r="IK636"/>
      <c r="IL636"/>
      <c r="IM636"/>
      <c r="IN636"/>
      <c r="IO636"/>
      <c r="IP636"/>
      <c r="IQ636"/>
      <c r="IR636"/>
      <c r="IS636"/>
      <c r="IT636"/>
      <c r="IU636"/>
      <c r="IV636"/>
      <c r="IW636"/>
      <c r="IX636"/>
      <c r="IY636"/>
      <c r="IZ636"/>
      <c r="JA636"/>
      <c r="JB636"/>
      <c r="JC636"/>
      <c r="JD636"/>
      <c r="JE636"/>
      <c r="JF636"/>
      <c r="JG636"/>
      <c r="JH636"/>
      <c r="JI636"/>
      <c r="JJ636"/>
      <c r="JK636"/>
      <c r="JL636"/>
      <c r="JM636"/>
      <c r="JN636"/>
      <c r="JO636"/>
      <c r="JP636"/>
      <c r="JQ636"/>
      <c r="JR636"/>
      <c r="JS636"/>
      <c r="JT636"/>
      <c r="JU636"/>
      <c r="JV636"/>
      <c r="JW636"/>
      <c r="JX636"/>
      <c r="JY636"/>
      <c r="JZ636"/>
      <c r="KA636"/>
      <c r="KB636"/>
      <c r="KC636"/>
      <c r="KD636"/>
      <c r="KE636"/>
      <c r="KF636"/>
      <c r="KG636"/>
      <c r="KH636"/>
      <c r="KI636"/>
      <c r="KJ636"/>
      <c r="KK636"/>
      <c r="KL636"/>
      <c r="KM636"/>
      <c r="KN636"/>
      <c r="KO636"/>
      <c r="KP636"/>
      <c r="KQ636"/>
      <c r="KR636"/>
      <c r="KS636"/>
    </row>
  </sheetData>
  <mergeCells count="2">
    <mergeCell ref="A5:A6"/>
    <mergeCell ref="B5:B6"/>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4033" r:id="rId4" name="Perform_Analysis">
              <controlPr defaultSize="0" print="0" autoFill="0" autoPict="0" macro="[0]!Tabelle8.performresupplyanalysis">
                <anchor moveWithCells="1" sizeWithCells="1">
                  <from>
                    <xdr:col>2</xdr:col>
                    <xdr:colOff>603250</xdr:colOff>
                    <xdr:row>4</xdr:row>
                    <xdr:rowOff>25400</xdr:rowOff>
                  </from>
                  <to>
                    <xdr:col>4</xdr:col>
                    <xdr:colOff>336550</xdr:colOff>
                    <xdr:row>6</xdr:row>
                    <xdr:rowOff>6350</xdr:rowOff>
                  </to>
                </anchor>
              </controlPr>
            </control>
          </mc:Choice>
        </mc:AlternateContent>
        <mc:AlternateContent xmlns:mc="http://schemas.openxmlformats.org/markup-compatibility/2006">
          <mc:Choice Requires="x14">
            <control shapeId="44034" r:id="rId5" name="Plot_Resupply_matrix">
              <controlPr defaultSize="0" print="0" autoFill="0" autoPict="0" macro="[0]!Tabelle8.plotresupplymatrix">
                <anchor moveWithCells="1" sizeWithCells="1">
                  <from>
                    <xdr:col>2</xdr:col>
                    <xdr:colOff>603250</xdr:colOff>
                    <xdr:row>9</xdr:row>
                    <xdr:rowOff>0</xdr:rowOff>
                  </from>
                  <to>
                    <xdr:col>4</xdr:col>
                    <xdr:colOff>336550</xdr:colOff>
                    <xdr:row>9</xdr:row>
                    <xdr:rowOff>349250</xdr:rowOff>
                  </to>
                </anchor>
              </controlPr>
            </control>
          </mc:Choice>
        </mc:AlternateContent>
        <mc:AlternateContent xmlns:mc="http://schemas.openxmlformats.org/markup-compatibility/2006">
          <mc:Choice Requires="x14">
            <control shapeId="44036" r:id="rId6" name="Addpayload">
              <controlPr defaultSize="0" print="0" autoFill="0" autoPict="0" macro="[0]!showaddpaylaod">
                <anchor moveWithCells="1" sizeWithCells="1">
                  <from>
                    <xdr:col>2</xdr:col>
                    <xdr:colOff>603250</xdr:colOff>
                    <xdr:row>7</xdr:row>
                    <xdr:rowOff>25400</xdr:rowOff>
                  </from>
                  <to>
                    <xdr:col>4</xdr:col>
                    <xdr:colOff>336550</xdr:colOff>
                    <xdr:row>8</xdr:row>
                    <xdr:rowOff>6350</xdr:rowOff>
                  </to>
                </anchor>
              </controlPr>
            </control>
          </mc:Choice>
        </mc:AlternateContent>
        <mc:AlternateContent xmlns:mc="http://schemas.openxmlformats.org/markup-compatibility/2006">
          <mc:Choice Requires="x14">
            <control shapeId="44038" r:id="rId7" name="Plot_Resupply_matrix">
              <controlPr defaultSize="0" print="0" autoFill="0" autoPict="0" macro="[0]!Tabelle8.showinstruction">
                <anchor moveWithCells="1" sizeWithCells="1">
                  <from>
                    <xdr:col>0</xdr:col>
                    <xdr:colOff>31750</xdr:colOff>
                    <xdr:row>7</xdr:row>
                    <xdr:rowOff>25400</xdr:rowOff>
                  </from>
                  <to>
                    <xdr:col>1</xdr:col>
                    <xdr:colOff>596900</xdr:colOff>
                    <xdr:row>8</xdr:row>
                    <xdr:rowOff>6350</xdr:rowOff>
                  </to>
                </anchor>
              </controlPr>
            </control>
          </mc:Choice>
        </mc:AlternateContent>
        <mc:AlternateContent xmlns:mc="http://schemas.openxmlformats.org/markup-compatibility/2006">
          <mc:Choice Requires="x14">
            <control shapeId="44039" r:id="rId8" name="Plot_Resupply_matrix">
              <controlPr defaultSize="0" print="0" autoFill="0" autoPict="0" macro="[0]!Tabelle8.hideinstruction">
                <anchor moveWithCells="1" sizeWithCells="1">
                  <from>
                    <xdr:col>0</xdr:col>
                    <xdr:colOff>31750</xdr:colOff>
                    <xdr:row>8</xdr:row>
                    <xdr:rowOff>25400</xdr:rowOff>
                  </from>
                  <to>
                    <xdr:col>1</xdr:col>
                    <xdr:colOff>596900</xdr:colOff>
                    <xdr:row>9</xdr:row>
                    <xdr:rowOff>6350</xdr:rowOff>
                  </to>
                </anchor>
              </controlPr>
            </control>
          </mc:Choice>
        </mc:AlternateContent>
        <mc:AlternateContent xmlns:mc="http://schemas.openxmlformats.org/markup-compatibility/2006">
          <mc:Choice Requires="x14">
            <control shapeId="44040" r:id="rId9" name="Initial_Consumables">
              <controlPr defaultSize="0" print="0" autoFill="0" autoPict="0" macro="[0]!iniconsumables">
                <anchor moveWithCells="1" sizeWithCells="1">
                  <from>
                    <xdr:col>2</xdr:col>
                    <xdr:colOff>603250</xdr:colOff>
                    <xdr:row>6</xdr:row>
                    <xdr:rowOff>25400</xdr:rowOff>
                  </from>
                  <to>
                    <xdr:col>4</xdr:col>
                    <xdr:colOff>336550</xdr:colOff>
                    <xdr:row>7</xdr:row>
                    <xdr:rowOff>6350</xdr:rowOff>
                  </to>
                </anchor>
              </controlPr>
            </control>
          </mc:Choice>
        </mc:AlternateContent>
        <mc:AlternateContent xmlns:mc="http://schemas.openxmlformats.org/markup-compatibility/2006">
          <mc:Choice Requires="x14">
            <control shapeId="44042" r:id="rId10" name="Check_Box_Crew">
              <controlPr defaultSize="0" autoFill="0" autoLine="0" autoPict="0">
                <anchor moveWithCells="1">
                  <from>
                    <xdr:col>2</xdr:col>
                    <xdr:colOff>596900</xdr:colOff>
                    <xdr:row>1</xdr:row>
                    <xdr:rowOff>177800</xdr:rowOff>
                  </from>
                  <to>
                    <xdr:col>2</xdr:col>
                    <xdr:colOff>838200</xdr:colOff>
                    <xdr:row>3</xdr:row>
                    <xdr:rowOff>31750</xdr:rowOff>
                  </to>
                </anchor>
              </controlPr>
            </control>
          </mc:Choice>
        </mc:AlternateContent>
        <mc:AlternateContent xmlns:mc="http://schemas.openxmlformats.org/markup-compatibility/2006">
          <mc:Choice Requires="x14">
            <control shapeId="44043" r:id="rId11" name="Plot_Resupply_matrix">
              <controlPr defaultSize="0" print="0" autoFill="0" autoPict="0" macro="[0]!Tabelle8.adjustSupply">
                <anchor moveWithCells="1" sizeWithCells="1">
                  <from>
                    <xdr:col>2</xdr:col>
                    <xdr:colOff>596900</xdr:colOff>
                    <xdr:row>8</xdr:row>
                    <xdr:rowOff>25400</xdr:rowOff>
                  </from>
                  <to>
                    <xdr:col>4</xdr:col>
                    <xdr:colOff>330200</xdr:colOff>
                    <xdr:row>9</xdr:row>
                    <xdr:rowOff>6350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9"/>
  <dimension ref="A1:E57"/>
  <sheetViews>
    <sheetView workbookViewId="0"/>
  </sheetViews>
  <sheetFormatPr defaultColWidth="0" defaultRowHeight="14.5" zeroHeight="1" x14ac:dyDescent="0.35"/>
  <cols>
    <col min="1" max="1" width="2.6328125" customWidth="1"/>
    <col min="2" max="2" width="17.36328125" customWidth="1"/>
    <col min="3" max="3" width="57.54296875" customWidth="1"/>
    <col min="4" max="4" width="11.54296875" customWidth="1"/>
    <col min="5" max="5" width="2.6328125" customWidth="1"/>
    <col min="6" max="16384" width="11.54296875" hidden="1"/>
  </cols>
  <sheetData>
    <row r="1" spans="1:5" ht="15" thickBot="1" x14ac:dyDescent="0.4">
      <c r="A1" s="39"/>
      <c r="B1" s="39"/>
      <c r="C1" s="39"/>
      <c r="D1" s="39"/>
      <c r="E1" s="39"/>
    </row>
    <row r="2" spans="1:5" ht="31.5" thickBot="1" x14ac:dyDescent="0.4">
      <c r="A2" s="39"/>
      <c r="B2" s="220" t="s">
        <v>864</v>
      </c>
      <c r="C2" s="221" t="s">
        <v>911</v>
      </c>
      <c r="D2" s="157" t="s">
        <v>865</v>
      </c>
      <c r="E2" s="39"/>
    </row>
    <row r="3" spans="1:5" ht="43.5" x14ac:dyDescent="0.35">
      <c r="A3" s="39"/>
      <c r="B3" s="169" t="s">
        <v>953</v>
      </c>
      <c r="C3" s="153" t="s">
        <v>882</v>
      </c>
      <c r="D3" s="170" t="s">
        <v>68</v>
      </c>
      <c r="E3" s="39"/>
    </row>
    <row r="4" spans="1:5" ht="58" x14ac:dyDescent="0.35">
      <c r="A4" s="39"/>
      <c r="B4" s="158" t="s">
        <v>898</v>
      </c>
      <c r="C4" s="150" t="s">
        <v>897</v>
      </c>
      <c r="D4" s="159" t="s">
        <v>68</v>
      </c>
      <c r="E4" s="39"/>
    </row>
    <row r="5" spans="1:5" ht="29" x14ac:dyDescent="0.35">
      <c r="A5" s="39"/>
      <c r="B5" s="160" t="s">
        <v>957</v>
      </c>
      <c r="C5" s="151" t="s">
        <v>913</v>
      </c>
      <c r="D5" s="161" t="s">
        <v>68</v>
      </c>
      <c r="E5" s="39"/>
    </row>
    <row r="6" spans="1:5" ht="29" x14ac:dyDescent="0.35">
      <c r="A6" s="39"/>
      <c r="B6" s="162" t="s">
        <v>954</v>
      </c>
      <c r="C6" s="152" t="s">
        <v>881</v>
      </c>
      <c r="D6" s="159" t="s">
        <v>68</v>
      </c>
      <c r="E6" s="39"/>
    </row>
    <row r="7" spans="1:5" ht="43.5" x14ac:dyDescent="0.35">
      <c r="A7" s="39"/>
      <c r="B7" s="163" t="s">
        <v>949</v>
      </c>
      <c r="C7" s="153" t="s">
        <v>884</v>
      </c>
      <c r="D7" s="161" t="s">
        <v>68</v>
      </c>
      <c r="E7" s="39"/>
    </row>
    <row r="8" spans="1:5" ht="72.5" x14ac:dyDescent="0.35">
      <c r="A8" s="39"/>
      <c r="B8" s="158" t="s">
        <v>955</v>
      </c>
      <c r="C8" s="150" t="s">
        <v>940</v>
      </c>
      <c r="D8" s="159" t="s">
        <v>68</v>
      </c>
      <c r="E8" s="39"/>
    </row>
    <row r="9" spans="1:5" ht="29" x14ac:dyDescent="0.35">
      <c r="A9" s="39"/>
      <c r="B9" s="160" t="s">
        <v>950</v>
      </c>
      <c r="C9" s="151" t="s">
        <v>885</v>
      </c>
      <c r="D9" s="161" t="s">
        <v>68</v>
      </c>
      <c r="E9" s="39"/>
    </row>
    <row r="10" spans="1:5" ht="29" x14ac:dyDescent="0.35">
      <c r="A10" s="39"/>
      <c r="B10" s="164" t="s">
        <v>951</v>
      </c>
      <c r="C10" s="150" t="s">
        <v>886</v>
      </c>
      <c r="D10" s="159" t="s">
        <v>68</v>
      </c>
      <c r="E10" s="39"/>
    </row>
    <row r="11" spans="1:5" ht="43.5" x14ac:dyDescent="0.35">
      <c r="A11" s="39"/>
      <c r="B11" s="165" t="s">
        <v>866</v>
      </c>
      <c r="C11" s="151" t="s">
        <v>883</v>
      </c>
      <c r="D11" s="161" t="s">
        <v>68</v>
      </c>
      <c r="E11" s="39"/>
    </row>
    <row r="12" spans="1:5" ht="43.5" x14ac:dyDescent="0.35">
      <c r="A12" s="39"/>
      <c r="B12" s="162" t="s">
        <v>867</v>
      </c>
      <c r="C12" s="150" t="s">
        <v>888</v>
      </c>
      <c r="D12" s="159" t="s">
        <v>68</v>
      </c>
      <c r="E12" s="39"/>
    </row>
    <row r="13" spans="1:5" ht="43.5" x14ac:dyDescent="0.35">
      <c r="A13" s="39"/>
      <c r="B13" s="165" t="s">
        <v>868</v>
      </c>
      <c r="C13" s="151" t="s">
        <v>887</v>
      </c>
      <c r="D13" s="161" t="s">
        <v>68</v>
      </c>
      <c r="E13" s="39"/>
    </row>
    <row r="14" spans="1:5" ht="44" thickBot="1" x14ac:dyDescent="0.4">
      <c r="A14" s="39"/>
      <c r="B14" s="166" t="s">
        <v>869</v>
      </c>
      <c r="C14" s="167" t="s">
        <v>889</v>
      </c>
      <c r="D14" s="168" t="s">
        <v>68</v>
      </c>
      <c r="E14" s="39"/>
    </row>
    <row r="15" spans="1:5" ht="72.5" x14ac:dyDescent="0.35">
      <c r="A15" s="39"/>
      <c r="B15" s="171" t="s">
        <v>944</v>
      </c>
      <c r="C15" s="172" t="s">
        <v>896</v>
      </c>
      <c r="D15" s="173" t="s">
        <v>128</v>
      </c>
      <c r="E15" s="39"/>
    </row>
    <row r="16" spans="1:5" ht="43.5" x14ac:dyDescent="0.35">
      <c r="A16" s="39"/>
      <c r="B16" s="174" t="s">
        <v>945</v>
      </c>
      <c r="C16" s="55" t="s">
        <v>901</v>
      </c>
      <c r="D16" s="175" t="s">
        <v>128</v>
      </c>
      <c r="E16" s="39"/>
    </row>
    <row r="17" spans="1:5" ht="29" x14ac:dyDescent="0.35">
      <c r="A17" s="39"/>
      <c r="B17" s="176" t="s">
        <v>890</v>
      </c>
      <c r="C17" s="54" t="s">
        <v>900</v>
      </c>
      <c r="D17" s="177" t="s">
        <v>128</v>
      </c>
      <c r="E17" s="39"/>
    </row>
    <row r="18" spans="1:5" ht="87" x14ac:dyDescent="0.35">
      <c r="A18" s="39"/>
      <c r="B18" s="174" t="s">
        <v>903</v>
      </c>
      <c r="C18" s="55" t="s">
        <v>904</v>
      </c>
      <c r="D18" s="175" t="s">
        <v>128</v>
      </c>
      <c r="E18" s="39"/>
    </row>
    <row r="19" spans="1:5" ht="29" x14ac:dyDescent="0.35">
      <c r="A19" s="39"/>
      <c r="B19" s="178" t="s">
        <v>905</v>
      </c>
      <c r="C19" s="54" t="s">
        <v>906</v>
      </c>
      <c r="D19" s="177" t="s">
        <v>128</v>
      </c>
      <c r="E19" s="39"/>
    </row>
    <row r="20" spans="1:5" ht="43.5" x14ac:dyDescent="0.35">
      <c r="A20" s="39"/>
      <c r="B20" s="179" t="s">
        <v>891</v>
      </c>
      <c r="C20" s="55" t="s">
        <v>902</v>
      </c>
      <c r="D20" s="175" t="s">
        <v>128</v>
      </c>
      <c r="E20" s="39"/>
    </row>
    <row r="21" spans="1:5" ht="58" x14ac:dyDescent="0.35">
      <c r="A21" s="39"/>
      <c r="B21" s="178" t="s">
        <v>892</v>
      </c>
      <c r="C21" s="54" t="s">
        <v>907</v>
      </c>
      <c r="D21" s="177" t="s">
        <v>128</v>
      </c>
      <c r="E21" s="39"/>
    </row>
    <row r="22" spans="1:5" ht="29" x14ac:dyDescent="0.35">
      <c r="A22" s="39"/>
      <c r="B22" s="179" t="s">
        <v>893</v>
      </c>
      <c r="C22" s="55" t="s">
        <v>908</v>
      </c>
      <c r="D22" s="175" t="s">
        <v>128</v>
      </c>
      <c r="E22" s="39"/>
    </row>
    <row r="23" spans="1:5" ht="29" x14ac:dyDescent="0.35">
      <c r="A23" s="39"/>
      <c r="B23" s="178" t="s">
        <v>862</v>
      </c>
      <c r="C23" s="54" t="s">
        <v>909</v>
      </c>
      <c r="D23" s="177" t="s">
        <v>128</v>
      </c>
      <c r="E23" s="39"/>
    </row>
    <row r="24" spans="1:5" ht="29" x14ac:dyDescent="0.35">
      <c r="A24" s="39"/>
      <c r="B24" s="179" t="s">
        <v>894</v>
      </c>
      <c r="C24" s="55" t="s">
        <v>910</v>
      </c>
      <c r="D24" s="175" t="s">
        <v>128</v>
      </c>
      <c r="E24" s="39"/>
    </row>
    <row r="25" spans="1:5" ht="29" x14ac:dyDescent="0.35">
      <c r="A25" s="39"/>
      <c r="B25" s="178" t="s">
        <v>895</v>
      </c>
      <c r="C25" s="54" t="s">
        <v>912</v>
      </c>
      <c r="D25" s="177" t="s">
        <v>128</v>
      </c>
      <c r="E25" s="39"/>
    </row>
    <row r="26" spans="1:5" ht="43.5" x14ac:dyDescent="0.35">
      <c r="A26" s="39"/>
      <c r="B26" s="180" t="s">
        <v>870</v>
      </c>
      <c r="C26" s="55" t="s">
        <v>914</v>
      </c>
      <c r="D26" s="175" t="s">
        <v>128</v>
      </c>
      <c r="E26" s="39"/>
    </row>
    <row r="27" spans="1:5" ht="44" thickBot="1" x14ac:dyDescent="0.4">
      <c r="A27" s="39"/>
      <c r="B27" s="181" t="s">
        <v>916</v>
      </c>
      <c r="C27" s="182" t="s">
        <v>915</v>
      </c>
      <c r="D27" s="183" t="s">
        <v>128</v>
      </c>
      <c r="E27" s="39"/>
    </row>
    <row r="28" spans="1:5" ht="87" x14ac:dyDescent="0.35">
      <c r="A28" s="39"/>
      <c r="B28" s="184" t="s">
        <v>855</v>
      </c>
      <c r="C28" s="185" t="s">
        <v>994</v>
      </c>
      <c r="D28" s="186" t="s">
        <v>941</v>
      </c>
      <c r="E28" s="39"/>
    </row>
    <row r="29" spans="1:5" x14ac:dyDescent="0.35">
      <c r="A29" s="39"/>
      <c r="B29" s="187" t="s">
        <v>1081</v>
      </c>
      <c r="C29" s="154" t="s">
        <v>1117</v>
      </c>
      <c r="D29" s="188" t="s">
        <v>941</v>
      </c>
      <c r="E29" s="39"/>
    </row>
    <row r="30" spans="1:5" x14ac:dyDescent="0.35">
      <c r="A30" s="39"/>
      <c r="B30" s="189" t="s">
        <v>1082</v>
      </c>
      <c r="C30" s="154" t="s">
        <v>1083</v>
      </c>
      <c r="D30" s="188" t="s">
        <v>941</v>
      </c>
      <c r="E30" s="39"/>
    </row>
    <row r="31" spans="1:5" ht="89" x14ac:dyDescent="0.35">
      <c r="A31" s="39"/>
      <c r="B31" s="190" t="s">
        <v>946</v>
      </c>
      <c r="C31" s="69" t="s">
        <v>918</v>
      </c>
      <c r="D31" s="191" t="s">
        <v>941</v>
      </c>
      <c r="E31" s="39"/>
    </row>
    <row r="32" spans="1:5" ht="29" x14ac:dyDescent="0.35">
      <c r="A32" s="39"/>
      <c r="B32" s="192" t="s">
        <v>947</v>
      </c>
      <c r="C32" s="154" t="s">
        <v>917</v>
      </c>
      <c r="D32" s="188" t="s">
        <v>941</v>
      </c>
      <c r="E32" s="39"/>
    </row>
    <row r="33" spans="1:5" ht="78.5" x14ac:dyDescent="0.35">
      <c r="A33" s="39"/>
      <c r="B33" s="193" t="s">
        <v>871</v>
      </c>
      <c r="C33" s="154" t="s">
        <v>919</v>
      </c>
      <c r="D33" s="188" t="s">
        <v>941</v>
      </c>
      <c r="E33" s="39"/>
    </row>
    <row r="34" spans="1:5" ht="29" x14ac:dyDescent="0.35">
      <c r="A34" s="39"/>
      <c r="B34" s="194" t="s">
        <v>956</v>
      </c>
      <c r="C34" s="69" t="s">
        <v>917</v>
      </c>
      <c r="D34" s="191" t="s">
        <v>941</v>
      </c>
      <c r="E34" s="39"/>
    </row>
    <row r="35" spans="1:5" ht="58" x14ac:dyDescent="0.35">
      <c r="A35" s="39"/>
      <c r="B35" s="193" t="s">
        <v>863</v>
      </c>
      <c r="C35" s="154" t="s">
        <v>880</v>
      </c>
      <c r="D35" s="188" t="s">
        <v>941</v>
      </c>
      <c r="E35" s="39"/>
    </row>
    <row r="36" spans="1:5" ht="43.5" x14ac:dyDescent="0.35">
      <c r="A36" s="39"/>
      <c r="B36" s="189" t="s">
        <v>899</v>
      </c>
      <c r="C36" s="154" t="s">
        <v>920</v>
      </c>
      <c r="D36" s="188" t="s">
        <v>941</v>
      </c>
      <c r="E36" s="39"/>
    </row>
    <row r="37" spans="1:5" ht="29" x14ac:dyDescent="0.35">
      <c r="A37" s="39"/>
      <c r="B37" s="195" t="s">
        <v>1467</v>
      </c>
      <c r="C37" s="69" t="s">
        <v>1468</v>
      </c>
      <c r="D37" s="191"/>
      <c r="E37" s="39"/>
    </row>
    <row r="38" spans="1:5" x14ac:dyDescent="0.35">
      <c r="A38" s="39"/>
      <c r="B38" s="193" t="s">
        <v>857</v>
      </c>
      <c r="C38" s="154" t="s">
        <v>921</v>
      </c>
      <c r="D38" s="188" t="s">
        <v>941</v>
      </c>
      <c r="E38" s="39"/>
    </row>
    <row r="39" spans="1:5" ht="29.5" thickBot="1" x14ac:dyDescent="0.4">
      <c r="A39" s="39"/>
      <c r="B39" s="196" t="s">
        <v>856</v>
      </c>
      <c r="C39" s="197" t="s">
        <v>932</v>
      </c>
      <c r="D39" s="198" t="s">
        <v>941</v>
      </c>
      <c r="E39" s="39"/>
    </row>
    <row r="40" spans="1:5" ht="43.5" x14ac:dyDescent="0.35">
      <c r="A40" s="39"/>
      <c r="B40" s="199" t="s">
        <v>872</v>
      </c>
      <c r="C40" s="200" t="s">
        <v>922</v>
      </c>
      <c r="D40" s="201" t="s">
        <v>942</v>
      </c>
      <c r="E40" s="39"/>
    </row>
    <row r="41" spans="1:5" ht="29" x14ac:dyDescent="0.35">
      <c r="A41" s="39"/>
      <c r="B41" s="202" t="s">
        <v>861</v>
      </c>
      <c r="C41" s="156" t="s">
        <v>923</v>
      </c>
      <c r="D41" s="203" t="s">
        <v>942</v>
      </c>
      <c r="E41" s="39"/>
    </row>
    <row r="42" spans="1:5" ht="130.5" x14ac:dyDescent="0.35">
      <c r="A42" s="39"/>
      <c r="B42" s="204" t="s">
        <v>873</v>
      </c>
      <c r="C42" s="155" t="s">
        <v>924</v>
      </c>
      <c r="D42" s="205" t="s">
        <v>942</v>
      </c>
      <c r="E42" s="39"/>
    </row>
    <row r="43" spans="1:5" ht="29" x14ac:dyDescent="0.35">
      <c r="A43" s="39"/>
      <c r="B43" s="204" t="s">
        <v>874</v>
      </c>
      <c r="C43" s="155" t="s">
        <v>925</v>
      </c>
      <c r="D43" s="205" t="s">
        <v>942</v>
      </c>
      <c r="E43" s="39"/>
    </row>
    <row r="44" spans="1:5" ht="29" x14ac:dyDescent="0.35">
      <c r="A44" s="39"/>
      <c r="B44" s="204" t="s">
        <v>875</v>
      </c>
      <c r="C44" s="155" t="s">
        <v>926</v>
      </c>
      <c r="D44" s="205" t="s">
        <v>942</v>
      </c>
      <c r="E44" s="39"/>
    </row>
    <row r="45" spans="1:5" ht="29" x14ac:dyDescent="0.35">
      <c r="A45" s="39"/>
      <c r="B45" s="206" t="s">
        <v>876</v>
      </c>
      <c r="C45" s="156" t="s">
        <v>927</v>
      </c>
      <c r="D45" s="203" t="s">
        <v>942</v>
      </c>
      <c r="E45" s="39"/>
    </row>
    <row r="46" spans="1:5" ht="29" x14ac:dyDescent="0.35">
      <c r="A46" s="39"/>
      <c r="B46" s="204" t="s">
        <v>858</v>
      </c>
      <c r="C46" s="155" t="s">
        <v>928</v>
      </c>
      <c r="D46" s="205" t="s">
        <v>942</v>
      </c>
      <c r="E46" s="39"/>
    </row>
    <row r="47" spans="1:5" ht="29" x14ac:dyDescent="0.35">
      <c r="A47" s="39"/>
      <c r="B47" s="206" t="s">
        <v>859</v>
      </c>
      <c r="C47" s="156" t="s">
        <v>929</v>
      </c>
      <c r="D47" s="203" t="s">
        <v>942</v>
      </c>
      <c r="E47" s="39"/>
    </row>
    <row r="48" spans="1:5" ht="29" x14ac:dyDescent="0.35">
      <c r="A48" s="39"/>
      <c r="B48" s="323" t="s">
        <v>860</v>
      </c>
      <c r="C48" s="155" t="s">
        <v>930</v>
      </c>
      <c r="D48" s="324" t="s">
        <v>942</v>
      </c>
      <c r="E48" s="39"/>
    </row>
    <row r="49" spans="1:5" ht="44" thickBot="1" x14ac:dyDescent="0.4">
      <c r="A49" s="39"/>
      <c r="B49" s="320" t="s">
        <v>1465</v>
      </c>
      <c r="C49" s="321" t="s">
        <v>1466</v>
      </c>
      <c r="D49" s="322" t="s">
        <v>942</v>
      </c>
      <c r="E49" s="39"/>
    </row>
    <row r="50" spans="1:5" ht="29" x14ac:dyDescent="0.35">
      <c r="A50" s="39"/>
      <c r="B50" s="210" t="s">
        <v>877</v>
      </c>
      <c r="C50" s="211" t="s">
        <v>931</v>
      </c>
      <c r="D50" s="212" t="s">
        <v>943</v>
      </c>
      <c r="E50" s="39"/>
    </row>
    <row r="51" spans="1:5" ht="43.5" x14ac:dyDescent="0.35">
      <c r="A51" s="39"/>
      <c r="B51" s="213" t="s">
        <v>916</v>
      </c>
      <c r="C51" s="56" t="s">
        <v>933</v>
      </c>
      <c r="D51" s="214" t="s">
        <v>943</v>
      </c>
      <c r="E51" s="39"/>
    </row>
    <row r="52" spans="1:5" ht="43.5" x14ac:dyDescent="0.35">
      <c r="A52" s="39"/>
      <c r="B52" s="215" t="s">
        <v>878</v>
      </c>
      <c r="C52" s="57" t="s">
        <v>934</v>
      </c>
      <c r="D52" s="216" t="s">
        <v>943</v>
      </c>
      <c r="E52" s="39"/>
    </row>
    <row r="53" spans="1:5" ht="43.5" x14ac:dyDescent="0.35">
      <c r="A53" s="39"/>
      <c r="B53" s="213" t="s">
        <v>936</v>
      </c>
      <c r="C53" s="56" t="s">
        <v>935</v>
      </c>
      <c r="D53" s="214" t="s">
        <v>943</v>
      </c>
      <c r="E53" s="39"/>
    </row>
    <row r="54" spans="1:5" ht="43.5" x14ac:dyDescent="0.35">
      <c r="A54" s="39"/>
      <c r="B54" s="215" t="s">
        <v>937</v>
      </c>
      <c r="C54" s="57" t="s">
        <v>938</v>
      </c>
      <c r="D54" s="216" t="s">
        <v>943</v>
      </c>
      <c r="E54" s="39"/>
    </row>
    <row r="55" spans="1:5" ht="44" thickBot="1" x14ac:dyDescent="0.4">
      <c r="A55" s="39"/>
      <c r="B55" s="217" t="s">
        <v>879</v>
      </c>
      <c r="C55" s="218" t="s">
        <v>939</v>
      </c>
      <c r="D55" s="219" t="s">
        <v>943</v>
      </c>
      <c r="E55" s="39"/>
    </row>
    <row r="56" spans="1:5" ht="15" thickBot="1" x14ac:dyDescent="0.4">
      <c r="A56" s="39"/>
      <c r="B56" s="327" t="s">
        <v>1523</v>
      </c>
      <c r="C56" s="329" t="s">
        <v>1524</v>
      </c>
      <c r="D56" s="328" t="s">
        <v>1525</v>
      </c>
      <c r="E56" s="39"/>
    </row>
    <row r="57" spans="1:5" x14ac:dyDescent="0.35">
      <c r="A57" s="39"/>
      <c r="B57" s="39"/>
      <c r="C57" s="39"/>
      <c r="D57" s="39"/>
      <c r="E57" s="39"/>
    </row>
  </sheetData>
  <pageMargins left="0.7" right="0.7" top="0.78740157499999996" bottom="0.78740157499999996"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0"/>
  <dimension ref="A1:K77"/>
  <sheetViews>
    <sheetView workbookViewId="0">
      <selection activeCell="A2" sqref="A2"/>
    </sheetView>
  </sheetViews>
  <sheetFormatPr defaultColWidth="11.453125" defaultRowHeight="14.5" x14ac:dyDescent="0.35"/>
  <cols>
    <col min="1" max="1" width="11.453125" style="41"/>
    <col min="2" max="2" width="199.54296875" style="41" bestFit="1" customWidth="1"/>
    <col min="3" max="3" width="14" style="41" bestFit="1" customWidth="1"/>
    <col min="4" max="4" width="14.453125" style="41" customWidth="1"/>
    <col min="5" max="6" width="11.453125" style="41"/>
    <col min="7" max="7" width="12.36328125" style="41" customWidth="1"/>
    <col min="8" max="10" width="11.453125" style="41"/>
    <col min="11" max="11" width="13.54296875" style="41" bestFit="1" customWidth="1"/>
    <col min="12" max="16384" width="11.453125" style="41"/>
  </cols>
  <sheetData>
    <row r="1" spans="1:8" x14ac:dyDescent="0.35">
      <c r="A1" s="41" t="s">
        <v>1380</v>
      </c>
      <c r="B1" s="41" t="s">
        <v>1379</v>
      </c>
      <c r="C1" s="41" t="s">
        <v>1378</v>
      </c>
      <c r="D1" s="41" t="s">
        <v>1377</v>
      </c>
      <c r="H1" s="41" t="s">
        <v>1376</v>
      </c>
    </row>
    <row r="2" spans="1:8" x14ac:dyDescent="0.35">
      <c r="A2" s="41">
        <v>1</v>
      </c>
      <c r="B2" s="41" t="s">
        <v>1375</v>
      </c>
      <c r="C2" s="41" t="s">
        <v>1371</v>
      </c>
      <c r="D2" s="41">
        <v>1996</v>
      </c>
      <c r="H2" s="41" t="s">
        <v>67</v>
      </c>
    </row>
    <row r="3" spans="1:8" x14ac:dyDescent="0.35">
      <c r="A3" s="41">
        <v>2</v>
      </c>
      <c r="B3" s="41" t="s">
        <v>1374</v>
      </c>
      <c r="C3" s="41" t="s">
        <v>1373</v>
      </c>
      <c r="H3" s="41" t="s">
        <v>35</v>
      </c>
    </row>
    <row r="4" spans="1:8" x14ac:dyDescent="0.35">
      <c r="A4" s="41">
        <v>3</v>
      </c>
      <c r="B4" s="41" t="s">
        <v>1372</v>
      </c>
      <c r="C4" s="41" t="s">
        <v>1371</v>
      </c>
      <c r="D4" s="41">
        <v>1999</v>
      </c>
      <c r="H4" s="41" t="s">
        <v>26</v>
      </c>
    </row>
    <row r="5" spans="1:8" x14ac:dyDescent="0.35">
      <c r="A5" s="41">
        <v>4</v>
      </c>
      <c r="B5" s="41" t="s">
        <v>1370</v>
      </c>
    </row>
    <row r="6" spans="1:8" x14ac:dyDescent="0.35">
      <c r="A6" s="41">
        <v>5</v>
      </c>
      <c r="B6" s="41" t="s">
        <v>1369</v>
      </c>
    </row>
    <row r="7" spans="1:8" x14ac:dyDescent="0.35">
      <c r="A7" s="41">
        <v>6</v>
      </c>
      <c r="B7" s="41" t="s">
        <v>1368</v>
      </c>
    </row>
    <row r="8" spans="1:8" x14ac:dyDescent="0.35">
      <c r="A8" s="41">
        <v>7</v>
      </c>
      <c r="B8" s="41" t="s">
        <v>1367</v>
      </c>
    </row>
    <row r="9" spans="1:8" x14ac:dyDescent="0.35">
      <c r="A9" s="41">
        <v>8</v>
      </c>
      <c r="B9" s="41" t="s">
        <v>1366</v>
      </c>
      <c r="C9" s="41" t="s">
        <v>1282</v>
      </c>
      <c r="D9" s="41">
        <v>2014</v>
      </c>
      <c r="E9" s="41" t="s">
        <v>1365</v>
      </c>
    </row>
    <row r="10" spans="1:8" x14ac:dyDescent="0.35">
      <c r="A10" s="41">
        <v>9</v>
      </c>
      <c r="B10" s="41" t="s">
        <v>1364</v>
      </c>
      <c r="C10" s="41" t="s">
        <v>1363</v>
      </c>
      <c r="D10" s="41">
        <v>1999</v>
      </c>
    </row>
    <row r="11" spans="1:8" x14ac:dyDescent="0.35">
      <c r="A11" s="232">
        <v>10</v>
      </c>
      <c r="B11" s="232" t="s">
        <v>1362</v>
      </c>
      <c r="C11" s="41" t="s">
        <v>1282</v>
      </c>
      <c r="D11" s="41">
        <v>2015</v>
      </c>
    </row>
    <row r="12" spans="1:8" x14ac:dyDescent="0.35">
      <c r="A12" s="41">
        <v>11</v>
      </c>
      <c r="B12" s="41" t="s">
        <v>1361</v>
      </c>
      <c r="C12" s="41" t="s">
        <v>1282</v>
      </c>
      <c r="D12" s="41">
        <v>2004</v>
      </c>
    </row>
    <row r="13" spans="1:8" x14ac:dyDescent="0.35">
      <c r="A13" s="41">
        <v>12</v>
      </c>
      <c r="B13" s="41" t="s">
        <v>1360</v>
      </c>
      <c r="C13" s="41" t="s">
        <v>1359</v>
      </c>
      <c r="D13" s="41">
        <v>2009</v>
      </c>
    </row>
    <row r="14" spans="1:8" x14ac:dyDescent="0.35">
      <c r="A14" s="41">
        <v>13</v>
      </c>
      <c r="B14" s="41" t="s">
        <v>1358</v>
      </c>
      <c r="C14" s="41" t="s">
        <v>1357</v>
      </c>
      <c r="D14" s="41">
        <v>2015</v>
      </c>
    </row>
    <row r="15" spans="1:8" x14ac:dyDescent="0.35">
      <c r="A15" s="41">
        <v>14</v>
      </c>
      <c r="B15" s="41" t="s">
        <v>1356</v>
      </c>
      <c r="C15" s="41" t="s">
        <v>1355</v>
      </c>
      <c r="D15" s="41">
        <v>2006</v>
      </c>
    </row>
    <row r="16" spans="1:8" x14ac:dyDescent="0.35">
      <c r="A16" s="41">
        <v>15</v>
      </c>
      <c r="B16" s="41" t="s">
        <v>1354</v>
      </c>
      <c r="C16" s="41" t="s">
        <v>1282</v>
      </c>
      <c r="D16" s="41">
        <v>2015</v>
      </c>
    </row>
    <row r="17" spans="1:11" x14ac:dyDescent="0.35">
      <c r="A17" s="41">
        <v>16</v>
      </c>
      <c r="B17" s="41" t="s">
        <v>1353</v>
      </c>
      <c r="C17" s="41" t="s">
        <v>1282</v>
      </c>
      <c r="D17" s="236" t="s">
        <v>1352</v>
      </c>
    </row>
    <row r="18" spans="1:11" x14ac:dyDescent="0.35">
      <c r="A18" s="41">
        <v>17</v>
      </c>
      <c r="B18" s="41" t="s">
        <v>1351</v>
      </c>
      <c r="C18" s="41" t="s">
        <v>1282</v>
      </c>
      <c r="D18" s="41">
        <v>1995</v>
      </c>
    </row>
    <row r="19" spans="1:11" x14ac:dyDescent="0.35">
      <c r="A19" s="41">
        <v>18</v>
      </c>
      <c r="B19" s="41" t="s">
        <v>1350</v>
      </c>
      <c r="C19" s="41" t="s">
        <v>1282</v>
      </c>
      <c r="D19" s="41">
        <v>2015</v>
      </c>
    </row>
    <row r="20" spans="1:11" x14ac:dyDescent="0.35">
      <c r="A20" s="41">
        <v>19</v>
      </c>
      <c r="B20" s="41" t="s">
        <v>1349</v>
      </c>
      <c r="C20" s="41" t="s">
        <v>1348</v>
      </c>
      <c r="D20" s="41" t="s">
        <v>1347</v>
      </c>
    </row>
    <row r="21" spans="1:11" x14ac:dyDescent="0.35">
      <c r="A21" s="41">
        <v>20</v>
      </c>
      <c r="B21" s="41" t="s">
        <v>1346</v>
      </c>
      <c r="C21" s="41" t="s">
        <v>1345</v>
      </c>
      <c r="D21" s="41">
        <v>1980</v>
      </c>
    </row>
    <row r="22" spans="1:11" x14ac:dyDescent="0.35">
      <c r="A22" s="41">
        <v>21</v>
      </c>
      <c r="B22" s="41" t="s">
        <v>1344</v>
      </c>
      <c r="C22" s="41" t="s">
        <v>1282</v>
      </c>
      <c r="D22" s="41" t="s">
        <v>1343</v>
      </c>
      <c r="K22" s="235"/>
    </row>
    <row r="23" spans="1:11" x14ac:dyDescent="0.35">
      <c r="A23" s="41">
        <v>22</v>
      </c>
      <c r="B23" s="41" t="s">
        <v>1342</v>
      </c>
      <c r="C23" s="41" t="s">
        <v>1282</v>
      </c>
      <c r="D23" s="41">
        <v>2005</v>
      </c>
      <c r="K23" s="234"/>
    </row>
    <row r="24" spans="1:11" x14ac:dyDescent="0.35">
      <c r="A24" s="232">
        <v>23</v>
      </c>
      <c r="B24" s="232" t="s">
        <v>1341</v>
      </c>
      <c r="C24" s="41" t="s">
        <v>1282</v>
      </c>
      <c r="D24" s="41">
        <v>1998</v>
      </c>
    </row>
    <row r="25" spans="1:11" x14ac:dyDescent="0.35">
      <c r="A25" s="41">
        <v>24</v>
      </c>
      <c r="B25" s="41" t="s">
        <v>1340</v>
      </c>
      <c r="C25" s="41" t="s">
        <v>1282</v>
      </c>
      <c r="D25" s="41">
        <v>2016</v>
      </c>
    </row>
    <row r="26" spans="1:11" x14ac:dyDescent="0.35">
      <c r="A26" s="41">
        <v>25</v>
      </c>
      <c r="B26" s="41" t="s">
        <v>1339</v>
      </c>
      <c r="C26" s="41" t="s">
        <v>1297</v>
      </c>
      <c r="D26" s="41">
        <v>1988</v>
      </c>
    </row>
    <row r="27" spans="1:11" x14ac:dyDescent="0.35">
      <c r="A27" s="41">
        <v>26</v>
      </c>
      <c r="B27" s="41" t="s">
        <v>1338</v>
      </c>
      <c r="C27" s="41" t="s">
        <v>1282</v>
      </c>
      <c r="D27" s="41">
        <v>1994</v>
      </c>
    </row>
    <row r="28" spans="1:11" x14ac:dyDescent="0.35">
      <c r="A28" s="41">
        <v>27</v>
      </c>
      <c r="B28" s="41" t="s">
        <v>1337</v>
      </c>
      <c r="C28" s="41" t="s">
        <v>1336</v>
      </c>
      <c r="D28" s="41">
        <v>2013</v>
      </c>
    </row>
    <row r="29" spans="1:11" x14ac:dyDescent="0.35">
      <c r="A29" s="41">
        <v>28</v>
      </c>
      <c r="B29" s="41" t="s">
        <v>1335</v>
      </c>
      <c r="C29" s="41" t="s">
        <v>1334</v>
      </c>
      <c r="D29" s="41" t="s">
        <v>1333</v>
      </c>
    </row>
    <row r="30" spans="1:11" ht="15.5" x14ac:dyDescent="0.35">
      <c r="A30" s="41">
        <v>29</v>
      </c>
      <c r="B30" s="41" t="s">
        <v>1332</v>
      </c>
      <c r="C30" s="233" t="s">
        <v>1331</v>
      </c>
      <c r="D30" s="41">
        <v>2010</v>
      </c>
    </row>
    <row r="31" spans="1:11" x14ac:dyDescent="0.35">
      <c r="A31" s="41">
        <v>30</v>
      </c>
      <c r="B31" s="41" t="s">
        <v>1330</v>
      </c>
      <c r="C31" s="41" t="s">
        <v>1282</v>
      </c>
      <c r="D31" s="41">
        <v>2008</v>
      </c>
    </row>
    <row r="32" spans="1:11" x14ac:dyDescent="0.35">
      <c r="A32" s="41">
        <v>31</v>
      </c>
      <c r="B32" s="41" t="s">
        <v>1329</v>
      </c>
      <c r="C32" s="41" t="s">
        <v>1282</v>
      </c>
      <c r="D32" s="41">
        <v>2003</v>
      </c>
    </row>
    <row r="33" spans="1:4" x14ac:dyDescent="0.35">
      <c r="A33" s="41">
        <v>32</v>
      </c>
      <c r="B33" s="41" t="s">
        <v>1328</v>
      </c>
      <c r="C33" s="41" t="s">
        <v>1282</v>
      </c>
      <c r="D33" s="41">
        <v>2007</v>
      </c>
    </row>
    <row r="34" spans="1:4" x14ac:dyDescent="0.35">
      <c r="A34" s="41">
        <v>33</v>
      </c>
      <c r="B34" s="41" t="s">
        <v>1327</v>
      </c>
      <c r="C34" s="41" t="s">
        <v>1326</v>
      </c>
      <c r="D34" s="41">
        <v>1998</v>
      </c>
    </row>
    <row r="35" spans="1:4" x14ac:dyDescent="0.35">
      <c r="A35" s="41">
        <v>34</v>
      </c>
      <c r="B35" s="41" t="s">
        <v>1325</v>
      </c>
      <c r="C35" s="41" t="s">
        <v>1323</v>
      </c>
      <c r="D35" s="41">
        <v>2001</v>
      </c>
    </row>
    <row r="36" spans="1:4" x14ac:dyDescent="0.35">
      <c r="A36" s="41">
        <v>35</v>
      </c>
      <c r="B36" s="4" t="s">
        <v>1324</v>
      </c>
      <c r="C36" s="41" t="s">
        <v>1323</v>
      </c>
      <c r="D36" s="41">
        <v>2001</v>
      </c>
    </row>
    <row r="37" spans="1:4" x14ac:dyDescent="0.35">
      <c r="A37" s="41">
        <v>36</v>
      </c>
      <c r="B37" s="41" t="s">
        <v>1322</v>
      </c>
      <c r="C37" s="41" t="s">
        <v>1282</v>
      </c>
      <c r="D37" s="41">
        <v>2016</v>
      </c>
    </row>
    <row r="38" spans="1:4" x14ac:dyDescent="0.35">
      <c r="A38" s="41">
        <v>37</v>
      </c>
      <c r="B38" s="41" t="s">
        <v>1321</v>
      </c>
      <c r="C38" s="41" t="s">
        <v>1282</v>
      </c>
      <c r="D38" s="41">
        <v>2009</v>
      </c>
    </row>
    <row r="39" spans="1:4" x14ac:dyDescent="0.35">
      <c r="A39" s="41">
        <v>38</v>
      </c>
      <c r="B39" s="41" t="s">
        <v>1320</v>
      </c>
      <c r="C39" s="41" t="s">
        <v>1282</v>
      </c>
      <c r="D39" s="41">
        <v>2015</v>
      </c>
    </row>
    <row r="40" spans="1:4" x14ac:dyDescent="0.35">
      <c r="A40" s="41">
        <v>39</v>
      </c>
      <c r="B40" s="41" t="s">
        <v>1319</v>
      </c>
      <c r="C40" s="41" t="s">
        <v>1318</v>
      </c>
      <c r="D40" s="41">
        <v>1999</v>
      </c>
    </row>
    <row r="41" spans="1:4" x14ac:dyDescent="0.35">
      <c r="A41" s="41">
        <v>40</v>
      </c>
      <c r="B41" s="41" t="s">
        <v>1317</v>
      </c>
      <c r="C41" s="41" t="s">
        <v>1282</v>
      </c>
      <c r="D41" s="41">
        <v>1993</v>
      </c>
    </row>
    <row r="42" spans="1:4" x14ac:dyDescent="0.35">
      <c r="A42" s="41">
        <v>41</v>
      </c>
      <c r="B42" s="41" t="s">
        <v>1316</v>
      </c>
      <c r="C42" s="41" t="s">
        <v>1315</v>
      </c>
      <c r="D42" s="41">
        <v>2009</v>
      </c>
    </row>
    <row r="43" spans="1:4" x14ac:dyDescent="0.35">
      <c r="A43" s="41">
        <v>42</v>
      </c>
      <c r="B43" s="41" t="s">
        <v>1314</v>
      </c>
      <c r="C43" s="41" t="s">
        <v>1282</v>
      </c>
      <c r="D43" s="41">
        <v>2016</v>
      </c>
    </row>
    <row r="44" spans="1:4" ht="14.25" customHeight="1" x14ac:dyDescent="0.35">
      <c r="A44" s="41">
        <v>43</v>
      </c>
      <c r="B44" s="41" t="s">
        <v>1313</v>
      </c>
      <c r="C44" s="4" t="s">
        <v>1312</v>
      </c>
      <c r="D44" s="41">
        <v>2016</v>
      </c>
    </row>
    <row r="45" spans="1:4" x14ac:dyDescent="0.35">
      <c r="A45" s="41">
        <v>44</v>
      </c>
      <c r="B45" s="41" t="s">
        <v>1311</v>
      </c>
      <c r="C45" s="41" t="s">
        <v>1282</v>
      </c>
      <c r="D45" s="41">
        <v>2016</v>
      </c>
    </row>
    <row r="46" spans="1:4" x14ac:dyDescent="0.35">
      <c r="A46" s="41">
        <v>45</v>
      </c>
      <c r="B46" s="41" t="s">
        <v>1310</v>
      </c>
      <c r="C46" s="41" t="s">
        <v>1309</v>
      </c>
      <c r="D46" s="41">
        <v>2014</v>
      </c>
    </row>
    <row r="47" spans="1:4" x14ac:dyDescent="0.35">
      <c r="A47" s="41">
        <v>46</v>
      </c>
      <c r="B47" s="41" t="s">
        <v>1308</v>
      </c>
      <c r="C47" s="41" t="s">
        <v>1297</v>
      </c>
      <c r="D47" s="41">
        <v>1997</v>
      </c>
    </row>
    <row r="48" spans="1:4" x14ac:dyDescent="0.35">
      <c r="A48" s="41">
        <v>47</v>
      </c>
      <c r="B48" s="41" t="s">
        <v>1307</v>
      </c>
      <c r="C48" s="41" t="s">
        <v>1282</v>
      </c>
      <c r="D48" s="41">
        <v>1988</v>
      </c>
    </row>
    <row r="49" spans="1:4" x14ac:dyDescent="0.35">
      <c r="A49" s="232">
        <v>48</v>
      </c>
      <c r="B49" s="232" t="s">
        <v>1306</v>
      </c>
      <c r="C49" s="41" t="s">
        <v>1282</v>
      </c>
      <c r="D49" s="41">
        <v>2016</v>
      </c>
    </row>
    <row r="50" spans="1:4" x14ac:dyDescent="0.35">
      <c r="A50" s="41">
        <v>49</v>
      </c>
      <c r="B50" s="41" t="s">
        <v>1305</v>
      </c>
      <c r="C50" s="41" t="s">
        <v>1304</v>
      </c>
      <c r="D50" s="41">
        <v>2014</v>
      </c>
    </row>
    <row r="51" spans="1:4" x14ac:dyDescent="0.35">
      <c r="A51" s="41">
        <v>50</v>
      </c>
      <c r="B51" s="41" t="s">
        <v>1303</v>
      </c>
      <c r="C51" s="41" t="s">
        <v>1302</v>
      </c>
      <c r="D51" s="41">
        <v>2014</v>
      </c>
    </row>
    <row r="52" spans="1:4" x14ac:dyDescent="0.35">
      <c r="A52" s="232">
        <v>51</v>
      </c>
      <c r="B52" s="232" t="s">
        <v>1301</v>
      </c>
      <c r="C52" s="41" t="s">
        <v>1300</v>
      </c>
      <c r="D52" s="41">
        <v>1970</v>
      </c>
    </row>
    <row r="53" spans="1:4" x14ac:dyDescent="0.35">
      <c r="A53" s="41">
        <v>52</v>
      </c>
      <c r="B53" s="41" t="s">
        <v>1299</v>
      </c>
      <c r="C53" s="41" t="s">
        <v>1282</v>
      </c>
      <c r="D53" s="41">
        <v>1973</v>
      </c>
    </row>
    <row r="54" spans="1:4" x14ac:dyDescent="0.35">
      <c r="A54" s="41">
        <v>53</v>
      </c>
      <c r="B54" s="41" t="s">
        <v>1298</v>
      </c>
      <c r="C54" s="231" t="s">
        <v>1297</v>
      </c>
      <c r="D54" s="41">
        <v>1974</v>
      </c>
    </row>
    <row r="55" spans="1:4" x14ac:dyDescent="0.35">
      <c r="A55" s="41">
        <v>54</v>
      </c>
      <c r="B55" s="41" t="s">
        <v>1296</v>
      </c>
      <c r="C55" s="41" t="s">
        <v>1282</v>
      </c>
      <c r="D55" s="41">
        <v>1973</v>
      </c>
    </row>
    <row r="56" spans="1:4" x14ac:dyDescent="0.35">
      <c r="A56" s="41">
        <v>55</v>
      </c>
      <c r="B56" s="41" t="s">
        <v>1295</v>
      </c>
      <c r="C56" s="41" t="s">
        <v>1294</v>
      </c>
      <c r="D56" s="41">
        <v>2010</v>
      </c>
    </row>
    <row r="57" spans="1:4" x14ac:dyDescent="0.35">
      <c r="A57" s="41">
        <v>56</v>
      </c>
      <c r="B57" s="41" t="s">
        <v>1293</v>
      </c>
      <c r="C57" s="41" t="s">
        <v>1292</v>
      </c>
      <c r="D57" s="41">
        <v>2017</v>
      </c>
    </row>
    <row r="58" spans="1:4" x14ac:dyDescent="0.35">
      <c r="A58" s="41">
        <v>57</v>
      </c>
      <c r="B58" s="41" t="s">
        <v>1291</v>
      </c>
      <c r="C58" s="41" t="s">
        <v>1289</v>
      </c>
      <c r="D58" s="41">
        <v>2016</v>
      </c>
    </row>
    <row r="59" spans="1:4" x14ac:dyDescent="0.35">
      <c r="A59" s="41">
        <v>58</v>
      </c>
      <c r="B59" s="41" t="s">
        <v>1290</v>
      </c>
      <c r="C59" s="41" t="s">
        <v>1289</v>
      </c>
      <c r="D59" s="41">
        <v>2015</v>
      </c>
    </row>
    <row r="60" spans="1:4" x14ac:dyDescent="0.35">
      <c r="A60" s="41">
        <v>59</v>
      </c>
      <c r="B60" s="41" t="s">
        <v>1288</v>
      </c>
      <c r="C60" s="41" t="s">
        <v>1282</v>
      </c>
      <c r="D60" s="41">
        <v>2005</v>
      </c>
    </row>
    <row r="61" spans="1:4" x14ac:dyDescent="0.35">
      <c r="A61" s="41">
        <v>60</v>
      </c>
      <c r="B61" s="41" t="s">
        <v>1287</v>
      </c>
      <c r="C61" s="41" t="s">
        <v>1282</v>
      </c>
      <c r="D61" s="41">
        <v>2010</v>
      </c>
    </row>
    <row r="62" spans="1:4" x14ac:dyDescent="0.35">
      <c r="A62" s="41">
        <v>61</v>
      </c>
      <c r="B62" s="41" t="s">
        <v>1286</v>
      </c>
      <c r="C62" s="41" t="s">
        <v>1285</v>
      </c>
      <c r="D62" s="41">
        <v>2012</v>
      </c>
    </row>
    <row r="63" spans="1:4" x14ac:dyDescent="0.35">
      <c r="A63" s="41">
        <v>62</v>
      </c>
      <c r="B63" s="41" t="s">
        <v>1284</v>
      </c>
      <c r="C63" s="41" t="s">
        <v>1282</v>
      </c>
      <c r="D63" s="41">
        <v>2011</v>
      </c>
    </row>
    <row r="64" spans="1:4" x14ac:dyDescent="0.35">
      <c r="A64" s="41">
        <v>63</v>
      </c>
      <c r="B64" s="41" t="s">
        <v>1283</v>
      </c>
      <c r="C64" s="41" t="s">
        <v>1282</v>
      </c>
      <c r="D64" s="41">
        <v>2016</v>
      </c>
    </row>
    <row r="65" spans="1:4" x14ac:dyDescent="0.35">
      <c r="A65" s="41">
        <v>64</v>
      </c>
      <c r="B65" s="41" t="s">
        <v>1281</v>
      </c>
      <c r="C65" s="41" t="s">
        <v>1280</v>
      </c>
      <c r="D65" s="41">
        <v>1969</v>
      </c>
    </row>
    <row r="66" spans="1:4" x14ac:dyDescent="0.35">
      <c r="A66" s="41">
        <v>65</v>
      </c>
      <c r="B66" s="41" t="s">
        <v>1279</v>
      </c>
      <c r="D66" s="41">
        <v>2012</v>
      </c>
    </row>
    <row r="67" spans="1:4" x14ac:dyDescent="0.35">
      <c r="A67" s="41">
        <v>66</v>
      </c>
      <c r="B67" s="41" t="s">
        <v>1381</v>
      </c>
      <c r="C67" s="41" t="s">
        <v>1382</v>
      </c>
      <c r="D67" s="41">
        <v>2015</v>
      </c>
    </row>
    <row r="68" spans="1:4" x14ac:dyDescent="0.35">
      <c r="A68" s="41">
        <v>67</v>
      </c>
      <c r="B68" s="41" t="s">
        <v>1384</v>
      </c>
      <c r="C68" s="41" t="s">
        <v>1386</v>
      </c>
      <c r="D68" s="41">
        <v>2009</v>
      </c>
    </row>
    <row r="69" spans="1:4" x14ac:dyDescent="0.35">
      <c r="A69" s="41">
        <v>68</v>
      </c>
      <c r="B69" s="41" t="s">
        <v>1385</v>
      </c>
      <c r="C69" s="41" t="s">
        <v>1386</v>
      </c>
      <c r="D69" s="41">
        <v>2005</v>
      </c>
    </row>
    <row r="70" spans="1:4" x14ac:dyDescent="0.35">
      <c r="A70" s="41">
        <v>69</v>
      </c>
      <c r="B70" s="41" t="s">
        <v>1389</v>
      </c>
      <c r="C70" s="41" t="s">
        <v>1386</v>
      </c>
      <c r="D70" s="41">
        <v>2019</v>
      </c>
    </row>
    <row r="71" spans="1:4" x14ac:dyDescent="0.35">
      <c r="A71" s="41">
        <v>70</v>
      </c>
      <c r="B71" s="41" t="s">
        <v>1390</v>
      </c>
      <c r="C71" s="41" t="s">
        <v>1391</v>
      </c>
      <c r="D71" s="41">
        <v>2017</v>
      </c>
    </row>
    <row r="72" spans="1:4" x14ac:dyDescent="0.35">
      <c r="A72" s="41">
        <v>71</v>
      </c>
      <c r="B72" s="41" t="s">
        <v>1503</v>
      </c>
      <c r="C72" s="41" t="s">
        <v>1504</v>
      </c>
      <c r="D72" s="41">
        <v>2016</v>
      </c>
    </row>
    <row r="73" spans="1:4" x14ac:dyDescent="0.35">
      <c r="A73" s="41">
        <v>72</v>
      </c>
      <c r="B73" s="41" t="s">
        <v>1505</v>
      </c>
      <c r="C73" s="41" t="s">
        <v>1506</v>
      </c>
      <c r="D73" s="41">
        <v>2018</v>
      </c>
    </row>
    <row r="74" spans="1:4" x14ac:dyDescent="0.35">
      <c r="A74" s="41">
        <v>73</v>
      </c>
      <c r="B74" s="41" t="s">
        <v>1527</v>
      </c>
      <c r="C74" s="41" t="s">
        <v>1528</v>
      </c>
      <c r="D74" s="41">
        <v>2020</v>
      </c>
    </row>
    <row r="75" spans="1:4" x14ac:dyDescent="0.35">
      <c r="A75" s="41">
        <v>74</v>
      </c>
      <c r="B75" s="41" t="s">
        <v>1534</v>
      </c>
      <c r="C75" s="41" t="s">
        <v>1535</v>
      </c>
    </row>
    <row r="76" spans="1:4" x14ac:dyDescent="0.35">
      <c r="A76" s="41">
        <v>75</v>
      </c>
      <c r="B76" s="41" t="s">
        <v>1540</v>
      </c>
      <c r="C76" s="41" t="s">
        <v>1541</v>
      </c>
      <c r="D76" s="41">
        <v>2017</v>
      </c>
    </row>
    <row r="77" spans="1:4" x14ac:dyDescent="0.35">
      <c r="A77" s="41">
        <v>76</v>
      </c>
      <c r="B77" s="41" t="s">
        <v>1690</v>
      </c>
      <c r="C77" s="41" t="s">
        <v>1691</v>
      </c>
      <c r="D77" s="41">
        <v>2019</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11</vt:i4>
      </vt:variant>
      <vt:variant>
        <vt:lpstr>Named Ranges</vt:lpstr>
      </vt:variant>
      <vt:variant>
        <vt:i4>199</vt:i4>
      </vt:variant>
    </vt:vector>
  </HeadingPairs>
  <TitlesOfParts>
    <vt:vector size="210" baseType="lpstr">
      <vt:lpstr>User Interface</vt:lpstr>
      <vt:lpstr>Technology</vt:lpstr>
      <vt:lpstr>MissionSpecificTechnologyValues</vt:lpstr>
      <vt:lpstr>Schedule and Metabolic</vt:lpstr>
      <vt:lpstr>MCA ESM</vt:lpstr>
      <vt:lpstr>ECLSS Composition</vt:lpstr>
      <vt:lpstr>Output Data</vt:lpstr>
      <vt:lpstr>Graphical Output</vt:lpstr>
      <vt:lpstr>Resupply Approach</vt:lpstr>
      <vt:lpstr>ECLSS Functions</vt:lpstr>
      <vt:lpstr>References</vt:lpstr>
      <vt:lpstr>AirLegend</vt:lpstr>
      <vt:lpstr>Amount_of_Modules</vt:lpstr>
      <vt:lpstr>Amount_of_ORUs</vt:lpstr>
      <vt:lpstr>BrineProcSolidWasteLabel</vt:lpstr>
      <vt:lpstr>BrineProcSolidWasteValue</vt:lpstr>
      <vt:lpstr>BrineProdValue</vt:lpstr>
      <vt:lpstr>BrinProcH2OtoCabinValue</vt:lpstr>
      <vt:lpstr>CH4_FromReductionToProcessingValue</vt:lpstr>
      <vt:lpstr>CO2_FromReductionToVentLabel</vt:lpstr>
      <vt:lpstr>CO2_FromReductionToVentValue</vt:lpstr>
      <vt:lpstr>CO2_FromReductionToWasteLabel</vt:lpstr>
      <vt:lpstr>CO2_FromReductionToWasteValue</vt:lpstr>
      <vt:lpstr>CO2_FromRemovalValue</vt:lpstr>
      <vt:lpstr>CO2_FromWasteToCabinValue</vt:lpstr>
      <vt:lpstr>CO2_ProdCrewValue</vt:lpstr>
      <vt:lpstr>CO2_RemovalToWasteLabel1</vt:lpstr>
      <vt:lpstr>CO2_RemovalToWasteLabel2</vt:lpstr>
      <vt:lpstr>CO2_RemovalToWasteValue1</vt:lpstr>
      <vt:lpstr>CO2_RemovalToWasteValue2</vt:lpstr>
      <vt:lpstr>Co2_Schedule2</vt:lpstr>
      <vt:lpstr>CO2_ToReductionValue</vt:lpstr>
      <vt:lpstr>CO2_ToVentValue</vt:lpstr>
      <vt:lpstr>CO2Legend</vt:lpstr>
      <vt:lpstr>CO2ToPBRValue</vt:lpstr>
      <vt:lpstr>CO2toPlantsValue</vt:lpstr>
      <vt:lpstr>Cooling</vt:lpstr>
      <vt:lpstr>Crew_Size</vt:lpstr>
      <vt:lpstr>CrewFecesLabel</vt:lpstr>
      <vt:lpstr>CrewFecesValue</vt:lpstr>
      <vt:lpstr>CrewUrineToPlantsValue</vt:lpstr>
      <vt:lpstr>CrewUrineWithoutProcessing</vt:lpstr>
      <vt:lpstr>CrewUrineWithoutProcessingLabel</vt:lpstr>
      <vt:lpstr>CrewUrineWithProcessing</vt:lpstr>
      <vt:lpstr>CurrentPGCArea</vt:lpstr>
      <vt:lpstr>CurrentPOI</vt:lpstr>
      <vt:lpstr>DES_Function</vt:lpstr>
      <vt:lpstr>ECLSS_Subs</vt:lpstr>
      <vt:lpstr>ECLSS_Type</vt:lpstr>
      <vt:lpstr>ECLSS_Type_Comp</vt:lpstr>
      <vt:lpstr>EdibleFromPlantsEnergyLabel</vt:lpstr>
      <vt:lpstr>EdibleFromPlantsEnergyValue</vt:lpstr>
      <vt:lpstr>EdibleFromPlantsLabel</vt:lpstr>
      <vt:lpstr>EdibleFromPlantsLabel2</vt:lpstr>
      <vt:lpstr>EdibleFromPlantsValue</vt:lpstr>
      <vt:lpstr>EdibleFromPlantsValue2</vt:lpstr>
      <vt:lpstr>EdibleFromPlantsWaterLabel</vt:lpstr>
      <vt:lpstr>EdibleFromPlantsWaterValue</vt:lpstr>
      <vt:lpstr>ESM_CoolingF</vt:lpstr>
      <vt:lpstr>ESM_Crew_TimeF</vt:lpstr>
      <vt:lpstr>ESM_LocationF</vt:lpstr>
      <vt:lpstr>ESM_PowerF</vt:lpstr>
      <vt:lpstr>ESM_VolumeF</vt:lpstr>
      <vt:lpstr>ExcludeNotFittingType</vt:lpstr>
      <vt:lpstr>ExcludePartialAlternatives</vt:lpstr>
      <vt:lpstr>Feces_Schedule2</vt:lpstr>
      <vt:lpstr>Food_Schedule2</vt:lpstr>
      <vt:lpstr>FoodConCrewValue</vt:lpstr>
      <vt:lpstr>FoodFromPBRValue</vt:lpstr>
      <vt:lpstr>FoodPackagingValue</vt:lpstr>
      <vt:lpstr>FromMethaneProcessingToVentLabel</vt:lpstr>
      <vt:lpstr>FromMethaneProcessingToVentValue</vt:lpstr>
      <vt:lpstr>FromMethaneProcessingToWasteLabel</vt:lpstr>
      <vt:lpstr>FromMethaneProcessingToWasteValue</vt:lpstr>
      <vt:lpstr>GreyWaterLegend</vt:lpstr>
      <vt:lpstr>H2_FromElectrolysisValue</vt:lpstr>
      <vt:lpstr>H2_FromMethaneProcessingValue</vt:lpstr>
      <vt:lpstr>H2_ToCO2ReductionValue</vt:lpstr>
      <vt:lpstr>H2_ToVentValue</vt:lpstr>
      <vt:lpstr>H2Legend</vt:lpstr>
      <vt:lpstr>H2O_ConCrewValue</vt:lpstr>
      <vt:lpstr>H2O_FoodConCrewValue</vt:lpstr>
      <vt:lpstr>H2O_FromCO2ReductionValue</vt:lpstr>
      <vt:lpstr>H2O_FromCO2RemovalValue</vt:lpstr>
      <vt:lpstr>H2O_FromHumControlToCO2RemovalValue</vt:lpstr>
      <vt:lpstr>H2O_FromWWFiltValue</vt:lpstr>
      <vt:lpstr>H2O_InediblePlantsLabel</vt:lpstr>
      <vt:lpstr>H2O_InediblePlantsToFiltrationValue</vt:lpstr>
      <vt:lpstr>H2O_InediblePlantsValue</vt:lpstr>
      <vt:lpstr>H2O_ProdCrewValue</vt:lpstr>
      <vt:lpstr>H2O_ToCO2ReductionValue</vt:lpstr>
      <vt:lpstr>H2O_ToCO2RemovalValue</vt:lpstr>
      <vt:lpstr>H2O_ToElectrolysisValue</vt:lpstr>
      <vt:lpstr>H2OfromPlantsValue</vt:lpstr>
      <vt:lpstr>H2OLegend</vt:lpstr>
      <vt:lpstr>H2OtoPlantsValue</vt:lpstr>
      <vt:lpstr>heat</vt:lpstr>
      <vt:lpstr>Heat_Schedule2</vt:lpstr>
      <vt:lpstr>HumControlToPlantsValue</vt:lpstr>
      <vt:lpstr>HumControlToVentValue</vt:lpstr>
      <vt:lpstr>HumControlToWasteValue</vt:lpstr>
      <vt:lpstr>HumControlToWWFiltrationValue</vt:lpstr>
      <vt:lpstr>Hygiene_Schedule2</vt:lpstr>
      <vt:lpstr>HygieneH2O_ConCrewValue</vt:lpstr>
      <vt:lpstr>HygieneH2O_ProdCrewValue</vt:lpstr>
      <vt:lpstr>HygieneH2O_ProdCrewWithoutFiltrationLabel</vt:lpstr>
      <vt:lpstr>HygieneH2O_ProdCrewWithoutFiltrationValue</vt:lpstr>
      <vt:lpstr>HygieneH2OCrewProdValue</vt:lpstr>
      <vt:lpstr>InedibleBiomassPBRValue</vt:lpstr>
      <vt:lpstr>Maintenance</vt:lpstr>
      <vt:lpstr>Mass</vt:lpstr>
      <vt:lpstr>Mass_margin</vt:lpstr>
      <vt:lpstr>Max_allowable_ppCO2</vt:lpstr>
      <vt:lpstr>MAX_Cooling</vt:lpstr>
      <vt:lpstr>MAX_Maintenance</vt:lpstr>
      <vt:lpstr>MAX_Mass</vt:lpstr>
      <vt:lpstr>MAX_Power</vt:lpstr>
      <vt:lpstr>MAX_Volume</vt:lpstr>
      <vt:lpstr>MCA_Ranking</vt:lpstr>
      <vt:lpstr>MCA_Value</vt:lpstr>
      <vt:lpstr>Metabolic_Values_up_to_date</vt:lpstr>
      <vt:lpstr>Min_allowable_ppO2</vt:lpstr>
      <vt:lpstr>MIN_Reliability</vt:lpstr>
      <vt:lpstr>MIN_TRL</vt:lpstr>
      <vt:lpstr>MiscLegend</vt:lpstr>
      <vt:lpstr>Mission_Duration</vt:lpstr>
      <vt:lpstr>N2_LeakageValue</vt:lpstr>
      <vt:lpstr>NutrientsToPBRValue</vt:lpstr>
      <vt:lpstr>NutrientsToPlantsLabel</vt:lpstr>
      <vt:lpstr>NutrientsToPlantsValue</vt:lpstr>
      <vt:lpstr>O2_ConCrewValue</vt:lpstr>
      <vt:lpstr>O2_FromCO2ReductionValue</vt:lpstr>
      <vt:lpstr>O2_FromElectrolysisValue</vt:lpstr>
      <vt:lpstr>O2_FromStorageValue</vt:lpstr>
      <vt:lpstr>O2_LeakageValue</vt:lpstr>
      <vt:lpstr>O2_Schedule2</vt:lpstr>
      <vt:lpstr>O2_toIncinerationLabel</vt:lpstr>
      <vt:lpstr>O2_toIncinerationValue</vt:lpstr>
      <vt:lpstr>O2FromPBRValue</vt:lpstr>
      <vt:lpstr>O2fromPlantsValue</vt:lpstr>
      <vt:lpstr>O2Legend</vt:lpstr>
      <vt:lpstr>PlantWaterContentToCrew</vt:lpstr>
      <vt:lpstr>PlantWaterContentToCrewLabel</vt:lpstr>
      <vt:lpstr>PlantWaterContentToCrewLabel2</vt:lpstr>
      <vt:lpstr>Potable_Schedule2</vt:lpstr>
      <vt:lpstr>Power</vt:lpstr>
      <vt:lpstr>Pressurized_Volume</vt:lpstr>
      <vt:lpstr>Reliability</vt:lpstr>
      <vt:lpstr>Schedule_Number</vt:lpstr>
      <vt:lpstr>Schedule_was_Checked</vt:lpstr>
      <vt:lpstr>SUM_CO2_Production</vt:lpstr>
      <vt:lpstr>SUM_CO2_Production_2</vt:lpstr>
      <vt:lpstr>SUM_Feces_Production</vt:lpstr>
      <vt:lpstr>SUM_Feces_Production_2</vt:lpstr>
      <vt:lpstr>SUM_Food_Need</vt:lpstr>
      <vt:lpstr>SUM_Food_Need_2</vt:lpstr>
      <vt:lpstr>SUM_Food_Water</vt:lpstr>
      <vt:lpstr>SUM_Heat_Load</vt:lpstr>
      <vt:lpstr>SUM_Heat_Load_2</vt:lpstr>
      <vt:lpstr>SUM_Hygiene_Solid_Waste</vt:lpstr>
      <vt:lpstr>SUM_Hygiene_Water_Need</vt:lpstr>
      <vt:lpstr>SUM_Hygiene_Water_Need_2</vt:lpstr>
      <vt:lpstr>SUM_Metabolic_Water</vt:lpstr>
      <vt:lpstr>SUM_O2_Consumption</vt:lpstr>
      <vt:lpstr>SUM_O2_Consumption_2</vt:lpstr>
      <vt:lpstr>SUM_Potable_Water_Need</vt:lpstr>
      <vt:lpstr>SUM_Potable_Water_Need_2</vt:lpstr>
      <vt:lpstr>SUM_Sweat_Production</vt:lpstr>
      <vt:lpstr>SUM_Sweat_Production_2</vt:lpstr>
      <vt:lpstr>SUM_Urine_Production</vt:lpstr>
      <vt:lpstr>SUM_Urine_Production_2</vt:lpstr>
      <vt:lpstr>SUM_Urine_Solid_Waste</vt:lpstr>
      <vt:lpstr>sweat</vt:lpstr>
      <vt:lpstr>Sweat_Schedule2</vt:lpstr>
      <vt:lpstr>Sweat_Solid_Waste</vt:lpstr>
      <vt:lpstr>SystemLevelFilter</vt:lpstr>
      <vt:lpstr>task_breakfast</vt:lpstr>
      <vt:lpstr>task_dinner</vt:lpstr>
      <vt:lpstr>task_excersise</vt:lpstr>
      <vt:lpstr>task_hygiene</vt:lpstr>
      <vt:lpstr>task_lunch</vt:lpstr>
      <vt:lpstr>task_personal</vt:lpstr>
      <vt:lpstr>task_postexcersise</vt:lpstr>
      <vt:lpstr>task_postsleep</vt:lpstr>
      <vt:lpstr>task_presleep</vt:lpstr>
      <vt:lpstr>task_sleep</vt:lpstr>
      <vt:lpstr>task_work</vt:lpstr>
      <vt:lpstr>TRL</vt:lpstr>
      <vt:lpstr>Urine_Schedule2</vt:lpstr>
      <vt:lpstr>UrineProcesingPotableWater</vt:lpstr>
      <vt:lpstr>UrineProcessingGreyWater</vt:lpstr>
      <vt:lpstr>UrineProcessingGreyWaterToWasteValue</vt:lpstr>
      <vt:lpstr>UrineToPlantsLabel</vt:lpstr>
      <vt:lpstr>UrineToPlantsValue</vt:lpstr>
      <vt:lpstr>Volume</vt:lpstr>
      <vt:lpstr>Waste_FromPlantsLabel</vt:lpstr>
      <vt:lpstr>Waste_FromPlantsValue</vt:lpstr>
      <vt:lpstr>WaterFromPBRValue</vt:lpstr>
      <vt:lpstr>WaterLegend</vt:lpstr>
      <vt:lpstr>WaterToPBRValue</vt:lpstr>
      <vt:lpstr>WC_Cooling</vt:lpstr>
      <vt:lpstr>WC_Maintenance</vt:lpstr>
      <vt:lpstr>WC_Mass</vt:lpstr>
      <vt:lpstr>WC_Power</vt:lpstr>
      <vt:lpstr>WC_Reliability</vt:lpstr>
      <vt:lpstr>WC_TRL</vt:lpstr>
      <vt:lpstr>WC_Volume</vt:lpstr>
      <vt:lpstr>WWFiltrationToWasteLabel</vt:lpstr>
      <vt:lpstr>WWFiltrationToWasteValue</vt:lpstr>
      <vt:lpstr>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Andreas</dc:creator>
  <cp:lastModifiedBy>Felicitas Leese</cp:lastModifiedBy>
  <cp:lastPrinted>2021-04-08T09:03:34Z</cp:lastPrinted>
  <dcterms:created xsi:type="dcterms:W3CDTF">2018-12-05T08:15:10Z</dcterms:created>
  <dcterms:modified xsi:type="dcterms:W3CDTF">2025-08-24T10:24:12Z</dcterms:modified>
</cp:coreProperties>
</file>