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1.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5DDE2F30-5C82-44B9-8D30-38B5C1BBD07D}" xr6:coauthVersionLast="47" xr6:coauthVersionMax="47" xr10:uidLastSave="{00000000-0000-0000-0000-000000000000}"/>
  <bookViews>
    <workbookView xWindow="-120" yWindow="-120" windowWidth="20730" windowHeight="11160" tabRatio="792" firstSheet="1" activeTab="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Plants and PGC" sheetId="13" r:id="rId6"/>
    <sheet name="ECLSS Functions" sheetId="10"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Interface'!$C$13</definedName>
    <definedName name="Amount_of_ORUs">'User Interface'!$N$20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Interface'!$C$9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Interface'!$C$14</definedName>
    <definedName name="DES_Function">'User Interface'!$I$7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Interface'!$C$23</definedName>
    <definedName name="ESM_Crew_TimeF">'User Interface'!$C$24</definedName>
    <definedName name="ESM_LocationF">'User Interface'!$C$20</definedName>
    <definedName name="ESM_PowerF">'User Interface'!$C$22</definedName>
    <definedName name="ESM_VolumeF">'User Interface'!$C$21</definedName>
    <definedName name="ExcludeNotFittingType">'User Interface'!$X$40</definedName>
    <definedName name="ExcludePartialAlternatives">'User Interface'!$N$17</definedName>
    <definedName name="ExcludeYear">'User Interface'!$N$23</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Composition'!$N$7</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Interface'!$N$22</definedName>
    <definedName name="Max_allowable_ppCO2">'Schedule and Metabolic'!$O$23</definedName>
    <definedName name="MAX_Cooling">'User Interface'!$J$19</definedName>
    <definedName name="MAX_Maintenance">'User Interface'!$J$20</definedName>
    <definedName name="MAX_Mass">'User Interface'!$J$16</definedName>
    <definedName name="MAX_Power">'User Interface'!$J$18</definedName>
    <definedName name="MAX_Volume">'User Interface'!$J$17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Interface'!$J$23</definedName>
    <definedName name="MIN_TRL">'User Interface'!$J$24</definedName>
    <definedName name="MiscLegend">'ECLSS Composition'!$AI$41</definedName>
    <definedName name="Mission_Duration" localSheetId="7">'[1]User Interface'!$B$11</definedName>
    <definedName name="Mission_Duration">'User Interface'!$C$10</definedName>
    <definedName name="MissionType">'User Interface'!$C$17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Interface'!$C$12</definedName>
    <definedName name="Reliability">'MCA ESM'!$H:$H</definedName>
    <definedName name="Schedule_Number">'User Interface'!$C$11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Interface'!$H$10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Interface'!$G$20</definedName>
    <definedName name="WC_Maintenance">'User Interface'!$G$21</definedName>
    <definedName name="WC_Mass">'User Interface'!$G$17</definedName>
    <definedName name="WC_Power">'User Interface'!$G$19</definedName>
    <definedName name="WC_Reliability">'User Interface'!$G$22</definedName>
    <definedName name="WC_TRL">'User Interface'!$G$23</definedName>
    <definedName name="WC_Volume">'User Interface'!$G$18</definedName>
    <definedName name="WWFiltrationToWasteLabel">'ECLSS Composition'!$V$35</definedName>
    <definedName name="WWFiltrationToWasteValue">'ECLSS Composition'!$T$35</definedName>
    <definedName name="X">'User Interface'!$W:$W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8" i="1" l="1"/>
  <c r="P208" i="1"/>
  <c r="M208" i="1"/>
  <c r="J208" i="1"/>
  <c r="J207" i="1"/>
  <c r="M207" i="1"/>
  <c r="P207" i="1"/>
  <c r="S207" i="1"/>
  <c r="S206" i="1"/>
  <c r="P206" i="1"/>
  <c r="M206" i="1"/>
  <c r="J206" i="1"/>
  <c r="V206" i="1"/>
  <c r="F75" i="7"/>
  <c r="F76" i="7" s="1"/>
  <c r="E75" i="7"/>
  <c r="E76" i="7" s="1"/>
  <c r="G75" i="7"/>
  <c r="G76" i="7" s="1"/>
  <c r="D75" i="7"/>
  <c r="D76" i="7" s="1"/>
  <c r="H75" i="7"/>
  <c r="H76" i="7" s="1"/>
  <c r="I75" i="7"/>
  <c r="I76" i="7" s="1"/>
  <c r="J75" i="7"/>
  <c r="J76" i="7" s="1"/>
  <c r="K75" i="7"/>
  <c r="K76" i="7" s="1"/>
  <c r="L75" i="7"/>
  <c r="L76" i="7" s="1"/>
  <c r="C75" i="7"/>
  <c r="C76" i="7" s="1"/>
  <c r="AD197" i="1"/>
  <c r="J204" i="1"/>
  <c r="X204" i="1"/>
  <c r="W213" i="1" l="1"/>
  <c r="AF69" i="1"/>
  <c r="AF56" i="1"/>
  <c r="AE53" i="1"/>
  <c r="X279" i="1"/>
  <c r="P279" i="1"/>
  <c r="S279" i="1"/>
  <c r="M279" i="1"/>
  <c r="J279" i="1"/>
  <c r="S280" i="1"/>
  <c r="P280" i="1" s="1"/>
  <c r="J280" i="1"/>
  <c r="L281" i="1"/>
  <c r="J281" i="1"/>
  <c r="X66" i="1"/>
  <c r="S66" i="1"/>
  <c r="P66" i="1"/>
  <c r="M66" i="1"/>
  <c r="J66" i="1"/>
  <c r="S69" i="1"/>
  <c r="P69" i="1"/>
  <c r="M69" i="1"/>
  <c r="J69" i="1"/>
  <c r="S55" i="1" l="1"/>
  <c r="P55" i="1"/>
  <c r="M55" i="1"/>
  <c r="J55" i="1"/>
  <c r="S213" i="1"/>
  <c r="P213" i="1"/>
  <c r="M213" i="1"/>
  <c r="J213" i="1"/>
  <c r="AF281" i="1" l="1"/>
  <c r="AF280" i="1"/>
  <c r="P103" i="7"/>
  <c r="Q103" i="7" s="1"/>
  <c r="X199" i="1"/>
  <c r="X200" i="1"/>
  <c r="X201" i="1"/>
  <c r="X202" i="1"/>
  <c r="X203" i="1"/>
  <c r="X205" i="1"/>
  <c r="AF203" i="1"/>
  <c r="P203" i="1"/>
  <c r="S203" i="1"/>
  <c r="M203" i="1"/>
  <c r="J203" i="1"/>
  <c r="AF205" i="1"/>
  <c r="S205" i="1"/>
  <c r="P205" i="1"/>
  <c r="M205" i="1"/>
  <c r="J205" i="1"/>
  <c r="AF204" i="1"/>
  <c r="AF202" i="1"/>
  <c r="AF201" i="1"/>
  <c r="S204" i="1"/>
  <c r="S202" i="1"/>
  <c r="S201" i="1"/>
  <c r="P204" i="1"/>
  <c r="P202" i="1"/>
  <c r="P201" i="1"/>
  <c r="M204" i="1"/>
  <c r="M202" i="1"/>
  <c r="M201" i="1"/>
  <c r="J202" i="1"/>
  <c r="X281" i="1" l="1"/>
  <c r="X280" i="1"/>
  <c r="J200" i="1" l="1"/>
  <c r="J201" i="1"/>
  <c r="J199" i="1"/>
  <c r="S200" i="1" l="1"/>
  <c r="S199" i="1"/>
  <c r="M200" i="1" l="1"/>
  <c r="H26" i="6" l="1"/>
  <c r="J41" i="6" l="1"/>
  <c r="H51" i="3" a="1"/>
  <c r="H51" i="3" s="1"/>
  <c r="W198" i="1" l="1"/>
  <c r="X198" i="1" s="1"/>
  <c r="L198" i="1"/>
  <c r="AF200" i="1"/>
  <c r="AE199" i="1"/>
  <c r="P200" i="1"/>
  <c r="V199" i="1"/>
  <c r="P199" i="1"/>
  <c r="AE198" i="1" l="1"/>
  <c r="U199" i="1"/>
  <c r="J198" i="1"/>
  <c r="Z12" i="3"/>
  <c r="V198" i="1" l="1"/>
  <c r="U198" i="1"/>
  <c r="AE70"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1" i="1"/>
  <c r="P281" i="1" s="1"/>
  <c r="M281" i="1"/>
  <c r="L280" i="1"/>
  <c r="M280" i="1" s="1"/>
  <c r="C53" i="3" l="1"/>
  <c r="AD36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30" i="1"/>
  <c r="J230" i="1"/>
  <c r="S195" i="1"/>
  <c r="P195" i="1"/>
  <c r="M195" i="1"/>
  <c r="J195" i="1"/>
  <c r="AB270" i="1"/>
  <c r="AB269" i="1"/>
  <c r="AB268" i="1"/>
  <c r="AB267" i="1"/>
  <c r="AB266" i="1"/>
  <c r="AB265" i="1"/>
  <c r="AB264" i="1"/>
  <c r="AB263" i="1"/>
  <c r="AB262" i="1"/>
  <c r="AB261" i="1"/>
  <c r="AB260" i="1"/>
  <c r="AB193" i="1"/>
  <c r="AB192" i="1"/>
  <c r="AB191" i="1"/>
  <c r="AB190" i="1"/>
  <c r="AB189" i="1"/>
  <c r="AB188" i="1"/>
  <c r="AB187" i="1"/>
  <c r="AB186" i="1"/>
  <c r="AB185" i="1"/>
  <c r="AB184" i="1"/>
  <c r="AB183" i="1"/>
  <c r="AB182" i="1"/>
  <c r="AB181" i="1"/>
  <c r="AB180" i="1"/>
  <c r="AB179" i="1"/>
  <c r="AB178" i="1"/>
  <c r="AB177" i="1"/>
  <c r="AB176" i="1"/>
  <c r="Y176" i="1"/>
  <c r="AB175" i="1"/>
  <c r="Y175" i="1"/>
  <c r="AB174" i="1"/>
  <c r="Y174" i="1"/>
  <c r="AB173" i="1"/>
  <c r="Y173" i="1"/>
  <c r="AB172" i="1"/>
  <c r="Y172" i="1"/>
  <c r="AB171" i="1"/>
  <c r="Y171" i="1"/>
  <c r="AB170" i="1"/>
  <c r="Y170" i="1"/>
  <c r="AB169" i="1"/>
  <c r="Y169" i="1"/>
  <c r="AB168" i="1"/>
  <c r="Y168" i="1"/>
  <c r="AB167" i="1"/>
  <c r="Y167" i="1"/>
  <c r="AB166" i="1"/>
  <c r="Y166" i="1"/>
  <c r="AB165" i="1"/>
  <c r="Y165" i="1"/>
  <c r="AB164" i="1"/>
  <c r="Y164" i="1"/>
  <c r="AB163" i="1"/>
  <c r="Y163" i="1"/>
  <c r="AB162" i="1"/>
  <c r="Y162" i="1"/>
  <c r="AB161" i="1"/>
  <c r="AB361" i="1"/>
  <c r="Y361" i="1"/>
  <c r="AB360" i="1"/>
  <c r="Y360" i="1"/>
  <c r="AB359" i="1"/>
  <c r="Y359" i="1"/>
  <c r="AB358" i="1"/>
  <c r="Y358" i="1"/>
  <c r="AB357" i="1"/>
  <c r="Y357" i="1"/>
  <c r="AB356" i="1"/>
  <c r="Y356" i="1"/>
  <c r="AB355" i="1"/>
  <c r="Y355" i="1"/>
  <c r="AB354" i="1"/>
  <c r="Y354" i="1"/>
  <c r="AB353" i="1"/>
  <c r="Y353" i="1"/>
  <c r="AB352" i="1"/>
  <c r="Y352" i="1"/>
  <c r="AB351" i="1"/>
  <c r="Y351" i="1"/>
  <c r="AB350" i="1"/>
  <c r="Y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Y323" i="1"/>
  <c r="Y213" i="1" s="1"/>
  <c r="AB322" i="1"/>
  <c r="Y322" i="1"/>
  <c r="AB321" i="1"/>
  <c r="Y321" i="1"/>
  <c r="AB320" i="1"/>
  <c r="Y320" i="1"/>
  <c r="AB319" i="1"/>
  <c r="Y319" i="1"/>
  <c r="Y318" i="1"/>
  <c r="AB317" i="1"/>
  <c r="Y317" i="1"/>
  <c r="AB316" i="1"/>
  <c r="Y316" i="1"/>
  <c r="AB315" i="1"/>
  <c r="Y315" i="1"/>
  <c r="AB314" i="1"/>
  <c r="Y314" i="1"/>
  <c r="AB313" i="1"/>
  <c r="Y313" i="1"/>
  <c r="AB312" i="1"/>
  <c r="Y312" i="1"/>
  <c r="AB311" i="1"/>
  <c r="Y311" i="1"/>
  <c r="AB310" i="1"/>
  <c r="Y310" i="1"/>
  <c r="Y192" i="1" s="1"/>
  <c r="AB309" i="1"/>
  <c r="Y309" i="1"/>
  <c r="AB308" i="1"/>
  <c r="AB307" i="1"/>
  <c r="AB306" i="1"/>
  <c r="AB305" i="1"/>
  <c r="AB304" i="1"/>
  <c r="AB303" i="1"/>
  <c r="AB302" i="1"/>
  <c r="AB301" i="1"/>
  <c r="AB300" i="1"/>
  <c r="AB299" i="1"/>
  <c r="AB298" i="1"/>
  <c r="AB297" i="1"/>
  <c r="AB296" i="1"/>
  <c r="AB295"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3" i="1"/>
  <c r="AB122" i="1"/>
  <c r="AB121" i="1"/>
  <c r="AB120" i="1"/>
  <c r="AB119" i="1"/>
  <c r="AB117" i="1"/>
  <c r="AB114" i="1"/>
  <c r="AB113" i="1"/>
  <c r="AB112" i="1"/>
  <c r="AB111" i="1"/>
  <c r="AB108" i="1"/>
  <c r="AB107" i="1"/>
  <c r="AB106" i="1"/>
  <c r="AB105" i="1"/>
  <c r="AB104" i="1"/>
  <c r="AB103" i="1"/>
  <c r="AB102" i="1"/>
  <c r="AB101" i="1"/>
  <c r="AB100" i="1"/>
  <c r="AB99" i="1"/>
  <c r="AB98" i="1"/>
  <c r="AB97" i="1"/>
  <c r="AB95" i="1"/>
  <c r="AB94" i="1"/>
  <c r="AB93" i="1"/>
  <c r="AB92" i="1"/>
  <c r="AB91" i="1"/>
  <c r="AB90" i="1"/>
  <c r="AB89" i="1"/>
  <c r="AB88" i="1"/>
  <c r="AB87" i="1"/>
  <c r="AB86" i="1"/>
  <c r="AB85" i="1"/>
  <c r="AB84" i="1"/>
  <c r="AB83" i="1"/>
  <c r="AB82" i="1"/>
  <c r="AB81" i="1"/>
  <c r="AB80" i="1"/>
  <c r="AB79" i="1"/>
  <c r="AB78" i="1"/>
  <c r="M77" i="1"/>
  <c r="J77" i="1"/>
  <c r="AB76" i="1"/>
  <c r="AB228" i="1"/>
  <c r="Y228" i="1"/>
  <c r="M227" i="1"/>
  <c r="J227" i="1"/>
  <c r="S226" i="1"/>
  <c r="M225" i="1"/>
  <c r="AB224" i="1"/>
  <c r="Y224" i="1"/>
  <c r="AB223" i="1"/>
  <c r="AB222" i="1"/>
  <c r="Y222" i="1"/>
  <c r="S222" i="1"/>
  <c r="P222" i="1" s="1"/>
  <c r="AB221" i="1"/>
  <c r="Y221" i="1"/>
  <c r="AB220" i="1"/>
  <c r="Y220" i="1"/>
  <c r="AB219" i="1"/>
  <c r="Y219" i="1"/>
  <c r="Y218" i="1"/>
  <c r="AB217" i="1"/>
  <c r="X217" i="1"/>
  <c r="P217" i="1"/>
  <c r="O217" i="1"/>
  <c r="I28" i="1"/>
  <c r="AB287" i="1"/>
  <c r="M287" i="1"/>
  <c r="J287" i="1"/>
  <c r="AE286" i="1"/>
  <c r="S215" i="1"/>
  <c r="P215" i="1"/>
  <c r="M215" i="1"/>
  <c r="J215" i="1"/>
  <c r="AB73" i="1"/>
  <c r="AB283" i="1"/>
  <c r="P283" i="1"/>
  <c r="J283" i="1"/>
  <c r="AE293" i="1"/>
  <c r="AE277" i="1"/>
  <c r="Y214" i="1"/>
  <c r="AE71" i="1"/>
  <c r="AB71" i="1"/>
  <c r="R71" i="1"/>
  <c r="S71" i="1" s="1"/>
  <c r="AB70" i="1"/>
  <c r="AB69" i="1"/>
  <c r="AB67" i="1"/>
  <c r="S67" i="1"/>
  <c r="M67" i="1"/>
  <c r="J67" i="1"/>
  <c r="R245" i="1"/>
  <c r="AE276" i="1"/>
  <c r="R23" i="1"/>
  <c r="L23" i="1"/>
  <c r="M23" i="1" s="1"/>
  <c r="I23" i="1"/>
  <c r="M21" i="1"/>
  <c r="L21" i="1"/>
  <c r="AB18" i="1"/>
  <c r="BC17" i="1"/>
  <c r="AB16" i="1"/>
  <c r="AB14" i="1"/>
  <c r="AE275" i="1"/>
  <c r="AB56" i="1"/>
  <c r="S56" i="1"/>
  <c r="P56" i="1"/>
  <c r="M56" i="1"/>
  <c r="AB55" i="1"/>
  <c r="S53" i="1"/>
  <c r="P53" i="1" s="1"/>
  <c r="M53" i="1"/>
  <c r="J53" i="1"/>
  <c r="AE52" i="1"/>
  <c r="R52" i="1"/>
  <c r="S52" i="1" s="1"/>
  <c r="P52" i="1" s="1"/>
  <c r="L52" i="1"/>
  <c r="M52" i="1" s="1"/>
  <c r="J52" i="1"/>
  <c r="I52" i="1"/>
  <c r="AB10" i="1"/>
  <c r="S51" i="1"/>
  <c r="P51" i="1"/>
  <c r="M51" i="1"/>
  <c r="J51" i="1"/>
  <c r="AB8" i="1"/>
  <c r="AB7" i="1"/>
  <c r="BC50" i="1"/>
  <c r="M50" i="1"/>
  <c r="J50" i="1"/>
  <c r="AB49" i="1"/>
  <c r="M241" i="1"/>
  <c r="J241" i="1"/>
  <c r="M42" i="1"/>
  <c r="J42" i="1"/>
  <c r="AB274" i="1"/>
  <c r="AB213" i="1"/>
  <c r="AE37" i="1"/>
  <c r="AB36" i="1"/>
  <c r="M36" i="1"/>
  <c r="BC35" i="1"/>
  <c r="M212" i="1"/>
  <c r="AE34" i="1"/>
  <c r="AB34" i="1"/>
  <c r="AE211" i="1"/>
  <c r="AB211" i="1"/>
  <c r="AE273" i="1"/>
  <c r="AE31" i="1"/>
  <c r="AD30" i="1"/>
  <c r="AE30" i="1" s="1"/>
  <c r="Y180" i="1" l="1"/>
  <c r="Y184" i="1"/>
  <c r="Y186" i="1"/>
  <c r="Y190" i="1"/>
  <c r="Y178" i="1"/>
  <c r="Y182" i="1"/>
  <c r="Y188" i="1"/>
  <c r="Y179" i="1"/>
  <c r="Y181" i="1"/>
  <c r="Y183" i="1"/>
  <c r="Y185" i="1"/>
  <c r="Y187" i="1"/>
  <c r="Y189" i="1"/>
  <c r="Y191" i="1"/>
  <c r="Y193" i="1"/>
  <c r="J226"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6" i="1"/>
  <c r="AC15" i="3"/>
  <c r="AD16" i="3" l="1" a="1"/>
  <c r="AD16" i="3" s="1"/>
  <c r="AD15" i="3"/>
  <c r="AE49" i="1" l="1"/>
  <c r="L71" i="1" l="1"/>
  <c r="M71" i="1" s="1"/>
  <c r="I71" i="1"/>
  <c r="J71"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G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O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X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6"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3"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J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L7"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<sst xmlns="http://schemas.openxmlformats.org/spreadsheetml/2006/main" count="7361" uniqueCount="2097">
  <si>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</si>
  <si>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</si>
  <si>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</si>
  <si>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</si>
  <si>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</si>
  <si>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</si>
  <si>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</si>
  <si>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</si>
  <si>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</si>
  <si>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</si>
  <si>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</si>
  <si>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</si>
  <si>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</si>
  <si>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</si>
  <si>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</si>
  <si>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</si>
  <si>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</si>
  <si>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</si>
  <si>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</si>
  <si>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</si>
  <si>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</si>
  <si>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</si>
  <si>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</si>
  <si>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</si>
  <si>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</si>
  <si>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</si>
  <si>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</si>
  <si>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</si>
  <si>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</si>
  <si>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</si>
  <si>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</si>
  <si>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</si>
  <si>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</si>
  <si>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</si>
  <si>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</si>
  <si>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</si>
  <si>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</si>
  <si>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</si>
  <si>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</si>
  <si>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</si>
  <si>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</si>
  <si>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</si>
  <si>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</si>
  <si>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</si>
  <si>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</si>
  <si>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</si>
  <si>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</si>
  <si>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</si>
  <si>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</si>
  <si>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</si>
  <si>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</si>
  <si>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</si>
  <si>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</si>
  <si>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</si>
  <si>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</si>
  <si>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</si>
  <si>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</si>
  <si>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</si>
  <si>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</si>
  <si>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</si>
  <si>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</si>
  <si>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</si>
  <si>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</si>
  <si>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</si>
  <si>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</si>
  <si>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</si>
  <si>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</si>
  <si>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</si>
  <si>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</si>
  <si>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</si>
  <si>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</si>
  <si>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</si>
  <si>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</si>
  <si>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</si>
  <si>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</si>
  <si>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</si>
  <si>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</si>
  <si>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</si>
  <si>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</si>
  <si>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</si>
  <si>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</si>
  <si>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</si>
  <si>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</si>
  <si>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</si>
  <si>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</si>
  <si>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</si>
  <si>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</si>
  <si>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</si>
  <si>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</si>
  <si>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</si>
  <si>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</si>
  <si>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</si>
  <si>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</si>
  <si>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</si>
  <si>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</si>
  <si>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</si>
  <si>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</si>
  <si>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</si>
  <si>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</si>
  <si>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</si>
  <si>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</si>
  <si>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</si>
  <si>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</si>
  <si>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</si>
  <si>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</si>
  <si>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</si>
  <si>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</si>
  <si>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</si>
  <si>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</si>
  <si>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</si>
  <si>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</si>
  <si>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</si>
  <si>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</si>
  <si>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</si>
  <si>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</si>
  <si>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</si>
  <si>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</si>
  <si>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</si>
  <si>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</si>
  <si>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</si>
  <si>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</si>
  <si>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</si>
  <si>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</si>
  <si>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</si>
  <si>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</si>
  <si>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</si>
  <si>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</si>
  <si>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</si>
  <si>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</si>
  <si>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</si>
  <si>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</si>
  <si>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</si>
  <si>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</si>
  <si>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</si>
  <si>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</si>
  <si>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</si>
  <si>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</si>
  <si>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</si>
  <si>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</si>
  <si>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</si>
  <si>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</si>
  <si>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</si>
  <si>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</si>
  <si>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</si>
  <si>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</si>
  <si>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</si>
  <si>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</si>
  <si>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</si>
  <si>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</si>
  <si>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</si>
  <si>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</si>
  <si>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</si>
  <si>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</si>
  <si>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</si>
  <si>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</si>
  <si>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</si>
  <si>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</si>
  <si>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</si>
  <si>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</si>
  <si>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</si>
  <si>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</si>
  <si>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</si>
  <si>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</si>
  <si>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</si>
  <si>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</si>
  <si>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</si>
  <si>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</si>
  <si>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</si>
  <si>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</si>
  <si>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</si>
  <si>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</si>
  <si>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</si>
  <si>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</si>
  <si>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</si>
  <si>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</si>
  <si>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</si>
  <si>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</si>
  <si>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</si>
  <si>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</si>
  <si>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</si>
  <si>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</si>
  <si>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</si>
  <si>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</si>
  <si>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</si>
  <si>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</si>
  <si>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</si>
  <si>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</si>
  <si>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</si>
  <si>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</si>
  <si>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</si>
  <si>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</si>
  <si>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</si>
  <si>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</si>
  <si>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</si>
  <si>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</si>
  <si>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</si>
  <si>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</si>
  <si>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</si>
  <si>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</si>
  <si>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</si>
  <si>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</si>
  <si>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</si>
  <si>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</si>
  <si>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</si>
  <si>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</si>
  <si>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</si>
  <si>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</si>
  <si>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</si>
  <si>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</si>
  <si>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</si>
  <si>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</si>
  <si>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</si>
  <si>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</si>
  <si>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</si>
  <si>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</si>
  <si>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</si>
  <si>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</si>
  <si>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</si>
  <si>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</si>
  <si>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</si>
  <si>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</si>
  <si>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</si>
  <si>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</si>
  <si>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</si>
  <si>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</si>
  <si>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</si>
  <si>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</si>
  <si>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</si>
  <si>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</si>
  <si>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</si>
  <si>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</si>
  <si>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</si>
  <si>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</si>
  <si>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</si>
  <si>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</si>
  <si>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</si>
  <si>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</si>
  <si>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</si>
  <si>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</si>
  <si>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</si>
  <si>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</si>
  <si>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</si>
  <si>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</si>
  <si>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</si>
  <si>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</si>
  <si>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</si>
  <si>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</si>
  <si>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</si>
  <si>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</si>
  <si>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</si>
  <si>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</si>
  <si>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</si>
  <si>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</si>
  <si>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</si>
  <si>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</si>
  <si>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</si>
  <si>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</si>
  <si>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</si>
  <si>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</si>
  <si>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</si>
  <si>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</si>
  <si>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</si>
  <si>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</si>
  <si>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</si>
  <si>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</si>
  <si>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</si>
  <si>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</si>
  <si>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</si>
  <si>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</si>
  <si>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</si>
  <si>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</si>
  <si>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</si>
  <si>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</si>
  <si>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</si>
  <si>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</si>
  <si>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</si>
  <si>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</si>
  <si>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</si>
  <si>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</si>
  <si>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</si>
  <si>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</si>
  <si>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</si>
  <si>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</si>
  <si>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</si>
  <si>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</si>
  <si>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</si>
  <si>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</si>
  <si>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</si>
  <si>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</si>
  <si>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</si>
  <si>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</si>
  <si>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</si>
  <si>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</si>
  <si>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</si>
  <si>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</si>
  <si>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</si>
  <si>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</si>
  <si>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</si>
  <si>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</si>
  <si>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</si>
  <si>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</si>
  <si>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</si>
  <si>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</si>
  <si>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</si>
  <si>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</si>
  <si>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</si>
  <si>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</si>
  <si>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</si>
  <si>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</si>
  <si>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</si>
  <si>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</si>
  <si>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</si>
  <si>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</si>
  <si>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</si>
  <si>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</si>
  <si>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</si>
  <si>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</si>
  <si>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</si>
  <si>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</si>
  <si>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</si>
  <si>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</si>
  <si>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</si>
  <si>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</si>
  <si>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</si>
  <si>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</si>
  <si>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</si>
  <si>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</si>
  <si>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</si>
  <si>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</si>
  <si>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</si>
  <si>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</si>
  <si>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</si>
  <si>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</si>
  <si>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</si>
  <si>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</si>
  <si>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</si>
  <si>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</si>
  <si>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</si>
  <si>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</si>
  <si>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</si>
  <si>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</si>
  <si>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</si>
  <si>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</si>
  <si>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</si>
  <si>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</si>
  <si>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</si>
  <si>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</si>
  <si>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</si>
  <si>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</si>
  <si>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</si>
  <si>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</si>
  <si>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</si>
  <si>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</si>
  <si>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</si>
  <si>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</si>
  <si>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</si>
  <si>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</si>
  <si>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</si>
  <si>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</si>
  <si>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</si>
  <si>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</si>
  <si>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</si>
  <si>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</si>
  <si>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</si>
  <si>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</si>
  <si>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</si>
  <si>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</si>
  <si>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</si>
  <si>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</si>
  <si>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</si>
  <si>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</si>
  <si>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</si>
  <si>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</si>
  <si>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</si>
  <si>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</si>
  <si>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</si>
  <si>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</si>
  <si>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</si>
  <si>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</si>
  <si>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</si>
  <si>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</si>
  <si>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</si>
  <si>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</si>
  <si>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</si>
  <si>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</si>
  <si>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</si>
  <si>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</si>
  <si>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</si>
  <si>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</si>
  <si>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</si>
  <si>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</si>
  <si>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</si>
  <si>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</si>
  <si>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</si>
  <si>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</si>
  <si>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</si>
  <si>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</si>
  <si>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</si>
  <si>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</si>
  <si>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</si>
  <si>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</si>
  <si>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</si>
  <si>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</si>
  <si>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</si>
  <si>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</si>
  <si>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</si>
  <si>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</si>
  <si>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</si>
  <si>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</si>
  <si>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</si>
  <si>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</si>
  <si>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</si>
  <si>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</si>
  <si>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</si>
  <si>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</si>
  <si>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</si>
  <si>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</si>
  <si>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</si>
  <si>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</si>
  <si>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</si>
  <si>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</si>
  <si>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</si>
  <si>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</si>
  <si>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</si>
  <si>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</si>
  <si>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</si>
  <si>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</si>
  <si>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</si>
  <si>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</si>
  <si>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</si>
  <si>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</si>
  <si>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</si>
  <si>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</si>
  <si>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</si>
  <si>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</si>
  <si>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</si>
  <si>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</si>
  <si>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</si>
  <si>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</si>
  <si>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</si>
  <si>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</si>
  <si>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</si>
  <si>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</si>
  <si>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</si>
  <si>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</si>
  <si>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</si>
  <si>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</si>
  <si>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</si>
  <si>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</si>
  <si>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</si>
  <si>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</si>
  <si>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</si>
  <si>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</si>
  <si>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</si>
  <si>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</si>
  <si>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</si>
  <si>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</si>
  <si>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</si>
  <si>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</si>
  <si>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</si>
  <si>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</si>
  <si>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</si>
  <si>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</si>
  <si>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</si>
  <si>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</si>
  <si>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</si>
  <si>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</si>
  <si>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</si>
  <si>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</si>
  <si>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</si>
  <si>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</si>
  <si>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</si>
  <si>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</si>
  <si>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</si>
  <si>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</si>
  <si>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</si>
  <si>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</si>
  <si>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</si>
  <si>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</si>
  <si>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</si>
  <si>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</si>
  <si>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</si>
  <si>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</si>
  <si>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</si>
  <si>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</si>
  <si>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</si>
  <si>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</si>
  <si>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</si>
  <si>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</si>
  <si>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</si>
  <si>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</si>
  <si>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</si>
  <si>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</si>
  <si>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</si>
  <si>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</si>
  <si>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</si>
  <si>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</si>
  <si>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</si>
  <si>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</si>
  <si>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</si>
  <si>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</si>
  <si>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</si>
  <si>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</si>
  <si>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</si>
  <si>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</si>
  <si>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</si>
  <si>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</si>
  <si>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</si>
  <si>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</si>
  <si>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</si>
  <si>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</si>
  <si>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</si>
  <si>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</si>
  <si>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</si>
  <si>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</si>
  <si>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</si>
  <si>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</si>
  <si>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</si>
  <si>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</si>
  <si>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</si>
  <si>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</si>
  <si>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</si>
  <si>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</si>
  <si>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</si>
  <si>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</si>
  <si>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</si>
  <si>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</si>
  <si>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</si>
  <si>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</si>
  <si>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</si>
  <si>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</si>
  <si>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</si>
  <si>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</si>
  <si>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</si>
  <si>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</si>
  <si>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</si>
  <si>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</si>
  <si>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</si>
  <si>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</si>
  <si>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</si>
  <si>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</si>
  <si>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</si>
  <si>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</si>
  <si>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</si>
  <si>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</si>
  <si>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</si>
  <si>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</si>
  <si>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</si>
  <si>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</si>
  <si>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</si>
  <si>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</si>
  <si>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</si>
  <si>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</si>
  <si>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</si>
  <si>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</si>
  <si>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</si>
  <si>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</si>
  <si>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</si>
  <si>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</si>
  <si>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</si>
  <si>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</si>
  <si>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</si>
  <si>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</si>
  <si>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</si>
  <si>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</si>
  <si>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</si>
  <si>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</si>
  <si>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</si>
  <si>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</si>
  <si>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</si>
  <si>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</si>
  <si>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</si>
  <si>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</si>
  <si>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</si>
  <si>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</si>
  <si>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</si>
  <si>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</si>
  <si>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</si>
  <si>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</si>
  <si>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</si>
  <si>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</si>
  <si>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</si>
  <si>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</si>
  <si>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</si>
  <si>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</si>
  <si>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</si>
  <si>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</si>
  <si>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</si>
  <si>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</si>
  <si>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</si>
  <si>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</si>
  <si>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</si>
  <si>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</si>
  <si>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</si>
  <si>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</si>
  <si>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</si>
  <si>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</si>
  <si>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</si>
  <si>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</si>
  <si>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</si>
  <si>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</si>
  <si>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</si>
  <si>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</si>
  <si>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</si>
  <si>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</si>
  <si>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</si>
  <si>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</si>
  <si>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</si>
  <si>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</si>
  <si>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</si>
  <si>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</si>
  <si>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</si>
  <si>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</si>
  <si>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</si>
  <si>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</si>
  <si>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</si>
  <si>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</si>
  <si>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</si>
  <si>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</si>
  <si>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</si>
  <si>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</si>
  <si>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</si>
  <si>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</si>
  <si>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</si>
  <si>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</si>
  <si>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</si>
  <si>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</si>
  <si>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</si>
  <si>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</si>
  <si>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</si>
  <si>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</si>
  <si>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</si>
  <si>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</si>
  <si>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</si>
  <si>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</si>
  <si>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</si>
  <si>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</si>
  <si>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</si>
  <si>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</si>
  <si>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</si>
  <si>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</si>
  <si>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</si>
  <si>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</si>
  <si>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</si>
  <si>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</si>
  <si>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</si>
  <si>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</si>
  <si>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</si>
  <si>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</si>
  <si>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</si>
  <si>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</si>
  <si>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</si>
  <si>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</si>
  <si>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</si>
  <si>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</si>
  <si>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</si>
  <si>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</si>
  <si>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</si>
  <si>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</si>
  <si>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</si>
  <si>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</si>
  <si>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</si>
  <si>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</si>
  <si>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</si>
  <si>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</si>
  <si>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</si>
  <si>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</si>
  <si>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</si>
  <si>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</si>
  <si>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</si>
  <si>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</si>
  <si>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</si>
  <si>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</si>
  <si>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</si>
  <si>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</si>
  <si>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</si>
  <si>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</si>
  <si>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</si>
  <si>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</si>
  <si>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</si>
  <si>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</si>
  <si>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</si>
  <si>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</si>
  <si>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</si>
  <si>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</si>
  <si>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</si>
  <si>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</si>
  <si>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</si>
  <si>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</si>
  <si>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</si>
  <si>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</si>
  <si>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</si>
  <si>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</si>
  <si>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</si>
  <si>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</si>
  <si>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</si>
  <si>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</si>
  <si>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</si>
  <si>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</si>
  <si>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</si>
  <si>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</si>
  <si>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</si>
  <si>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</si>
  <si>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</si>
  <si>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</si>
  <si>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</si>
  <si>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</si>
  <si>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</si>
  <si>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</si>
  <si>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</si>
  <si>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</si>
  <si>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</si>
  <si>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</si>
  <si>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</si>
  <si>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</si>
  <si>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</si>
  <si>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</si>
  <si>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</si>
  <si>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</si>
  <si>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</si>
  <si>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</si>
  <si>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</si>
  <si>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</si>
  <si>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</si>
  <si>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</si>
  <si>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</si>
  <si>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</si>
  <si>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</si>
  <si>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</si>
  <si>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</si>
  <si>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</si>
  <si>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</si>
  <si>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</si>
  <si>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</si>
  <si>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</si>
  <si>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</si>
  <si>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</si>
  <si>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</si>
  <si>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</si>
  <si>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</si>
  <si>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</si>
  <si>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</si>
  <si>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</si>
  <si>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</si>
  <si>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</si>
  <si>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</si>
  <si>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</si>
  <si>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</si>
  <si>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</si>
  <si>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</si>
  <si>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</si>
  <si>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</si>
  <si>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</si>
  <si>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</si>
  <si>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</si>
  <si>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</si>
  <si>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</si>
  <si>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</si>
  <si>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</si>
  <si>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</si>
  <si>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</si>
  <si>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</si>
  <si>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</si>
  <si>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</si>
  <si>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</si>
  <si>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</si>
  <si>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</si>
  <si>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</si>
  <si>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</si>
  <si>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</si>
  <si>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</si>
  <si>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</si>
  <si>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</si>
  <si>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</si>
  <si>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</si>
  <si>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</si>
  <si>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</si>
  <si>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</si>
  <si>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</si>
  <si>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</si>
  <si>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</si>
  <si>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</si>
  <si>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</si>
  <si>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</si>
  <si>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</si>
  <si>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</si>
  <si>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</si>
  <si>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</si>
  <si>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</si>
  <si>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</si>
  <si>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</si>
  <si>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</si>
  <si>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</si>
  <si>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</si>
  <si>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</si>
  <si>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</si>
  <si>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</si>
  <si>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</si>
  <si>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</si>
  <si>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</si>
  <si>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</si>
  <si>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</si>
  <si>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</si>
  <si>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</si>
  <si>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</si>
  <si>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</si>
  <si>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</si>
  <si>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</si>
  <si>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</si>
  <si>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</si>
  <si>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</si>
  <si>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</si>
  <si>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</si>
  <si>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</si>
  <si>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</si>
  <si>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</si>
  <si>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</si>
  <si>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</si>
  <si>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</si>
  <si>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</si>
  <si>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</si>
  <si>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</si>
  <si>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</si>
  <si>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</si>
  <si>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</si>
  <si>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</si>
  <si>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</si>
  <si>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</si>
  <si>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</si>
  <si>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</si>
  <si>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</si>
  <si>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</si>
  <si>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</si>
  <si>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</si>
  <si>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</si>
  <si>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</si>
  <si>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</si>
  <si>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</si>
  <si>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</si>
  <si>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</si>
  <si>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</si>
  <si>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</si>
  <si>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</si>
  <si>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</si>
  <si>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</si>
  <si>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</si>
  <si>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</si>
  <si>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</si>
  <si>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</si>
  <si>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</si>
  <si>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</si>
  <si>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</si>
  <si>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</si>
  <si>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</si>
  <si>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</si>
  <si>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</si>
  <si>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</si>
  <si>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</si>
  <si>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</si>
  <si>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</si>
  <si>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</si>
  <si>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</si>
  <si>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</si>
  <si>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</si>
  <si>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</si>
  <si>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</si>
  <si>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</si>
  <si>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</si>
  <si>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</si>
  <si>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</si>
  <si>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</si>
  <si>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</si>
  <si>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</si>
  <si>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</si>
  <si>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</si>
  <si>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</si>
  <si>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</si>
  <si>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</si>
  <si>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</si>
  <si>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</si>
  <si>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</si>
  <si>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</si>
  <si>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</si>
  <si>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</si>
  <si>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</si>
  <si>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</si>
  <si>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</si>
  <si>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</si>
  <si>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</si>
  <si>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</si>
  <si>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</si>
  <si>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</si>
  <si>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</si>
  <si>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</si>
  <si>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</si>
  <si>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</si>
  <si>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</si>
  <si>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</si>
  <si>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</si>
  <si>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</si>
  <si>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</si>
  <si>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</si>
  <si>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</si>
  <si>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</si>
  <si>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</si>
  <si>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</si>
  <si>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</si>
  <si>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</si>
  <si>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</si>
  <si>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</si>
  <si>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</si>
  <si>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</si>
  <si>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</si>
  <si>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</si>
  <si>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</si>
  <si>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</si>
  <si>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</si>
  <si>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</si>
  <si>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</si>
  <si>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</si>
  <si>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</si>
  <si>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</si>
  <si>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</si>
  <si>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</si>
  <si>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</si>
  <si>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</si>
  <si>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</si>
  <si>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</si>
  <si>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</si>
  <si>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</si>
  <si>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</si>
  <si>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</si>
  <si>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</si>
  <si>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</si>
  <si>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</si>
  <si>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</si>
  <si>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</si>
  <si>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</si>
  <si>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</si>
  <si>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</si>
  <si>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</si>
  <si>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</si>
  <si>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</si>
  <si>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</si>
  <si>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</si>
  <si>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</si>
  <si>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</si>
  <si>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</si>
  <si>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</si>
  <si>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</si>
  <si>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</si>
  <si>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</si>
  <si>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</si>
  <si>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</si>
  <si>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</si>
  <si>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</si>
  <si>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</si>
  <si>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</si>
  <si>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</si>
  <si>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</si>
  <si>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</si>
  <si>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</si>
  <si>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</si>
  <si>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</si>
  <si>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</si>
  <si>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</si>
  <si>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</si>
  <si>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</si>
  <si>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</si>
  <si>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</si>
  <si>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</si>
  <si>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</si>
  <si>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</si>
  <si>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</si>
  <si>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</si>
  <si>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</si>
  <si>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</si>
  <si>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</si>
  <si>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</si>
  <si>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</si>
  <si>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</si>
  <si>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</si>
  <si>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</si>
  <si>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</si>
  <si>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</si>
  <si>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</si>
  <si>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</si>
  <si>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</si>
  <si>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</si>
  <si>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</si>
  <si>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</si>
  <si>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</si>
  <si>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</si>
  <si>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</si>
  <si>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</si>
  <si>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</si>
  <si>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</si>
  <si>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</si>
  <si>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</si>
  <si>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</si>
  <si>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</si>
  <si>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</si>
  <si>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</si>
  <si>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</si>
  <si>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</si>
  <si>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</si>
  <si>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</si>
  <si>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</si>
  <si>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</si>
  <si>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</si>
  <si>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</si>
  <si>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</si>
  <si>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</si>
  <si>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</si>
  <si>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</si>
  <si>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</si>
  <si>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</si>
  <si>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</si>
  <si>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</si>
  <si>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</si>
  <si>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</si>
  <si>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</si>
  <si>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</si>
  <si>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</si>
  <si>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</si>
  <si>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</si>
  <si>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</si>
  <si>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</si>
  <si>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</si>
  <si>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</si>
  <si>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</si>
  <si>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</si>
  <si>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</si>
  <si>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</si>
  <si>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</si>
  <si>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</si>
  <si>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</si>
  <si>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</si>
  <si>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</si>
  <si>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</si>
  <si>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</si>
  <si>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</si>
  <si>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</si>
  <si>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</si>
  <si>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</si>
  <si>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</si>
  <si>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</si>
  <si>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</si>
  <si>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</si>
  <si>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</si>
  <si>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</si>
  <si>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</si>
  <si>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</si>
  <si>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</si>
  <si>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</si>
  <si>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</si>
  <si>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</si>
  <si>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</si>
  <si>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</si>
  <si>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</si>
  <si>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</si>
  <si>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</si>
  <si>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</si>
  <si>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</si>
  <si>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</si>
  <si>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</si>
  <si>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</si>
  <si>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</si>
  <si>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</si>
  <si>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</si>
  <si>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</si>
  <si>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</si>
  <si>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</si>
  <si>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</si>
  <si>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</si>
  <si>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</si>
  <si>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</si>
  <si>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</si>
  <si>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</si>
  <si>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</si>
  <si>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</si>
  <si>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</si>
  <si>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</si>
  <si>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</si>
  <si>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</si>
  <si>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</si>
  <si>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</si>
  <si>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</si>
  <si>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</si>
  <si>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</si>
  <si>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</si>
  <si>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</si>
  <si>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</si>
  <si>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</si>
  <si>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</si>
  <si>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</si>
  <si>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</si>
  <si>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</si>
  <si>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</si>
  <si>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</si>
  <si>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</si>
  <si>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</si>
  <si>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</si>
  <si>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</si>
  <si>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</si>
  <si>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</si>
  <si>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</si>
  <si>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</si>
  <si>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</si>
  <si>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</si>
  <si>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</si>
  <si>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</si>
  <si>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</si>
  <si>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</si>
  <si>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</si>
  <si>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</si>
  <si>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</si>
  <si>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</si>
  <si>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</si>
  <si>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</si>
  <si>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</si>
  <si>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</si>
  <si>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</si>
  <si>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</si>
  <si>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</si>
  <si>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</si>
  <si>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</si>
  <si>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</si>
  <si>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</si>
  <si>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</si>
  <si>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</si>
  <si>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</si>
  <si>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</si>
  <si>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</si>
  <si>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</si>
  <si>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</si>
  <si>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</si>
  <si>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</si>
  <si>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</si>
  <si>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</si>
  <si>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</si>
  <si>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</si>
  <si>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</si>
  <si>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</si>
  <si>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</si>
  <si>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</si>
  <si>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</si>
  <si>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</si>
  <si>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</si>
  <si>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</si>
  <si>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</si>
  <si>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</si>
  <si>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</si>
  <si>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</si>
  <si>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</si>
  <si>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</si>
  <si>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</si>
  <si>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</si>
  <si>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</si>
  <si>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</si>
  <si>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</si>
  <si>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</si>
  <si>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</si>
  <si>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</si>
  <si>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</si>
  <si>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</si>
  <si>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</si>
  <si>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</si>
  <si>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</si>
  <si>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</si>
  <si>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</si>
  <si>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</si>
  <si>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</si>
  <si>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</si>
  <si>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</si>
  <si>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</si>
  <si>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</si>
  <si>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</si>
  <si>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</si>
  <si>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</si>
  <si>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</si>
  <si>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</si>
  <si>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</si>
  <si>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</si>
  <si>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</si>
  <si>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</si>
  <si>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</si>
  <si>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</si>
  <si>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</si>
  <si>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</si>
  <si>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</si>
  <si>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</si>
  <si>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</si>
  <si>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</si>
  <si>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</si>
  <si>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</si>
  <si>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</si>
  <si>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</si>
  <si>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</si>
  <si>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</si>
  <si>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</si>
  <si>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</si>
  <si>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</si>
  <si>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</si>
  <si>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</si>
  <si>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</si>
  <si>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</si>
  <si>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</si>
  <si>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</si>
  <si>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</si>
  <si>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</si>
  <si>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</si>
  <si>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</si>
  <si>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</si>
  <si>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</si>
  <si>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</si>
  <si>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</si>
  <si>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</si>
  <si>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</si>
  <si>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</si>
  <si>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</si>
  <si>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</si>
  <si>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</si>
  <si>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</si>
  <si>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</si>
  <si>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</si>
  <si>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</si>
  <si>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</si>
  <si>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</si>
  <si>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</si>
  <si>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</si>
  <si>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</si>
  <si>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</si>
  <si>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</si>
  <si>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</si>
  <si>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</si>
  <si>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</si>
  <si>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</si>
  <si>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</si>
  <si>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</si>
  <si>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</si>
  <si>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</si>
  <si>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</si>
  <si>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</si>
  <si>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</si>
  <si>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</si>
  <si>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</si>
  <si>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</si>
  <si>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</si>
  <si>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</si>
  <si>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</si>
  <si>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</si>
  <si>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</si>
  <si>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</si>
  <si>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</si>
  <si>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</si>
  <si>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</si>
  <si>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</si>
  <si>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</si>
  <si>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</si>
  <si>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</si>
  <si>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</si>
  <si>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</si>
  <si>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</si>
  <si>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</si>
  <si>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</si>
  <si>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</si>
  <si>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</si>
  <si>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</si>
  <si>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</si>
  <si>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</si>
  <si>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</si>
  <si>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</si>
  <si>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</si>
  <si>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</si>
  <si>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</si>
  <si>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</si>
  <si>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</si>
  <si>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</si>
  <si>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</si>
  <si>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</si>
  <si>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</si>
  <si>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</si>
  <si>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</si>
  <si>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</si>
  <si>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</si>
  <si>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</si>
  <si>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</si>
  <si>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</si>
  <si>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</si>
  <si>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</si>
  <si>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</si>
  <si>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</si>
  <si>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</si>
  <si>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</si>
  <si>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</si>
  <si>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</si>
  <si>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</si>
  <si>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</si>
  <si>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</si>
  <si>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</si>
  <si>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</si>
  <si>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</si>
  <si>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</si>
  <si>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</si>
  <si>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</si>
  <si>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</si>
  <si>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</si>
  <si>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</si>
  <si>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</si>
  <si>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</si>
  <si>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</si>
  <si>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</si>
  <si>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</si>
  <si>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</si>
  <si>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</si>
  <si>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</si>
  <si>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</si>
  <si>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</si>
  <si>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</si>
  <si>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</si>
  <si>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</si>
  <si>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</si>
  <si>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</si>
  <si>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</si>
  <si>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</si>
  <si>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</si>
  <si>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</si>
  <si>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</si>
  <si>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</si>
  <si>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</si>
  <si>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</si>
  <si>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</si>
  <si>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</si>
  <si>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</si>
  <si>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</si>
  <si>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</si>
  <si>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</si>
  <si>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</si>
  <si>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</si>
  <si>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</si>
  <si>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</si>
  <si>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</si>
  <si>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</si>
  <si>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</si>
  <si>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</si>
  <si>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</si>
  <si>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</si>
  <si>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</si>
  <si>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</si>
  <si>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</si>
  <si>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</si>
  <si>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</si>
  <si>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</si>
  <si>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</si>
  <si>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</si>
  <si>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</si>
  <si>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</si>
  <si>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</si>
  <si>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</si>
  <si>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</si>
  <si>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</si>
  <si>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</si>
  <si>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</si>
  <si>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</si>
  <si>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</si>
  <si>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</si>
  <si>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</si>
  <si>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</si>
  <si>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</si>
  <si>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</si>
  <si>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</si>
  <si>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</si>
  <si>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</si>
  <si>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</si>
  <si>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</si>
  <si>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</si>
  <si>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</si>
  <si>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</si>
  <si>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</si>
  <si>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</si>
  <si>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</si>
  <si>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</si>
  <si>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</si>
  <si>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</si>
  <si>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</si>
  <si>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</si>
  <si>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</si>
  <si>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</si>
  <si>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</si>
  <si>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</si>
  <si>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</si>
  <si>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</si>
  <si>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</si>
  <si>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</si>
  <si>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</si>
  <si>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</si>
  <si>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</si>
  <si>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</si>
  <si>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</si>
  <si>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</si>
  <si>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</si>
  <si>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</si>
  <si>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</si>
  <si>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</si>
  <si>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</si>
  <si>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</si>
  <si>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</si>
  <si>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</si>
  <si>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</si>
  <si>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</si>
  <si>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</si>
  <si>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</si>
  <si>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</si>
  <si>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</si>
  <si>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</si>
  <si>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</si>
  <si>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</si>
  <si>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</si>
  <si>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</si>
  <si>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</si>
  <si>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</si>
  <si>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</si>
  <si>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</si>
  <si>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</si>
  <si>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</si>
  <si>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</si>
  <si>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</si>
  <si>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</si>
  <si>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</si>
  <si>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</si>
  <si>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</si>
  <si>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</si>
  <si>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</si>
  <si>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</si>
  <si>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</si>
  <si>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</si>
  <si>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</si>
  <si>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</si>
  <si>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</si>
  <si>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</si>
  <si>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</si>
  <si>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</si>
  <si>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</si>
  <si>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</si>
  <si>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</si>
  <si>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</si>
  <si>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</si>
  <si>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</si>
  <si>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</si>
  <si>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</si>
  <si>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</si>
  <si>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</si>
  <si>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</si>
  <si>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</si>
  <si>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</si>
  <si>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</si>
  <si>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</si>
  <si>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</si>
  <si>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</si>
  <si>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</si>
  <si>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</si>
  <si>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</si>
  <si>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</si>
  <si>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</si>
  <si>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</si>
  <si>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</si>
  <si>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</si>
  <si>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</si>
  <si>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</si>
  <si>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</si>
  <si>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</si>
  <si>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</si>
  <si>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</si>
  <si>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</si>
  <si>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</si>
  <si>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</si>
  <si>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</si>
  <si>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</si>
  <si>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</si>
  <si>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</si>
  <si>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</si>
  <si>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</si>
  <si>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</si>
  <si>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</si>
  <si>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</si>
  <si>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</si>
  <si>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</si>
  <si>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</si>
  <si>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</si>
  <si>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</si>
  <si>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</si>
  <si>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</si>
  <si>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</si>
  <si>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</si>
  <si>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</si>
  <si>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</si>
  <si>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</si>
  <si>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</si>
  <si>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</si>
  <si>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</si>
  <si>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</si>
  <si>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</si>
  <si>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</si>
  <si>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</si>
  <si>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</si>
  <si>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</si>
  <si>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</si>
  <si>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</si>
  <si>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</si>
  <si>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</si>
  <si>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</si>
  <si>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</si>
  <si>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</si>
  <si>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</si>
  <si>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</si>
  <si>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</si>
  <si>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</si>
  <si>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</si>
  <si>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</si>
  <si>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</si>
  <si>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</si>
  <si>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</si>
  <si>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</si>
  <si>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</si>
  <si>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</si>
  <si>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</si>
  <si>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</si>
  <si>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</si>
  <si>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</si>
  <si>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</si>
  <si>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</si>
  <si>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</si>
  <si>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</si>
  <si>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</si>
  <si>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</si>
  <si>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</si>
  <si>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</si>
  <si>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</si>
  <si>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</si>
  <si>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</si>
  <si>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</si>
  <si>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</si>
  <si>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</si>
  <si>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</si>
  <si>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</si>
  <si>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</si>
  <si>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</si>
  <si>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</si>
  <si>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</si>
  <si>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</si>
  <si>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</si>
  <si>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</si>
  <si>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</si>
  <si>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</si>
  <si>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</si>
  <si>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</si>
  <si>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</si>
  <si>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</si>
  <si>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</si>
  <si>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</si>
  <si>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</si>
  <si>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</si>
  <si>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</si>
  <si>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</si>
  <si>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</si>
  <si>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</si>
  <si>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</si>
  <si>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</si>
  <si>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</si>
  <si>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</si>
  <si>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</si>
  <si>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</si>
  <si>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</si>
  <si>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</si>
  <si>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</si>
  <si>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</si>
  <si>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</si>
  <si>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</si>
  <si>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</si>
  <si>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</si>
  <si>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</si>
  <si>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</si>
  <si>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</si>
  <si>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</si>
  <si>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</si>
  <si>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</si>
  <si>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</si>
  <si>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</si>
  <si>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</si>
  <si>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</si>
  <si>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</si>
  <si>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</si>
  <si>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</si>
  <si>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</si>
  <si>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</si>
  <si>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</si>
  <si>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</si>
  <si>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</si>
  <si>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</si>
  <si>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</si>
  <si>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</si>
  <si>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</si>
  <si>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</si>
  <si>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</si>
  <si>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</si>
  <si>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</si>
  <si>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</si>
  <si>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</si>
  <si>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</si>
  <si>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</si>
  <si>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</si>
  <si>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</si>
  <si>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</si>
  <si>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</si>
  <si>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</si>
  <si>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</si>
  <si>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</si>
  <si>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</si>
  <si>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</si>
  <si>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</si>
  <si>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</si>
  <si>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</si>
  <si>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</si>
  <si>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</si>
  <si>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</si>
  <si>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</si>
  <si>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</si>
  <si>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</si>
  <si>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</si>
  <si>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</si>
  <si>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</si>
  <si>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</si>
  <si>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</si>
  <si>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</si>
  <si>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</si>
  <si>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</si>
  <si>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</si>
  <si>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</si>
  <si>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</si>
  <si>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</si>
  <si>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</si>
  <si>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</si>
  <si>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</si>
  <si>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</si>
  <si>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</si>
  <si>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</si>
  <si>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</si>
  <si>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</si>
  <si>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</si>
  <si>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</si>
  <si>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</si>
  <si>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</si>
  <si>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</si>
  <si>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</si>
  <si>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</si>
  <si>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</si>
  <si>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</si>
  <si>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</si>
  <si>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</si>
  <si>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</si>
  <si>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</si>
  <si>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</si>
  <si>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</si>
  <si>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</si>
  <si>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</si>
  <si>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</si>
  <si>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</si>
  <si>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</si>
  <si>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</si>
  <si>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</si>
  <si>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</si>
  <si>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</si>
  <si>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</si>
  <si>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</si>
  <si>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</si>
  <si>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</si>
  <si>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</si>
  <si>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</si>
  <si>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</si>
  <si>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</si>
  <si>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</si>
  <si>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</si>
  <si>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</si>
  <si>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</si>
  <si>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</si>
  <si>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</si>
  <si>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</si>
  <si>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</si>
  <si>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</si>
  <si>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</si>
  <si>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</si>
  <si>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</si>
  <si>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</si>
  <si>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</si>
  <si>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</si>
  <si>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</si>
  <si>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</si>
  <si>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</si>
  <si>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</si>
  <si>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</si>
  <si>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</si>
  <si>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</si>
  <si>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</si>
  <si>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</si>
  <si>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</si>
  <si>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</si>
  <si>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</si>
  <si>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</si>
  <si>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</si>
  <si>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</si>
  <si>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</si>
  <si>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</si>
  <si>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</si>
  <si>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</si>
  <si>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</si>
  <si>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</si>
  <si>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</si>
  <si>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</si>
  <si>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</si>
  <si>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</si>
  <si>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</si>
  <si>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</si>
  <si>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</si>
  <si>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</si>
  <si>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</si>
  <si>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</si>
  <si>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</si>
  <si>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</si>
  <si>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</si>
  <si>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</si>
  <si>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</si>
  <si>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</si>
  <si>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</si>
  <si>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</si>
  <si>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</si>
  <si>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</si>
  <si>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</si>
  <si>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</si>
  <si>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</si>
  <si>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</si>
  <si>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</si>
  <si>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</si>
  <si>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</si>
  <si>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</si>
  <si>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</si>
  <si>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</si>
  <si>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</si>
  <si>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</si>
  <si>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</si>
  <si>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</si>
  <si>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</si>
  <si>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</si>
  <si>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</si>
  <si>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</si>
  <si>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</si>
  <si>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</si>
  <si>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</si>
  <si>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</si>
  <si>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</si>
  <si>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</si>
  <si>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</si>
  <si>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</si>
  <si>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</si>
  <si>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</si>
  <si>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</si>
  <si>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</si>
  <si>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</si>
  <si>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</si>
  <si>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</si>
  <si>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</si>
  <si>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</si>
  <si>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</si>
  <si>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</si>
  <si>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</si>
  <si>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</si>
  <si>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</si>
  <si>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</si>
  <si>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</si>
  <si>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</si>
  <si>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</si>
  <si>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</si>
  <si>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</si>
  <si>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</si>
  <si>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</si>
  <si>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</si>
  <si>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</si>
  <si>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</si>
  <si>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</si>
  <si>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</si>
  <si>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</si>
  <si>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</si>
  <si>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</si>
  <si>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</si>
  <si>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</si>
  <si>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</si>
  <si>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</si>
  <si>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</si>
  <si>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</si>
  <si>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</si>
  <si>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</si>
  <si>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</si>
  <si>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</si>
  <si>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</si>
  <si>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</si>
  <si>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</si>
  <si>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</si>
  <si>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</si>
  <si>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</si>
  <si>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</si>
  <si>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</si>
  <si>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</si>
  <si>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</si>
  <si>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</si>
  <si>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</si>
  <si>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</si>
  <si>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</si>
  <si>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</si>
  <si>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</si>
  <si>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</si>
  <si>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</si>
  <si>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</si>
  <si>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</si>
  <si>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</si>
  <si>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</si>
  <si>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</si>
  <si>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</si>
  <si>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</si>
  <si>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</si>
  <si>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</si>
  <si>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</si>
  <si>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</si>
  <si>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</si>
  <si>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</si>
  <si>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</si>
  <si>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</si>
  <si>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</si>
  <si>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</si>
  <si>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</si>
  <si>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</si>
  <si>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</si>
  <si>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</si>
  <si>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</si>
  <si>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</si>
  <si>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</si>
  <si>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</si>
  <si>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</si>
  <si>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</si>
  <si>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</si>
  <si>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</si>
  <si>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</si>
  <si>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</si>
  <si>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</si>
  <si>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</si>
  <si>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</si>
  <si>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</si>
  <si>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</si>
  <si>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</si>
  <si>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</si>
  <si>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</si>
  <si>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</si>
  <si>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</si>
  <si>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</si>
  <si>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</si>
  <si>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</si>
  <si>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</si>
  <si>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</si>
  <si>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</si>
  <si>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</si>
  <si>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</si>
  <si>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</si>
  <si>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</si>
  <si>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</si>
  <si>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</si>
  <si>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</si>
  <si>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</si>
  <si>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</si>
  <si>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</si>
  <si>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</si>
  <si>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</si>
  <si>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</si>
  <si>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</si>
  <si>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</si>
  <si>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</si>
  <si>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</si>
  <si>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</si>
  <si>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</si>
  <si>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</si>
  <si>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</si>
  <si>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</si>
  <si>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</si>
  <si>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</si>
  <si>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</si>
  <si>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</si>
  <si>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</si>
  <si>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</si>
  <si>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</si>
  <si>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</si>
  <si>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</si>
  <si>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</si>
  <si>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</si>
  <si>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</si>
  <si>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</si>
  <si>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</si>
  <si>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</si>
  <si>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</si>
  <si>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</si>
  <si>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</si>
  <si>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</si>
  <si>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</si>
  <si>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</si>
  <si>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</si>
  <si>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</si>
  <si>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</si>
  <si>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</si>
  <si>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</si>
  <si>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</si>
  <si>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</si>
  <si>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</si>
  <si>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</si>
  <si>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</si>
  <si>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</si>
  <si>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</si>
  <si>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</si>
  <si>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</si>
  <si>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</si>
  <si>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</si>
  <si>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</si>
  <si>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</si>
  <si>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</si>
  <si>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</si>
  <si>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</si>
  <si>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</si>
  <si>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</si>
  <si>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</si>
  <si>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</si>
  <si>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</si>
  <si>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</si>
  <si>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</si>
  <si>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</si>
  <si>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</si>
  <si>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</si>
  <si>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</si>
  <si>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</si>
  <si>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</si>
  <si>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</si>
  <si>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</si>
  <si>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</si>
  <si>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</si>
  <si>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</si>
  <si>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</si>
  <si>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</si>
  <si>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</si>
  <si>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</si>
  <si>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</si>
  <si>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</si>
  <si>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</si>
  <si>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</si>
  <si>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</si>
  <si>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</si>
  <si>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</si>
  <si>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</si>
  <si>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</si>
  <si>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</si>
  <si>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</si>
  <si>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</si>
  <si>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</si>
  <si>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</si>
  <si>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</si>
  <si>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</si>
  <si>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</si>
  <si>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</si>
  <si>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</si>
  <si>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</si>
  <si>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</si>
  <si>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</si>
  <si>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</si>
  <si>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</si>
  <si>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</si>
  <si>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</si>
  <si>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</si>
  <si>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</si>
  <si>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</si>
  <si>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</si>
  <si>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</si>
  <si>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</si>
  <si>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</si>
  <si>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</si>
  <si>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</si>
  <si>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</si>
  <si>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</si>
  <si>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</si>
  <si>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</si>
  <si>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</si>
  <si>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</si>
  <si>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</si>
  <si>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</si>
  <si>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</si>
  <si>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</si>
  <si>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</si>
  <si>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</si>
  <si>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</si>
  <si>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</si>
  <si>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</si>
  <si>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</si>
  <si>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</si>
  <si>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</si>
  <si>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</si>
  <si>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</si>
  <si>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</si>
  <si>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</si>
  <si>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</si>
  <si>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</si>
  <si>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</si>
  <si>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</si>
  <si>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</si>
  <si>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</si>
  <si>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</si>
  <si>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</si>
  <si>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</si>
  <si>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</si>
  <si>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</si>
  <si>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</si>
  <si>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</si>
  <si>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</si>
  <si>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</si>
  <si>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</si>
  <si>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</si>
  <si>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</si>
  <si>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</si>
  <si>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</si>
  <si>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</si>
  <si>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</si>
  <si>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</si>
  <si>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</si>
  <si>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</si>
  <si>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</si>
  <si>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</si>
  <si>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</si>
  <si>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</si>
  <si>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</si>
  <si>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</si>
  <si>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</si>
  <si>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</si>
  <si>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</si>
  <si>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</si>
  <si>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</si>
  <si>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</si>
  <si>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</si>
  <si>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</si>
  <si>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</si>
  <si>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</si>
  <si>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</si>
  <si>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</si>
  <si>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</si>
  <si>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</si>
  <si>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</si>
  <si>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</si>
  <si>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</si>
  <si>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</si>
  <si>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</si>
  <si>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</si>
  <si>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</si>
  <si>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</si>
  <si>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</si>
  <si>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</si>
  <si>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</si>
  <si>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</si>
  <si>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</si>
  <si>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</si>
  <si>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</si>
  <si>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</si>
  <si>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</si>
  <si>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</si>
  <si>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</si>
  <si>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</si>
  <si>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</si>
  <si>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</si>
  <si>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</si>
  <si>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</si>
  <si>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</si>
  <si>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</si>
  <si>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</si>
  <si>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[kg/m2*d]</t>
  </si>
  <si>
    <t>search for source</t>
  </si>
  <si>
    <t>[fraction]</t>
  </si>
  <si>
    <t xml:space="preserve">operating pressures </t>
  </si>
  <si>
    <t xml:space="preserve">operating temperatures </t>
  </si>
  <si>
    <t>area in m2</t>
  </si>
  <si>
    <t>VEGGIE</t>
  </si>
  <si>
    <t>Mission selection (for ESM factors in user interface)</t>
  </si>
  <si>
    <t>Technology type (for "type" in Technology)</t>
  </si>
  <si>
    <t>Exclude tech before year:</t>
  </si>
  <si>
    <t>Year</t>
  </si>
  <si>
    <t>CH4</t>
  </si>
  <si>
    <t>SODASORB</t>
  </si>
  <si>
    <t>SUPEROXIDES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</si>
</sst>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1">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
      <patternFill patternType="solid">
        <fgColor theme="8" tint="0.59999389629810485"/>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901">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0" fontId="0" fillId="0" borderId="2" xfId="0" applyBorder="1" applyAlignment="1">
      <alignment vertical="top" wrapText="1"/>
    </xf>
    <xf numFmtId="0" fontId="0" fillId="6" borderId="0" xfId="0" applyFill="1" applyAlignment="1">
      <alignment vertical="top" wrapText="1"/>
    </xf>
    <xf numFmtId="0" fontId="0" fillId="5" borderId="0" xfId="0" applyFill="1" applyAlignment="1">
      <alignment vertical="top" wrapText="1"/>
    </xf>
    <xf numFmtId="0" fontId="0" fillId="5" borderId="0" xfId="0" applyFill="1" applyAlignment="1">
      <alignment horizontal="center" vertical="top" wrapText="1"/>
    </xf>
    <xf numFmtId="0" fontId="0" fillId="0" borderId="3" xfId="0" applyBorder="1" applyAlignment="1">
      <alignment horizontal="center" vertical="top" wrapText="1"/>
    </xf>
    <xf numFmtId="0" fontId="0" fillId="4" borderId="0" xfId="0" applyFill="1" applyAlignment="1">
      <alignment horizontal="center" vertical="center" wrapText="1"/>
    </xf>
    <xf numFmtId="0" fontId="0" fillId="27" borderId="0" xfId="0" applyFill="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xf numFmtId="2" fontId="52" fillId="10" borderId="0" xfId="0" applyNumberFormat="1" applyFont="1" applyFill="1" applyAlignment="1">
      <alignment horizontal="center"/>
    </xf>
    <xf numFmtId="165" fontId="0" fillId="0" borderId="12" xfId="0" applyNumberFormat="1" applyBorder="1" applyAlignment="1">
      <alignment horizontal="left"/>
    </xf>
    <xf numFmtId="165" fontId="0" fillId="58" borderId="12" xfId="0" applyNumberFormat="1" applyFill="1" applyBorder="1" applyAlignment="1">
      <alignment horizontal="left"/>
    </xf>
    <xf numFmtId="165" fontId="0" fillId="58" borderId="11" xfId="0" applyNumberFormat="1" applyFill="1" applyBorder="1" applyAlignment="1">
      <alignment horizontal="left"/>
    </xf>
    <xf numFmtId="165" fontId="0" fillId="0" borderId="11" xfId="0" applyNumberFormat="1" applyBorder="1" applyAlignment="1">
      <alignment horizontal="left"/>
    </xf>
    <xf numFmtId="0" fontId="0" fillId="20" borderId="0" xfId="0" applyFill="1" applyAlignment="1">
      <alignment vertical="top"/>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0" fillId="10" borderId="0" xfId="0" applyNumberFormat="1" applyFill="1" applyAlignment="1">
      <alignment horizontal="center"/>
    </xf>
    <xf numFmtId="0" fontId="0" fillId="10" borderId="0" xfId="0" applyFill="1" applyAlignment="1">
      <alignment horizontal="left" vertical="top"/>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2" fillId="10" borderId="0" xfId="0" applyNumberFormat="1" applyFont="1" applyFill="1" applyAlignment="1">
      <alignment horizontal="right"/>
    </xf>
    <xf numFmtId="0" fontId="0" fillId="60" borderId="9" xfId="0" applyFill="1" applyBorder="1" applyAlignment="1">
      <alignment horizontal="center"/>
    </xf>
    <xf numFmtId="0" fontId="0" fillId="60" borderId="100" xfId="0" applyFill="1" applyBorder="1" applyAlignment="1">
      <alignment horizontal="center"/>
    </xf>
    <xf numFmtId="0" fontId="0" fillId="60" borderId="10" xfId="0" applyFill="1" applyBorder="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168" fontId="54" fillId="10" borderId="0" xfId="0" applyNumberFormat="1" applyFont="1" applyFill="1"/>
    <xf numFmtId="0" fontId="54" fillId="10" borderId="0" xfId="0" applyFont="1" applyFill="1" applyAlignment="1">
      <alignment horizontal="left" vertical="top" wrapText="1"/>
    </xf>
    <xf numFmtId="1" fontId="54" fillId="10" borderId="0" xfId="0" applyNumberFormat="1" applyFont="1" applyFill="1" applyAlignment="1">
      <alignment horizontal="right"/>
    </xf>
    <xf numFmtId="0" fontId="54" fillId="10" borderId="0" xfId="0" applyFont="1" applyFill="1" applyAlignment="1">
      <alignment horizontal="right"/>
    </xf>
    <xf numFmtId="168" fontId="54" fillId="10" borderId="0" xfId="0" applyNumberFormat="1" applyFont="1" applyFill="1" applyAlignment="1">
      <alignment horizontal="center"/>
    </xf>
    <xf numFmtId="0" fontId="52" fillId="10" borderId="0" xfId="0" applyFont="1" applyFill="1" applyAlignment="1">
      <alignment horizontal="left"/>
    </xf>
    <xf numFmtId="2" fontId="50" fillId="10" borderId="0" xfId="0" applyNumberFormat="1" applyFont="1" applyFill="1" applyAlignment="1">
      <alignment horizontal="center" vertical="center"/>
    </xf>
  </cellXfs>
  <cellStyles count="4">
    <cellStyle name="Collegamento ipertestuale" xfId="3" builtinId="8"/>
    <cellStyle name="Migliaia" xfId="1" builtinId="3"/>
    <cellStyle name="Normale" xfId="0" builtinId="0"/>
    <cellStyle name="Valore non valido" xfId="2" builtinId="27"/>
  </cellStyles>
  <dxfs count="181">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0.10919999999999999</c:v>
                </c:pt>
                <c:pt idx="1">
                  <c:v>0.10919999999999999</c:v>
                </c:pt>
                <c:pt idx="2">
                  <c:v>0.10919999999999999</c:v>
                </c:pt>
                <c:pt idx="3">
                  <c:v>0.10919999999999999</c:v>
                </c:pt>
                <c:pt idx="4">
                  <c:v>0.10919999999999999</c:v>
                </c:pt>
                <c:pt idx="5">
                  <c:v>0.10919999999999999</c:v>
                </c:pt>
                <c:pt idx="6">
                  <c:v>0.10919999999999999</c:v>
                </c:pt>
                <c:pt idx="7">
                  <c:v>0.10919999999999999</c:v>
                </c:pt>
                <c:pt idx="8">
                  <c:v>0.10919999999999999</c:v>
                </c:pt>
                <c:pt idx="9">
                  <c:v>0.10919999999999999</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0.10919999999999999</c:v>
                </c:pt>
                <c:pt idx="43">
                  <c:v>0.10919999999999999</c:v>
                </c:pt>
                <c:pt idx="44">
                  <c:v>0.10919999999999999</c:v>
                </c:pt>
                <c:pt idx="45">
                  <c:v>0.10919999999999999</c:v>
                </c:pt>
                <c:pt idx="46">
                  <c:v>0.10919999999999999</c:v>
                </c:pt>
                <c:pt idx="47">
                  <c:v>0.10919999999999999</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0.13631999999999994</c:v>
                </c:pt>
                <c:pt idx="11">
                  <c:v>0.13631999999999994</c:v>
                </c:pt>
                <c:pt idx="12">
                  <c:v>0.13631999999999994</c:v>
                </c:pt>
                <c:pt idx="13">
                  <c:v>0.13631999999999994</c:v>
                </c:pt>
                <c:pt idx="14">
                  <c:v>0.13631999999999994</c:v>
                </c:pt>
                <c:pt idx="15">
                  <c:v>0.13631999999999994</c:v>
                </c:pt>
                <c:pt idx="16">
                  <c:v>0.13631999999999994</c:v>
                </c:pt>
                <c:pt idx="17">
                  <c:v>0.13631999999999994</c:v>
                </c:pt>
                <c:pt idx="18">
                  <c:v>0.13631999999999994</c:v>
                </c:pt>
                <c:pt idx="19">
                  <c:v>0.94560000000000011</c:v>
                </c:pt>
                <c:pt idx="20">
                  <c:v>0.13631999999999994</c:v>
                </c:pt>
                <c:pt idx="21">
                  <c:v>0.13631999999999994</c:v>
                </c:pt>
                <c:pt idx="22">
                  <c:v>0.13631999999999994</c:v>
                </c:pt>
                <c:pt idx="23">
                  <c:v>0.13631999999999994</c:v>
                </c:pt>
                <c:pt idx="24">
                  <c:v>0.13631999999999994</c:v>
                </c:pt>
                <c:pt idx="25">
                  <c:v>0.13631999999999994</c:v>
                </c:pt>
                <c:pt idx="26">
                  <c:v>0.13631999999999994</c:v>
                </c:pt>
                <c:pt idx="27">
                  <c:v>0.13631999999999994</c:v>
                </c:pt>
                <c:pt idx="28">
                  <c:v>0.13631999999999994</c:v>
                </c:pt>
                <c:pt idx="29">
                  <c:v>0.94560000000000011</c:v>
                </c:pt>
                <c:pt idx="30">
                  <c:v>0.13631999999999994</c:v>
                </c:pt>
                <c:pt idx="31">
                  <c:v>0.13631999999999994</c:v>
                </c:pt>
                <c:pt idx="32">
                  <c:v>0.13631999999999994</c:v>
                </c:pt>
                <c:pt idx="33">
                  <c:v>0.13631999999999994</c:v>
                </c:pt>
                <c:pt idx="34">
                  <c:v>0.13631999999999994</c:v>
                </c:pt>
                <c:pt idx="35">
                  <c:v>0.13631999999999994</c:v>
                </c:pt>
                <c:pt idx="36">
                  <c:v>0.13631999999999994</c:v>
                </c:pt>
                <c:pt idx="37">
                  <c:v>0.13631999999999994</c:v>
                </c:pt>
                <c:pt idx="38">
                  <c:v>0.13631999999999994</c:v>
                </c:pt>
                <c:pt idx="39">
                  <c:v>0.13631999999999994</c:v>
                </c:pt>
                <c:pt idx="40">
                  <c:v>0.13631999999999994</c:v>
                </c:pt>
                <c:pt idx="41">
                  <c:v>0.13631999999999994</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1.5516899999999998</c:v>
                </c:pt>
                <c:pt idx="21">
                  <c:v>1.5516899999999998</c:v>
                </c:pt>
                <c:pt idx="22">
                  <c:v>2.783093333333333</c:v>
                </c:pt>
                <c:pt idx="23">
                  <c:v>2.783093333333333</c:v>
                </c:pt>
                <c:pt idx="24">
                  <c:v>0</c:v>
                </c:pt>
                <c:pt idx="25">
                  <c:v>0</c:v>
                </c:pt>
                <c:pt idx="26">
                  <c:v>0</c:v>
                </c:pt>
                <c:pt idx="27">
                  <c:v>0</c:v>
                </c:pt>
                <c:pt idx="28">
                  <c:v>0</c:v>
                </c:pt>
                <c:pt idx="29">
                  <c:v>0</c:v>
                </c:pt>
                <c:pt idx="30">
                  <c:v>1.5516899999999998</c:v>
                </c:pt>
                <c:pt idx="31">
                  <c:v>1.5516899999999998</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0.28728000000000004</c:v>
                </c:pt>
                <c:pt idx="13">
                  <c:v>0.28728000000000004</c:v>
                </c:pt>
                <c:pt idx="14">
                  <c:v>0.28728000000000004</c:v>
                </c:pt>
                <c:pt idx="15">
                  <c:v>0.28728000000000004</c:v>
                </c:pt>
                <c:pt idx="16">
                  <c:v>0.28728000000000004</c:v>
                </c:pt>
                <c:pt idx="17">
                  <c:v>0.28728000000000004</c:v>
                </c:pt>
                <c:pt idx="18">
                  <c:v>0.28728000000000004</c:v>
                </c:pt>
                <c:pt idx="19">
                  <c:v>2.1607200000000004</c:v>
                </c:pt>
                <c:pt idx="20">
                  <c:v>1.1296800000000002</c:v>
                </c:pt>
                <c:pt idx="21">
                  <c:v>1.1296800000000002</c:v>
                </c:pt>
                <c:pt idx="22">
                  <c:v>0.28728000000000004</c:v>
                </c:pt>
                <c:pt idx="23">
                  <c:v>0.28728000000000004</c:v>
                </c:pt>
                <c:pt idx="24">
                  <c:v>0.28728000000000004</c:v>
                </c:pt>
                <c:pt idx="25">
                  <c:v>0.28728000000000004</c:v>
                </c:pt>
                <c:pt idx="26">
                  <c:v>0.28728000000000004</c:v>
                </c:pt>
                <c:pt idx="27">
                  <c:v>0.28728000000000004</c:v>
                </c:pt>
                <c:pt idx="28">
                  <c:v>0.28728000000000004</c:v>
                </c:pt>
                <c:pt idx="29">
                  <c:v>2.1607200000000004</c:v>
                </c:pt>
                <c:pt idx="30">
                  <c:v>1.1296800000000002</c:v>
                </c:pt>
                <c:pt idx="31">
                  <c:v>1.1296800000000002</c:v>
                </c:pt>
                <c:pt idx="32">
                  <c:v>0.28728000000000004</c:v>
                </c:pt>
                <c:pt idx="33">
                  <c:v>0.28728000000000004</c:v>
                </c:pt>
                <c:pt idx="34">
                  <c:v>0.28728000000000004</c:v>
                </c:pt>
                <c:pt idx="35">
                  <c:v>0.28728000000000004</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4.2666666666666675</c:v>
                </c:pt>
                <c:pt idx="11">
                  <c:v>0</c:v>
                </c:pt>
                <c:pt idx="12">
                  <c:v>4.2666666666666675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2.1333333333333337</c:v>
                </c:pt>
                <c:pt idx="41">
                  <c:v>2.1333333333333337</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3.4872800000000006</c:v>
                </c:pt>
                <c:pt idx="13">
                  <c:v>0.28728000000000004</c:v>
                </c:pt>
                <c:pt idx="14">
                  <c:v>0.28728000000000004</c:v>
                </c:pt>
                <c:pt idx="15">
                  <c:v>0.28728000000000004</c:v>
                </c:pt>
                <c:pt idx="16">
                  <c:v>0.28728000000000004</c:v>
                </c:pt>
                <c:pt idx="17">
                  <c:v>0.28728000000000004</c:v>
                </c:pt>
                <c:pt idx="18">
                  <c:v>0.28728000000000004</c:v>
                </c:pt>
                <c:pt idx="19">
                  <c:v>2.1607200000000004</c:v>
                </c:pt>
                <c:pt idx="20">
                  <c:v>1.5296800000000004</c:v>
                </c:pt>
                <c:pt idx="21">
                  <c:v>1.5296800000000004</c:v>
                </c:pt>
                <c:pt idx="22">
                  <c:v>0.68728000000000011</c:v>
                </c:pt>
                <c:pt idx="23">
                  <c:v>0.68728000000000011</c:v>
                </c:pt>
                <c:pt idx="24">
                  <c:v>0.28728000000000004</c:v>
                </c:pt>
                <c:pt idx="25">
                  <c:v>0.28728000000000004</c:v>
                </c:pt>
                <c:pt idx="26">
                  <c:v>0.28728000000000004</c:v>
                </c:pt>
                <c:pt idx="27">
                  <c:v>0.28728000000000004</c:v>
                </c:pt>
                <c:pt idx="28">
                  <c:v>0.28728000000000004</c:v>
                </c:pt>
                <c:pt idx="29">
                  <c:v>2.1607200000000004</c:v>
                </c:pt>
                <c:pt idx="30">
                  <c:v>1.5296800000000004</c:v>
                </c:pt>
                <c:pt idx="31">
                  <c:v>1.5296800000000004</c:v>
                </c:pt>
                <c:pt idx="32">
                  <c:v>0.28728000000000004</c:v>
                </c:pt>
                <c:pt idx="33">
                  <c:v>0.28728000000000004</c:v>
                </c:pt>
                <c:pt idx="34">
                  <c:v>0.68728000000000011</c:v>
                </c:pt>
                <c:pt idx="35">
                  <c:v>0.68728000000000011</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6.emf"/><Relationship Id="rId18" Type="http://schemas.openxmlformats.org/officeDocument/2006/relationships/image" Target="../media/image30.emf"/><Relationship Id="rId26"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image" Target="../media/image16.emf"/><Relationship Id="rId16" Type="http://schemas.openxmlformats.org/officeDocument/2006/relationships/image" Target="../media/image12.emf"/><Relationship Id="rId20" Type="http://schemas.openxmlformats.org/officeDocument/2006/relationships/image" Target="../media/image27.emf"/><Relationship Id="rId29" Type="http://schemas.openxmlformats.org/officeDocument/2006/relationships/image" Target="../media/image3.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4.emf"/><Relationship Id="rId24" Type="http://schemas.openxmlformats.org/officeDocument/2006/relationships/image" Target="../media/image8.emf"/><Relationship Id="rId5" Type="http://schemas.openxmlformats.org/officeDocument/2006/relationships/image" Target="../media/image19.emf"/><Relationship Id="rId15" Type="http://schemas.openxmlformats.org/officeDocument/2006/relationships/image" Target="../media/image13.emf"/><Relationship Id="rId23" Type="http://schemas.openxmlformats.org/officeDocument/2006/relationships/image" Target="../media/image9.emf"/><Relationship Id="rId28" Type="http://schemas.openxmlformats.org/officeDocument/2006/relationships/image" Target="../media/image4.emf"/><Relationship Id="rId10" Type="http://schemas.openxmlformats.org/officeDocument/2006/relationships/image" Target="../media/image24.emf"/><Relationship Id="rId19" Type="http://schemas.openxmlformats.org/officeDocument/2006/relationships/image" Target="../media/image31.emf"/><Relationship Id="rId31" Type="http://schemas.openxmlformats.org/officeDocument/2006/relationships/image" Target="../media/image1.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9.emf"/><Relationship Id="rId22" Type="http://schemas.openxmlformats.org/officeDocument/2006/relationships/image" Target="../media/image10.emf"/><Relationship Id="rId27" Type="http://schemas.openxmlformats.org/officeDocument/2006/relationships/image" Target="../media/image5.emf"/><Relationship Id="rId30"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525419</xdr:colOff>
      <xdr:row>4</xdr:row>
      <xdr:rowOff>22798</xdr:rowOff>
    </xdr:from>
    <xdr:to>
      <xdr:col>10</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18</xdr:col>
      <xdr:colOff>763748</xdr:colOff>
      <xdr:row>14</xdr:row>
      <xdr:rowOff>101441</xdr:rowOff>
    </xdr:from>
    <xdr:to>
      <xdr:col>21</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15</xdr:col>
          <xdr:colOff>381000</xdr:colOff>
          <xdr:row>11</xdr:row>
          <xdr:rowOff>85725</xdr:rowOff>
        </xdr:from>
        <xdr:to>
          <xdr:col>16</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19</xdr:col>
      <xdr:colOff>37466</xdr:colOff>
      <xdr:row>18</xdr:row>
      <xdr:rowOff>10001</xdr:rowOff>
    </xdr:from>
    <xdr:to>
      <xdr:col>21</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15</xdr:col>
          <xdr:colOff>190500</xdr:colOff>
          <xdr:row>5</xdr:row>
          <xdr:rowOff>342900</xdr:rowOff>
        </xdr:from>
        <xdr:to>
          <xdr:col>16</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19</xdr:col>
      <xdr:colOff>135255</xdr:colOff>
      <xdr:row>19</xdr:row>
      <xdr:rowOff>202405</xdr:rowOff>
    </xdr:from>
    <xdr:to>
      <xdr:col>20</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19</xdr:col>
      <xdr:colOff>292419</xdr:colOff>
      <xdr:row>22</xdr:row>
      <xdr:rowOff>952</xdr:rowOff>
    </xdr:from>
    <xdr:to>
      <xdr:col>20</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9</xdr:col>
          <xdr:colOff>19050</xdr:colOff>
          <xdr:row>4</xdr:row>
          <xdr:rowOff>180975</xdr:rowOff>
        </xdr:from>
        <xdr:to>
          <xdr:col>10</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347336</xdr:colOff>
      <xdr:row>6</xdr:row>
      <xdr:rowOff>701</xdr:rowOff>
    </xdr:from>
    <xdr:to>
      <xdr:col>14</xdr:col>
      <xdr:colOff>349736</xdr:colOff>
      <xdr:row>9</xdr:row>
      <xdr:rowOff>1601</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669180" y="1143701"/>
          <a:ext cx="1847869"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347336</xdr:colOff>
      <xdr:row>7</xdr:row>
      <xdr:rowOff>96400</xdr:rowOff>
    </xdr:from>
    <xdr:to>
      <xdr:col>23</xdr:col>
      <xdr:colOff>700</xdr:colOff>
      <xdr:row>31</xdr:row>
      <xdr:rowOff>95699</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669180" y="1429900"/>
          <a:ext cx="4820676" cy="4571299"/>
        </a:xfrm>
        <a:prstGeom prst="bentConnector5">
          <a:avLst>
            <a:gd name="adj1" fmla="val -4742"/>
            <a:gd name="adj2" fmla="val 108603"/>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163990</xdr:colOff>
      <xdr:row>9</xdr:row>
      <xdr:rowOff>1601</xdr:rowOff>
    </xdr:from>
    <xdr:to>
      <xdr:col>12</xdr:col>
      <xdr:colOff>170870</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H="1" flipV="1">
          <a:off x="4593115" y="1716101"/>
          <a:ext cx="6880" cy="558078"/>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349736</xdr:colOff>
      <xdr:row>7</xdr:row>
      <xdr:rowOff>84494</xdr:rowOff>
    </xdr:from>
    <xdr:to>
      <xdr:col>18</xdr:col>
      <xdr:colOff>3318</xdr:colOff>
      <xdr:row>7</xdr:row>
      <xdr:rowOff>96401</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flipV="1">
          <a:off x="5517049" y="1417994"/>
          <a:ext cx="1129957" cy="11907"/>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31</xdr:row>
          <xdr:rowOff>47625</xdr:rowOff>
        </xdr:from>
        <xdr:to>
          <xdr:col>28</xdr:col>
          <xdr:colOff>266700</xdr:colOff>
          <xdr:row>32</xdr:row>
          <xdr:rowOff>114300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38100</xdr:rowOff>
        </xdr:from>
        <xdr:to>
          <xdr:col>28</xdr:col>
          <xdr:colOff>266700</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163989</xdr:colOff>
      <xdr:row>5</xdr:row>
      <xdr:rowOff>123826</xdr:rowOff>
    </xdr:from>
    <xdr:to>
      <xdr:col>31</xdr:col>
      <xdr:colOff>358155</xdr:colOff>
      <xdr:row>6</xdr:row>
      <xdr:rowOff>702</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162900" y="-2493460"/>
          <a:ext cx="67376" cy="7206947"/>
        </a:xfrm>
        <a:prstGeom prst="bentConnector3">
          <a:avLst>
            <a:gd name="adj1" fmla="val 43929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347335</xdr:colOff>
      <xdr:row>7</xdr:row>
      <xdr:rowOff>96400</xdr:rowOff>
    </xdr:from>
    <xdr:to>
      <xdr:col>23</xdr:col>
      <xdr:colOff>382</xdr:colOff>
      <xdr:row>36</xdr:row>
      <xdr:rowOff>188059</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669179" y="1429900"/>
          <a:ext cx="4820359" cy="5616159"/>
        </a:xfrm>
        <a:prstGeom prst="bentConnector5">
          <a:avLst>
            <a:gd name="adj1" fmla="val -4742"/>
            <a:gd name="adj2" fmla="val 49258"/>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96400</xdr:rowOff>
    </xdr:from>
    <xdr:to>
      <xdr:col>9</xdr:col>
      <xdr:colOff>347336</xdr:colOff>
      <xdr:row>11</xdr:row>
      <xdr:rowOff>179293</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29900"/>
          <a:ext cx="1959082" cy="844893"/>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163991</xdr:colOff>
      <xdr:row>5</xdr:row>
      <xdr:rowOff>179294</xdr:rowOff>
    </xdr:from>
    <xdr:to>
      <xdr:col>20</xdr:col>
      <xdr:colOff>189067</xdr:colOff>
      <xdr:row>6</xdr:row>
      <xdr:rowOff>701</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076075" y="-351165"/>
          <a:ext cx="11907" cy="2977826"/>
        </a:xfrm>
        <a:prstGeom prst="bentConnector3">
          <a:avLst>
            <a:gd name="adj1" fmla="val 201987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1400</xdr:colOff>
      <xdr:row>2</xdr:row>
      <xdr:rowOff>86845</xdr:rowOff>
    </xdr:from>
    <xdr:to>
      <xdr:col>7</xdr:col>
      <xdr:colOff>2101</xdr:colOff>
      <xdr:row>8</xdr:row>
      <xdr:rowOff>178593</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39588" y="467845"/>
          <a:ext cx="1846169" cy="123474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186299</xdr:colOff>
      <xdr:row>2</xdr:row>
      <xdr:rowOff>86845</xdr:rowOff>
    </xdr:from>
    <xdr:to>
      <xdr:col>26</xdr:col>
      <xdr:colOff>291398</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342427" y="-3211908"/>
          <a:ext cx="865655" cy="8225162"/>
        </a:xfrm>
        <a:prstGeom prst="bentConnector3">
          <a:avLst>
            <a:gd name="adj1" fmla="val 126408"/>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132719</xdr:rowOff>
    </xdr:from>
    <xdr:to>
      <xdr:col>7</xdr:col>
      <xdr:colOff>2101</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214563" y="1085219"/>
          <a:ext cx="371194" cy="3486781"/>
        </a:xfrm>
        <a:prstGeom prst="bentConnector4">
          <a:avLst>
            <a:gd name="adj1" fmla="val -61585"/>
            <a:gd name="adj2" fmla="val 58853"/>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186297</xdr:colOff>
      <xdr:row>8</xdr:row>
      <xdr:rowOff>178593</xdr:rowOff>
    </xdr:from>
    <xdr:to>
      <xdr:col>20</xdr:col>
      <xdr:colOff>184896</xdr:colOff>
      <xdr:row>11</xdr:row>
      <xdr:rowOff>178679</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328929" y="-963664"/>
          <a:ext cx="571586" cy="5904099"/>
        </a:xfrm>
        <a:prstGeom prst="bentConnector3">
          <a:avLst>
            <a:gd name="adj1" fmla="val 50000"/>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132719</xdr:rowOff>
    </xdr:from>
    <xdr:to>
      <xdr:col>22</xdr:col>
      <xdr:colOff>7215</xdr:colOff>
      <xdr:row>38</xdr:row>
      <xdr:rowOff>187381</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39587" y="1085219"/>
          <a:ext cx="7387691" cy="6341162"/>
        </a:xfrm>
        <a:prstGeom prst="bentConnector5">
          <a:avLst>
            <a:gd name="adj1" fmla="val -3094"/>
            <a:gd name="adj2" fmla="val 48955"/>
            <a:gd name="adj3" fmla="val 10309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132718</xdr:rowOff>
    </xdr:from>
    <xdr:to>
      <xdr:col>20</xdr:col>
      <xdr:colOff>469</xdr:colOff>
      <xdr:row>26</xdr:row>
      <xdr:rowOff>189027</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39587" y="1085218"/>
          <a:ext cx="6642757" cy="4056809"/>
        </a:xfrm>
        <a:prstGeom prst="bentConnector5">
          <a:avLst>
            <a:gd name="adj1" fmla="val -3441"/>
            <a:gd name="adj2" fmla="val 50584"/>
            <a:gd name="adj3" fmla="val 10344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314325</xdr:colOff>
          <xdr:row>16</xdr:row>
          <xdr:rowOff>95250</xdr:rowOff>
        </xdr:from>
        <xdr:to>
          <xdr:col>35</xdr:col>
          <xdr:colOff>342900</xdr:colOff>
          <xdr:row>18</xdr:row>
          <xdr:rowOff>19050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200026</xdr:colOff>
          <xdr:row>7</xdr:row>
          <xdr:rowOff>116682</xdr:rowOff>
        </xdr:from>
        <xdr:to>
          <xdr:col>7</xdr:col>
          <xdr:colOff>1</xdr:colOff>
          <xdr:row>8</xdr:row>
          <xdr:rowOff>107156</xdr:rowOff>
        </xdr:to>
        <xdr:sp macro="" textlink="">
          <xdr:nvSpPr>
            <xdr:cNvPr id="201025" name="Scroll_CO2PBR"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247650</xdr:colOff>
          <xdr:row>20</xdr:row>
          <xdr:rowOff>123825</xdr:rowOff>
        </xdr:from>
        <xdr:to>
          <xdr:col>47</xdr:col>
          <xdr:colOff>76200</xdr:colOff>
          <xdr:row>25</xdr:row>
          <xdr:rowOff>85725</xdr:rowOff>
        </xdr:to>
        <xdr:sp macro="" textlink="">
          <xdr:nvSpPr>
            <xdr:cNvPr id="201036" name="ListBox2" hidden="1">
              <a:extLst>
                <a:ext uri="{63B3BB69-23CF-44E3-9099-C40C66FF867C}">
                  <a14:compatExt spid="_x0000_s201036"/>
                </a:ext>
                <a:ext uri="{FF2B5EF4-FFF2-40B4-BE49-F238E27FC236}">
                  <a16:creationId xmlns:a16="http://schemas.microsoft.com/office/drawing/2014/main" id="{00000000-0008-0000-0300-00004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285750</xdr:colOff>
          <xdr:row>1</xdr:row>
          <xdr:rowOff>85725</xdr:rowOff>
        </xdr:from>
        <xdr:to>
          <xdr:col>11</xdr:col>
          <xdr:colOff>1400175</xdr:colOff>
          <xdr:row>3</xdr:row>
          <xdr:rowOff>9525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500-000004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A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A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A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A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A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B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B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B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B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B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B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F368" totalsRowShown="0" headerRowDxfId="180" dataDxfId="179">
  <autoFilter ref="A1:BF368" xr:uid="{00000000-0009-0000-0100-000001000000}">
    <filterColumn colId="6">
      <filters>
        <filter val="assembly"/>
      </filters>
    </filterColumn>
  </autoFilter>
  <sortState xmlns:xlrd2="http://schemas.microsoft.com/office/spreadsheetml/2017/richdata2" ref="A2:BE368">
    <sortCondition ref="C1:C368"/>
  </sortState>
  <tableColumns count="58">
    <tableColumn id="1" xr3:uid="{00000000-0010-0000-0000-000001000000}" name="Name" dataDxfId="178"/>
    <tableColumn id="13" xr3:uid="{00000000-0010-0000-0000-00000D000000}" name="Abbreviation" dataDxfId="177"/>
    <tableColumn id="2" xr3:uid="{00000000-0010-0000-0000-000002000000}" name="Subsystem" dataDxfId="176"/>
    <tableColumn id="3" xr3:uid="{00000000-0010-0000-0000-000003000000}" name="Type" dataDxfId="175"/>
    <tableColumn id="4" xr3:uid="{00000000-0010-0000-0000-000004000000}" name="Uses" dataDxfId="174"/>
    <tableColumn id="5" xr3:uid="{00000000-0010-0000-0000-000005000000}" name="trace from" dataDxfId="173"/>
    <tableColumn id="6" xr3:uid="{00000000-0010-0000-0000-000006000000}" name="Level" dataDxfId="172"/>
    <tableColumn id="7" xr3:uid="{00000000-0010-0000-0000-000007000000}" name="Description" dataDxfId="171"/>
    <tableColumn id="8" xr3:uid="{00000000-0010-0000-0000-000008000000}" name="Mass_x000a_Literature" dataDxfId="170"/>
    <tableColumn id="34" xr3:uid="{00000000-0010-0000-0000-000022000000}" name="Mass" dataDxfId="169"/>
    <tableColumn id="38" xr3:uid="{00000000-0010-0000-0000-000026000000}" name="Mass Confidence Factor" dataDxfId="168"/>
    <tableColumn id="9" xr3:uid="{00000000-0010-0000-0000-000009000000}" name="Volume_x000a_Literature" dataDxfId="167"/>
    <tableColumn id="35" xr3:uid="{00000000-0010-0000-0000-000023000000}" name="Volume" dataDxfId="166"/>
    <tableColumn id="39" xr3:uid="{00000000-0010-0000-0000-000027000000}" name="Volume Confidence Factor" dataDxfId="165"/>
    <tableColumn id="10" xr3:uid="{00000000-0010-0000-0000-00000A000000}" name="Heat Generated_x000a_Literature" dataDxfId="164"/>
    <tableColumn id="36" xr3:uid="{00000000-0010-0000-0000-000024000000}" name="Heat" dataDxfId="163"/>
    <tableColumn id="40" xr3:uid="{00000000-0010-0000-0000-000028000000}" name="Heat Confidence Factor" dataDxfId="162"/>
    <tableColumn id="11" xr3:uid="{00000000-0010-0000-0000-00000B000000}" name="Power required_x000a_Literature" dataDxfId="161"/>
    <tableColumn id="37" xr3:uid="{00000000-0010-0000-0000-000025000000}" name="Power" dataDxfId="160"/>
    <tableColumn id="41" xr3:uid="{00000000-0010-0000-0000-000029000000}" name="Power Confidence Factor" dataDxfId="159"/>
    <tableColumn id="57" xr3:uid="{00000000-0010-0000-0000-000039000000}" name="Spare Parts" dataDxfId="158"/>
    <tableColumn id="12" xr3:uid="{00000000-0010-0000-0000-00000C000000}" name="Mass of 1 ORU" dataDxfId="157"/>
    <tableColumn id="14" xr3:uid="{00000000-0010-0000-0000-00000E000000}" name="Efficiency" dataDxfId="156"/>
    <tableColumn id="15" xr3:uid="{00000000-0010-0000-0000-00000F000000}" name="Resupply Mass" dataDxfId="155"/>
    <tableColumn id="16" xr3:uid="{00000000-0010-0000-0000-000010000000}" name="TRL_x000a_Literature" dataDxfId="154"/>
    <tableColumn id="42" xr3:uid="{00000000-0010-0000-0000-00002A000000}" name="TRL" dataDxfId="153"/>
    <tableColumn id="43" xr3:uid="{00000000-0010-0000-0000-00002B000000}" name="TRL Confidence Factor" dataDxfId="152"/>
    <tableColumn id="17" xr3:uid="{00000000-0010-0000-0000-000011000000}" name="MTBF" dataDxfId="151"/>
    <tableColumn id="45" xr3:uid="{00000000-0010-0000-0000-00002D000000}" name="MTBF Confidence Factor" dataDxfId="150"/>
    <tableColumn id="18" xr3:uid="{00000000-0010-0000-0000-000012000000}" name="Maintance" dataDxfId="149"/>
    <tableColumn id="46" xr3:uid="{00000000-0010-0000-0000-00002E000000}" name="fix Maintenance" dataDxfId="148"/>
    <tableColumn id="44" xr3:uid="{00000000-0010-0000-0000-00002C000000}" name="Maintenance per CM" dataDxfId="147"/>
    <tableColumn id="47" xr3:uid="{00000000-0010-0000-0000-00002F000000}" name="Maintenance Confidence Factor" dataDxfId="146"/>
    <tableColumn id="19" xr3:uid="{00000000-0010-0000-0000-000013000000}" name="Advantages" dataDxfId="145"/>
    <tableColumn id="20" xr3:uid="{00000000-0010-0000-0000-000014000000}" name="Disadvantages" dataDxfId="144"/>
    <tableColumn id="21" xr3:uid="{00000000-0010-0000-0000-000015000000}" name="Prospective improvements" dataDxfId="143"/>
    <tableColumn id="48" xr3:uid="{00000000-0010-0000-0000-000030000000}" name="Safety" dataDxfId="142"/>
    <tableColumn id="22" xr3:uid="{00000000-0010-0000-0000-000016000000}" name="principial chemical equation" dataDxfId="141"/>
    <tableColumn id="23" xr3:uid="{00000000-0010-0000-0000-000017000000}" name="inflow [kg/day] gas, liquid, solid" dataDxfId="140"/>
    <tableColumn id="24" xr3:uid="{00000000-0010-0000-0000-000018000000}" name="inflow composition gas, liquid, solid" dataDxfId="139"/>
    <tableColumn id="25" xr3:uid="{00000000-0010-0000-0000-000019000000}" name="outflow [kg/day] gas, liquid, solid" dataDxfId="138"/>
    <tableColumn id="26" xr3:uid="{00000000-0010-0000-0000-00001A000000}" name="outflow composition gas, liquid, solid" dataDxfId="137"/>
    <tableColumn id="27" xr3:uid="{00000000-0010-0000-0000-00001B000000}" name="source" dataDxfId="136"/>
    <tableColumn id="28" xr3:uid="{00000000-0010-0000-0000-00001C000000}" name="notes" dataDxfId="135"/>
    <tableColumn id="29" xr3:uid="{00000000-0010-0000-0000-00001D000000}" name="function1" dataDxfId="134"/>
    <tableColumn id="30" xr3:uid="{00000000-0010-0000-0000-00001E000000}" name="function2" dataDxfId="133"/>
    <tableColumn id="31" xr3:uid="{00000000-0010-0000-0000-00001F000000}" name="function3" dataDxfId="132"/>
    <tableColumn id="32" xr3:uid="{00000000-0010-0000-0000-000020000000}" name="function4" dataDxfId="131"/>
    <tableColumn id="33" xr3:uid="{00000000-0010-0000-0000-000021000000}" name="function5" dataDxfId="130"/>
    <tableColumn id="49" xr3:uid="{00000000-0010-0000-0000-000031000000}" name="function6" dataDxfId="129"/>
    <tableColumn id="50" xr3:uid="{00000000-0010-0000-0000-000032000000}" name="function7" dataDxfId="128"/>
    <tableColumn id="51" xr3:uid="{00000000-0010-0000-0000-000033000000}" name="function8" dataDxfId="127"/>
    <tableColumn id="52" xr3:uid="{00000000-0010-0000-0000-000034000000}" name="function9" dataDxfId="126"/>
    <tableColumn id="53" xr3:uid="{00000000-0010-0000-0000-000035000000}" name="function10" dataDxfId="125"/>
    <tableColumn id="60" xr3:uid="{00000000-0010-0000-0000-00003C000000}" name="operating temperatures " dataDxfId="124"/>
    <tableColumn id="61" xr3:uid="{00000000-0010-0000-0000-00003D000000}" name="operating pressures " dataDxfId="123"/>
    <tableColumn id="54" xr3:uid="{04426E68-6CBB-4AAE-B7EF-E19AF185621E}" name="reference" dataDxfId="122"/>
    <tableColumn id="55" xr3:uid="{19EB7C21-206E-47E5-A4C7-AA714F71A977}" name="Year" dataDxfId="12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B2:J27" totalsRowShown="0" headerRowDxfId="120" dataDxfId="119">
  <autoFilter ref="B2:J27" xr:uid="{C77073E4-2B83-4AD8-AE05-4EC4D0DE16AC}"/>
  <tableColumns count="9">
    <tableColumn id="1" xr3:uid="{5D8E41BB-1EC7-402D-A1D0-2A14A3F85979}" name="PlantName" dataDxfId="118"/>
    <tableColumn id="2" xr3:uid="{0E29FF27-7EBE-4EB1-95FB-0702D59618B7}" name="Carbon Content" dataDxfId="117"/>
    <tableColumn id="3" xr3:uid="{81582CB8-DCC6-447F-B51F-5BB42E745A4B}" name="O2 Production" dataDxfId="116"/>
    <tableColumn id="4" xr3:uid="{A0B09B23-8274-4F95-96B2-D6AE5A1236B7}" name="CO2 Consumption" dataDxfId="115"/>
    <tableColumn id="5" xr3:uid="{C90762B6-2EF7-445E-B499-0371EE2155FF}" name="Water Uptake" dataDxfId="114"/>
    <tableColumn id="6" xr3:uid="{4AEAABCF-609B-43D7-90FD-4D525BD62DFE}" name="EdibleGrowth" dataDxfId="113"/>
    <tableColumn id="7" xr3:uid="{0EF1B5CA-CDCF-4C0A-9E55-72E07AD4E08D}" name="InedibleGrowth" dataDxfId="112"/>
    <tableColumn id="8" xr3:uid="{7257F7C4-94EB-418D-8FB4-49C8AA533835}" name="Edible Water Content" dataDxfId="111"/>
    <tableColumn id="9" xr3:uid="{868A9C28-EF8D-4BC5-8FFB-3B7F5F9062F5}" name="Energy Content" dataDxfId="11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L7:AJ15" totalsRowShown="0" headerRowDxfId="109" dataDxfId="107" headerRowBorderDxfId="108" tableBorderDxfId="106">
  <autoFilter ref="L7:AJ15" xr:uid="{0E0F348B-7FA6-4247-90A1-0671EE8E1FB7}"/>
  <tableColumns count="25">
    <tableColumn id="1" xr3:uid="{108C104F-4853-4063-91E1-E95EDC52CE40}" name="PGC CONFIGURATION" dataDxfId="105"/>
    <tableColumn id="2" xr3:uid="{5F16756A-2DB6-41FC-BF2D-4A1E8580204A}" name="Cabbage" dataDxfId="104"/>
    <tableColumn id="3" xr3:uid="{EC716F26-FB38-40FE-A043-8F448DB8E02A}" name="Carrot" dataDxfId="103"/>
    <tableColumn id="4" xr3:uid="{F164286E-5DD9-49AF-9623-3190BB496232}" name="Chard" dataDxfId="102"/>
    <tableColumn id="5" xr3:uid="{422E5E05-E2FD-42E1-B490-11E76E1D31C0}" name="Celery" dataDxfId="101"/>
    <tableColumn id="6" xr3:uid="{8BC1D08E-69F0-4B3A-B1B2-F866928D55E2}" name="Dry Bean" dataDxfId="100"/>
    <tableColumn id="7" xr3:uid="{29222891-94A9-41B2-AFF0-5B503F320442}" name="Green Onion" dataDxfId="99"/>
    <tableColumn id="8" xr3:uid="{D50DC2FE-7B6B-46F5-A4A6-8BDBCD9046F8}" name="Lettuce" dataDxfId="98"/>
    <tableColumn id="9" xr3:uid="{4137238B-3E74-41EC-88B4-326A1470BDBC}" name="Onion" dataDxfId="97"/>
    <tableColumn id="10" xr3:uid="{1835EC36-76BC-4ACC-A968-4C1AF8835CDF}" name="Pea" dataDxfId="96"/>
    <tableColumn id="11" xr3:uid="{85342799-F8E9-4E24-BB8F-264201888128}" name="Peanut" dataDxfId="95"/>
    <tableColumn id="12" xr3:uid="{0F522A45-2551-4BB1-8F11-CE81AFF66992}" name="Pepper" dataDxfId="94"/>
    <tableColumn id="13" xr3:uid="{852B0B85-2E31-4FEC-8855-E0D369A7530A}" name="Radish" dataDxfId="93"/>
    <tableColumn id="14" xr3:uid="{F5097300-4E41-41C7-9A42-B7338651A331}" name="Red Beet" dataDxfId="92"/>
    <tableColumn id="15" xr3:uid="{A6A6A753-2723-4647-956F-7D9EDEF37DE6}" name="Rice" dataDxfId="91"/>
    <tableColumn id="16" xr3:uid="{A65F9549-5D1C-41FA-B7F2-7559191A590C}" name="Snap Bean" dataDxfId="90"/>
    <tableColumn id="17" xr3:uid="{FA962142-D217-4CE3-9F0B-3B9FFB2E40F7}" name="Soybean" dataDxfId="89"/>
    <tableColumn id="18" xr3:uid="{8BD3D0F9-A1FE-4B28-B7FB-1B5FA2587930}" name="Spinach" dataDxfId="88"/>
    <tableColumn id="19" xr3:uid="{687130A7-20A6-4445-97BF-2E9689341283}" name="Strawberry" dataDxfId="87"/>
    <tableColumn id="20" xr3:uid="{A91C1703-0193-4CE9-A82C-F9B0F327AC76}" name="Sweet Potato" dataDxfId="86"/>
    <tableColumn id="21" xr3:uid="{9D9F1FA9-1BD0-461D-BFDC-32AE7811715E}" name="Tomato" dataDxfId="85"/>
    <tableColumn id="22" xr3:uid="{C273EF44-B6E8-4BE6-958A-063BA6E84771}" name="Wheat" dataDxfId="84"/>
    <tableColumn id="23" xr3:uid="{F476BA29-6655-44AD-B8F5-E02150D25FFA}" name="White Potato" dataDxfId="83"/>
    <tableColumn id="24" xr3:uid="{6188F175-80AF-40A3-9ACB-898D07EE7628}" name="Chufa" dataDxfId="82"/>
    <tableColumn id="25" xr3:uid="{7FEB79CE-3F86-4EB3-9E17-98280E34B960}" name="Cucumber" dataDxfId="8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80" dataDxfId="78" headerRowBorderDxfId="79" tableBorderDxfId="77" totalsRowBorderDxfId="76">
  <autoFilter ref="I2:I7" xr:uid="{6E63B927-D7C8-4716-950F-E8D26162F691}">
    <filterColumn colId="0" hiddenButton="1"/>
  </autoFilter>
  <tableColumns count="1">
    <tableColumn id="1" xr3:uid="{E0F753EB-3889-49C3-A200-7D10E12DEF3D}" name="Mission selection (for ESM factors in user interface)" dataDxfId="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AEB190-23A5-4F58-B8CC-158E9E44945C}" name="Tabella7" displayName="Tabella7" ref="L2:L12" totalsRowShown="0" headerRowDxfId="74">
  <autoFilter ref="L2:L12" xr:uid="{C2AEB190-23A5-4F58-B8CC-158E9E44945C}">
    <filterColumn colId="0" hiddenButton="1"/>
  </autoFilter>
  <tableColumns count="1">
    <tableColumn id="1" xr3:uid="{8A20CD52-FBC2-4B1C-9C10-37E4F7952AB4}" name="Technology type (for &quot;type&quot; in 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73" dataDxfId="72">
  <autoFilter ref="A1:E81" xr:uid="{00000000-0009-0000-0100-000004000000}"/>
  <tableColumns count="5">
    <tableColumn id="1" xr3:uid="{00000000-0010-0000-0300-000001000000}" name="number" dataDxfId="71"/>
    <tableColumn id="2" xr3:uid="{00000000-0010-0000-0300-000002000000}" name="title" dataDxfId="70"/>
    <tableColumn id="4" xr3:uid="{00000000-0010-0000-0300-000004000000}" name="year/version" dataDxfId="69"/>
    <tableColumn id="5" xr3:uid="{300B4868-2BBD-4A9D-A766-1B9BF9FB0DFF}" name="organization" dataDxfId="68"/>
    <tableColumn id="3" xr3:uid="{00000000-0010-0000-0300-000003000000}" name="author" dataDxfId="6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66" totalsRowDxfId="65"/>
    <tableColumn id="57" xr3:uid="{00000000-0010-0000-0100-000039000000}" name="task" dataDxfId="64" totalsRowDxfId="63">
      <calculatedColumnFormula>IF($A$1=1,AH3,IF($A$1=2,AN3,IF($A$1=3,AT3,IF($A$1=4,AZ3,IF($A$1=5,BF3,IF($A$1=6,BL3))))))</calculatedColumnFormula>
    </tableColumn>
    <tableColumn id="62" xr3:uid="{00000000-0010-0000-0100-00003E000000}" name="Crew" dataDxfId="62" totalsRowDxfId="61">
      <calculatedColumnFormula>Crew_Size</calculatedColumnFormula>
    </tableColumn>
    <tableColumn id="2" xr3:uid="{00000000-0010-0000-0100-000002000000}" name="O2" totalsRowFunction="custom" dataDxfId="60" totalsRowDxfId="59">
      <totalsRowFormula array="1">SUM(schedule_compl[O2]*0.5)</totalsRowFormula>
    </tableColumn>
    <tableColumn id="3" xr3:uid="{00000000-0010-0000-0100-000003000000}" name="CO2" totalsRowFunction="custom" dataDxfId="58" totalsRowDxfId="57">
      <totalsRowFormula array="1">SUM(schedule_compl[CO2]*0.5)</totalsRowFormula>
    </tableColumn>
    <tableColumn id="4" xr3:uid="{00000000-0010-0000-0100-000004000000}" name="urine" totalsRowFunction="custom" dataDxfId="56" totalsRowDxfId="55">
      <totalsRowFormula array="1">SUM(schedule_compl[urine]*0.5)</totalsRowFormula>
    </tableColumn>
    <tableColumn id="5" xr3:uid="{00000000-0010-0000-0100-000005000000}" name="feces" totalsRowFunction="custom" dataDxfId="54" totalsRowDxfId="53">
      <totalsRowFormula array="1">SUM(schedule_compl[feces]*0.5)</totalsRowFormula>
    </tableColumn>
    <tableColumn id="6" xr3:uid="{00000000-0010-0000-0100-000006000000}" name="potable" totalsRowFunction="custom" dataDxfId="52" totalsRowDxfId="51">
      <totalsRowFormula array="1">SUM(schedule_compl[potable]*0.5)</totalsRowFormula>
    </tableColumn>
    <tableColumn id="7" xr3:uid="{00000000-0010-0000-0100-000007000000}" name="hygiene" totalsRowFunction="custom" dataDxfId="50" totalsRowDxfId="49">
      <totalsRowFormula array="1">SUM(schedule_compl[hygiene]*0.5)</totalsRowFormula>
    </tableColumn>
    <tableColumn id="8" xr3:uid="{00000000-0010-0000-0100-000008000000}" name="food" totalsRowFunction="custom" dataDxfId="48" totalsRowDxfId="47">
      <totalsRowFormula array="1">SUM(schedule_compl[food]*0.5)</totalsRowFormula>
    </tableColumn>
    <tableColumn id="9" xr3:uid="{00000000-0010-0000-0100-000009000000}" name="sweat" totalsRowFunction="custom" dataDxfId="46" totalsRowDxfId="45">
      <totalsRowFormula array="1">SUM(schedule_compl[sweat]*0.5)</totalsRowFormula>
    </tableColumn>
    <tableColumn id="10" xr3:uid="{00000000-0010-0000-0100-00000A000000}" name="heat" totalsRowFunction="custom" dataDxfId="44" totalsRowDxfId="43">
      <totalsRowFormula array="1">SUM(schedule_compl[heat]*0.5)</totalsRow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42" dataDxfId="41">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40"/>
    <tableColumn id="3" xr3:uid="{00000000-0010-0000-0200-000003000000}" name="O2 Consumption" dataDxfId="39"/>
    <tableColumn id="4" xr3:uid="{00000000-0010-0000-0200-000004000000}" name="CO2 Production" dataDxfId="38"/>
    <tableColumn id="5" xr3:uid="{00000000-0010-0000-0200-000005000000}" name="Urine Water Production" dataDxfId="37"/>
    <tableColumn id="6" xr3:uid="{00000000-0010-0000-0200-000006000000}" name="Feces Production" dataDxfId="36"/>
    <tableColumn id="7" xr3:uid="{00000000-0010-0000-0200-000007000000}" name="Potable Water Consumption" dataDxfId="35"/>
    <tableColumn id="8" xr3:uid="{00000000-0010-0000-0200-000008000000}" name="Hygiene Water Consumption" dataDxfId="34"/>
    <tableColumn id="9" xr3:uid="{00000000-0010-0000-0200-000009000000}" name="Food Consumption" dataDxfId="33"/>
    <tableColumn id="17" xr3:uid="{00000000-0010-0000-0200-000011000000}" name="Water Content in Food"/>
    <tableColumn id="10" xr3:uid="{00000000-0010-0000-0200-00000A000000}" name="Sweat/Water Vapor Production" dataDxfId="32"/>
    <tableColumn id="11" xr3:uid="{00000000-0010-0000-0200-00000B000000}" name="Heat Load" dataDxfId="31"/>
    <tableColumn id="12" xr3:uid="{00000000-0010-0000-0200-00000C000000}" name="Metabolic Water" dataDxfId="30"/>
    <tableColumn id="13" xr3:uid="{00000000-0010-0000-0200-00000D000000}" name="Urine Solid Waste Production " dataDxfId="29"/>
    <tableColumn id="16" xr3:uid="{00000000-0010-0000-0200-000010000000}" name="Feces Solid Waste Production"/>
    <tableColumn id="14" xr3:uid="{00000000-0010-0000-0200-00000E000000}" name="Hygiene Solid Waste Production " dataDxfId="28"/>
    <tableColumn id="15" xr3:uid="{00000000-0010-0000-0200-00000F000000}" name="Sweat/Water Vapor Solid Wastes Production" dataDxfId="27"/>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0" dT="2026-05-14T20:12:25.55" personId="{E22D2BC0-B27D-463B-8B71-D3A993CAA0C4}" id="{9E993989-5448-43F2-A33D-AF867BA7878B}">
    <text>Per syst prop</text>
  </threadedComment>
  <threadedComment ref="O20" dT="2026-05-14T20:12:02.35" personId="{E22D2BC0-B27D-463B-8B71-D3A993CAA0C4}" id="{92477A97-DBC4-4BF6-89FC-9A79C2C6EA0D}">
    <text xml:space="preserve">Per syst prop
</text>
  </threadedComment>
  <threadedComment ref="X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6-05-07T15:52:15.81" personId="{E22D2BC0-B27D-463B-8B71-D3A993CAA0C4}" id="{26B855B8-E77B-4F11-A051-74ECE66495B3}">
    <text>Update data with bvad</text>
  </threadedComment>
  <threadedComment ref="L7"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3.xml"/><Relationship Id="rId7" Type="http://schemas.openxmlformats.org/officeDocument/2006/relationships/image" Target="../media/image2.emf"/><Relationship Id="rId71"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trlProp" Target="../ctrlProps/ctrlProp1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4.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ctrlProp" Target="../ctrlProps/ctrlProp1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7" Type="http://schemas.microsoft.com/office/2017/10/relationships/threadedComment" Target="../threadedComments/threadedComment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8.xml"/><Relationship Id="rId5" Type="http://schemas.openxmlformats.org/officeDocument/2006/relationships/ctrlProp" Target="../ctrlProps/ctrlProp27.xml"/><Relationship Id="rId10" Type="http://schemas.openxmlformats.org/officeDocument/2006/relationships/table" Target="../tables/table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I142"/>
  <sheetViews>
    <sheetView showGridLines="0" topLeftCell="A5" zoomScale="80" zoomScaleNormal="80" workbookViewId="0">
      <selection activeCell="N23" sqref="N23"/>
    </sheetView>
  </sheetViews>
  <sheetFormatPr defaultColWidth="11.5703125" defaultRowHeight="15" x14ac:dyDescent="0.25"/>
  <cols>
    <col min="1" max="1" width="3.28515625" customWidth="1"/>
    <col min="2" max="2" width="19.42578125" customWidth="1"/>
    <col min="3" max="3" width="14.5703125" customWidth="1"/>
    <col min="4" max="4" width="15.140625" customWidth="1"/>
    <col min="5" max="5" width="3.28515625" customWidth="1"/>
    <col min="6" max="6" width="15" customWidth="1"/>
    <col min="7" max="7" width="9.7109375" customWidth="1"/>
    <col min="8" max="8" width="11.5703125" customWidth="1"/>
    <col min="9" max="9" width="14.7109375" customWidth="1"/>
    <col min="10" max="10" width="8.5703125" customWidth="1"/>
    <col min="11" max="11" width="9.85546875" customWidth="1"/>
    <col min="12" max="12" width="11.7109375" customWidth="1"/>
    <col min="13" max="13" width="13.28515625" customWidth="1"/>
    <col min="14" max="14" width="11.140625" customWidth="1"/>
    <col min="15" max="15" width="8.42578125" customWidth="1"/>
    <col min="16" max="22" width="11.5703125" customWidth="1"/>
    <col min="34" max="34" width="64" customWidth="1"/>
  </cols>
  <sheetData>
    <row r="1" spans="2:22" ht="26.25" x14ac:dyDescent="0.4">
      <c r="B1" s="26" t="s">
        <v>766</v>
      </c>
      <c r="C1" s="27"/>
      <c r="D1" s="27"/>
      <c r="E1" s="27"/>
      <c r="F1" s="27"/>
      <c r="G1" s="27"/>
      <c r="H1" s="27"/>
      <c r="I1" s="27"/>
      <c r="J1" s="27"/>
      <c r="K1" s="27"/>
      <c r="L1" s="27"/>
      <c r="M1" s="27"/>
      <c r="N1" s="27"/>
      <c r="O1" s="27"/>
      <c r="P1" s="27"/>
      <c r="Q1" s="27"/>
      <c r="R1" s="27"/>
      <c r="S1" s="27"/>
      <c r="T1" s="27"/>
    </row>
    <row r="2" spans="2:22" x14ac:dyDescent="0.25">
      <c r="B2" s="27"/>
      <c r="C2" s="27"/>
      <c r="D2" s="27"/>
      <c r="E2" s="27"/>
      <c r="F2" s="27"/>
      <c r="G2" s="27"/>
      <c r="H2" s="27"/>
      <c r="I2" s="27"/>
      <c r="J2" s="27"/>
      <c r="K2" s="27"/>
      <c r="L2" s="27"/>
      <c r="M2" s="27"/>
      <c r="N2" s="27"/>
      <c r="O2" s="27"/>
      <c r="P2" s="27"/>
      <c r="Q2" s="27"/>
      <c r="R2" s="27"/>
      <c r="S2" s="27"/>
      <c r="T2" s="27"/>
    </row>
    <row r="3" spans="2:22" ht="15.75" x14ac:dyDescent="0.25">
      <c r="B3" s="28" t="s">
        <v>788</v>
      </c>
      <c r="C3" s="27"/>
      <c r="D3" s="27"/>
      <c r="E3" s="27"/>
      <c r="F3" s="27"/>
      <c r="G3" s="27"/>
      <c r="H3" s="27"/>
      <c r="I3" s="27"/>
      <c r="J3" s="27"/>
      <c r="K3" s="27"/>
      <c r="L3" s="27"/>
      <c r="M3" s="27"/>
      <c r="N3" s="27"/>
      <c r="O3" s="27"/>
      <c r="P3" s="27"/>
      <c r="Q3" s="27"/>
      <c r="R3" s="27"/>
      <c r="S3" s="27"/>
      <c r="T3" s="27"/>
    </row>
    <row r="4" spans="2:22" x14ac:dyDescent="0.25">
      <c r="B4" s="27"/>
      <c r="C4" s="27"/>
      <c r="D4" s="27"/>
      <c r="E4" s="27"/>
      <c r="F4" s="27"/>
      <c r="G4" s="27"/>
      <c r="H4" s="27"/>
      <c r="I4" s="27"/>
      <c r="J4" s="27"/>
      <c r="K4" s="27"/>
      <c r="L4" s="27"/>
      <c r="M4" s="27"/>
      <c r="N4" s="27"/>
      <c r="O4" s="27"/>
      <c r="P4" s="27"/>
      <c r="Q4" s="27"/>
      <c r="R4" s="27"/>
      <c r="S4" s="27"/>
      <c r="T4" s="27"/>
    </row>
    <row r="5" spans="2:22" ht="105" customHeight="1" x14ac:dyDescent="0.25">
      <c r="B5" s="27"/>
      <c r="C5" s="27"/>
      <c r="D5" s="27"/>
      <c r="E5" s="27"/>
      <c r="F5" s="27"/>
      <c r="G5" s="27"/>
      <c r="H5" s="27"/>
      <c r="I5" s="27"/>
      <c r="J5" s="27"/>
      <c r="K5" s="27"/>
      <c r="L5" s="27"/>
      <c r="M5" s="27"/>
      <c r="N5" s="27"/>
      <c r="O5" s="27"/>
      <c r="P5" s="27"/>
      <c r="Q5" s="27"/>
      <c r="R5" s="27"/>
      <c r="S5" s="27"/>
      <c r="T5" s="27"/>
    </row>
    <row r="6" spans="2:22" ht="22.5" customHeight="1" x14ac:dyDescent="0.25">
      <c r="B6" s="784" t="s">
        <v>768</v>
      </c>
      <c r="C6" s="765"/>
      <c r="D6" s="766"/>
      <c r="F6" s="821" t="s">
        <v>769</v>
      </c>
      <c r="G6" s="751"/>
      <c r="H6" s="751"/>
      <c r="I6" s="751"/>
      <c r="J6" s="751"/>
      <c r="K6" s="751"/>
      <c r="L6" s="751"/>
      <c r="M6" s="751"/>
      <c r="N6" s="751"/>
      <c r="O6" s="752"/>
      <c r="P6" s="792"/>
      <c r="Q6" s="792"/>
      <c r="R6" s="27"/>
      <c r="S6" s="27"/>
      <c r="T6" s="27"/>
    </row>
    <row r="7" spans="2:22" ht="15" customHeight="1" x14ac:dyDescent="0.3">
      <c r="B7" s="785" t="s">
        <v>2057</v>
      </c>
      <c r="C7" s="767"/>
      <c r="D7" s="737"/>
      <c r="F7" s="753" t="s">
        <v>2066</v>
      </c>
      <c r="G7" s="754"/>
      <c r="H7" s="754"/>
      <c r="I7" s="828" t="s">
        <v>948</v>
      </c>
      <c r="J7" s="828"/>
      <c r="K7" s="828"/>
      <c r="L7" s="828"/>
      <c r="M7" s="794"/>
      <c r="N7" s="754"/>
      <c r="O7" s="755"/>
      <c r="P7" s="792"/>
      <c r="Q7" s="792"/>
      <c r="R7" s="27"/>
      <c r="S7" s="27"/>
      <c r="T7" s="27"/>
    </row>
    <row r="8" spans="2:22" ht="15" customHeight="1" x14ac:dyDescent="0.25">
      <c r="B8" s="738"/>
      <c r="C8" s="767"/>
      <c r="D8" s="737"/>
      <c r="F8" s="829" t="s">
        <v>2067</v>
      </c>
      <c r="G8" s="830"/>
      <c r="H8" s="830"/>
      <c r="I8" s="830"/>
      <c r="J8" s="783"/>
      <c r="K8" s="783"/>
      <c r="L8" s="754"/>
      <c r="M8" s="754"/>
      <c r="N8" s="754"/>
      <c r="O8" s="755"/>
      <c r="P8" s="792"/>
      <c r="Q8" s="792"/>
      <c r="R8" s="27"/>
      <c r="S8" s="27"/>
      <c r="T8" s="27"/>
    </row>
    <row r="9" spans="2:22" ht="15" customHeight="1" x14ac:dyDescent="0.25">
      <c r="B9" s="770" t="s">
        <v>770</v>
      </c>
      <c r="C9" s="82">
        <v>4</v>
      </c>
      <c r="D9" s="737"/>
      <c r="F9" s="756"/>
      <c r="G9" s="754"/>
      <c r="H9" s="754"/>
      <c r="I9" s="754"/>
      <c r="J9" s="754"/>
      <c r="K9" s="754"/>
      <c r="L9" s="754"/>
      <c r="M9" s="754"/>
      <c r="N9" s="754"/>
      <c r="O9" s="755"/>
      <c r="P9" s="793"/>
      <c r="Q9" s="792"/>
      <c r="R9" s="27"/>
      <c r="S9" s="27"/>
      <c r="T9" s="27"/>
    </row>
    <row r="10" spans="2:22" ht="15" customHeight="1" x14ac:dyDescent="0.25">
      <c r="B10" s="770" t="s">
        <v>771</v>
      </c>
      <c r="C10" s="82">
        <v>400</v>
      </c>
      <c r="D10" s="768" t="s">
        <v>767</v>
      </c>
      <c r="F10" s="756" t="s">
        <v>956</v>
      </c>
      <c r="G10" s="754"/>
      <c r="H10" s="757" t="s">
        <v>2003</v>
      </c>
      <c r="I10" s="754"/>
      <c r="J10" s="754"/>
      <c r="K10" s="754"/>
      <c r="L10" s="754"/>
      <c r="M10" s="754"/>
      <c r="N10" s="754"/>
      <c r="O10" s="755"/>
      <c r="P10" s="793"/>
      <c r="Q10" s="792"/>
      <c r="R10" s="27"/>
      <c r="S10" s="27"/>
    </row>
    <row r="11" spans="2:22" ht="15" customHeight="1" x14ac:dyDescent="0.25">
      <c r="B11" s="738" t="s">
        <v>772</v>
      </c>
      <c r="C11" s="82">
        <v>1</v>
      </c>
      <c r="D11" s="737"/>
      <c r="F11" s="762"/>
      <c r="G11" s="763"/>
      <c r="H11" s="763"/>
      <c r="I11" s="763"/>
      <c r="J11" s="763"/>
      <c r="K11" s="763"/>
      <c r="L11" s="763"/>
      <c r="M11" s="763"/>
      <c r="N11" s="763"/>
      <c r="O11" s="764"/>
      <c r="P11" s="793"/>
      <c r="Q11" s="792"/>
      <c r="S11" s="27"/>
    </row>
    <row r="12" spans="2:22" ht="15" customHeight="1" x14ac:dyDescent="0.25">
      <c r="B12" s="738" t="s">
        <v>812</v>
      </c>
      <c r="C12" s="82">
        <v>125</v>
      </c>
      <c r="D12" s="737" t="s">
        <v>782</v>
      </c>
      <c r="F12" s="786"/>
      <c r="G12" s="787"/>
      <c r="H12" s="787"/>
      <c r="I12" s="787"/>
      <c r="J12" s="787"/>
      <c r="K12" s="787"/>
      <c r="L12" s="787"/>
      <c r="M12" s="787"/>
      <c r="N12" s="787"/>
      <c r="O12" s="788"/>
      <c r="P12" s="793"/>
      <c r="Q12" s="792"/>
      <c r="T12" s="27"/>
      <c r="U12" s="27"/>
      <c r="V12" s="27"/>
    </row>
    <row r="13" spans="2:22" ht="15" customHeight="1" x14ac:dyDescent="0.25">
      <c r="B13" s="738" t="s">
        <v>1175</v>
      </c>
      <c r="C13" s="82">
        <v>7</v>
      </c>
      <c r="D13" s="737"/>
      <c r="F13" s="820" t="s">
        <v>2061</v>
      </c>
      <c r="G13" s="774"/>
      <c r="H13" s="774"/>
      <c r="I13" s="774"/>
      <c r="J13" s="774"/>
      <c r="K13" s="774"/>
      <c r="L13" s="774"/>
      <c r="M13" s="774"/>
      <c r="N13" s="774"/>
      <c r="O13" s="775"/>
      <c r="P13" s="793"/>
      <c r="Q13" s="792"/>
      <c r="T13" s="27"/>
      <c r="U13" s="27"/>
      <c r="V13" s="27"/>
    </row>
    <row r="14" spans="2:22" ht="15" customHeight="1" x14ac:dyDescent="0.25">
      <c r="B14" s="738" t="s">
        <v>1158</v>
      </c>
      <c r="C14" s="769"/>
      <c r="D14" s="737" t="s">
        <v>1159</v>
      </c>
      <c r="F14" s="777"/>
      <c r="G14" s="774"/>
      <c r="H14" s="774"/>
      <c r="I14" s="774"/>
      <c r="J14" s="774"/>
      <c r="K14" s="774"/>
      <c r="L14" s="774"/>
      <c r="M14" s="774"/>
      <c r="N14" s="774"/>
      <c r="O14" s="780"/>
      <c r="P14" s="793"/>
      <c r="Q14" s="792"/>
      <c r="T14" s="27"/>
      <c r="U14" s="27"/>
      <c r="V14" s="27"/>
    </row>
    <row r="15" spans="2:22" ht="15" customHeight="1" x14ac:dyDescent="0.25">
      <c r="B15" s="738"/>
      <c r="C15" s="767"/>
      <c r="D15" s="737"/>
      <c r="F15" s="781" t="s">
        <v>2058</v>
      </c>
      <c r="G15" s="774"/>
      <c r="H15" s="774"/>
      <c r="I15" s="778" t="s">
        <v>2059</v>
      </c>
      <c r="J15" s="774"/>
      <c r="K15" s="774"/>
      <c r="L15" s="774"/>
      <c r="M15" s="774"/>
      <c r="N15" s="774"/>
      <c r="O15" s="775"/>
      <c r="P15" s="792"/>
      <c r="Q15" s="792"/>
      <c r="T15" s="27"/>
      <c r="U15" s="27"/>
      <c r="V15" s="27"/>
    </row>
    <row r="16" spans="2:22" x14ac:dyDescent="0.25">
      <c r="B16" s="789"/>
      <c r="C16" s="790"/>
      <c r="D16" s="791"/>
      <c r="F16" s="777"/>
      <c r="G16" s="774"/>
      <c r="H16" s="774"/>
      <c r="I16" s="774" t="s">
        <v>773</v>
      </c>
      <c r="J16" s="758"/>
      <c r="K16" s="774" t="s">
        <v>781</v>
      </c>
      <c r="L16" s="831" t="s">
        <v>2062</v>
      </c>
      <c r="M16" s="831"/>
      <c r="N16" s="774"/>
      <c r="O16" s="775"/>
      <c r="P16" s="792"/>
      <c r="Q16" s="792"/>
      <c r="T16" s="27"/>
      <c r="U16" s="27"/>
      <c r="V16" s="27"/>
    </row>
    <row r="17" spans="2:28" ht="15" customHeight="1" x14ac:dyDescent="0.25">
      <c r="B17" s="782" t="s">
        <v>2051</v>
      </c>
      <c r="C17" t="s">
        <v>2054</v>
      </c>
      <c r="D17" s="746"/>
      <c r="F17" s="777" t="s">
        <v>773</v>
      </c>
      <c r="G17" s="750">
        <v>1</v>
      </c>
      <c r="H17" s="774" t="s">
        <v>985</v>
      </c>
      <c r="I17" s="774" t="s">
        <v>774</v>
      </c>
      <c r="J17" s="759"/>
      <c r="K17" s="774" t="s">
        <v>782</v>
      </c>
      <c r="L17" s="831"/>
      <c r="M17" s="831"/>
      <c r="N17" s="757" t="s">
        <v>1223</v>
      </c>
      <c r="O17" s="775"/>
      <c r="T17" s="27"/>
      <c r="U17" s="27"/>
      <c r="V17" s="27"/>
    </row>
    <row r="18" spans="2:28" ht="15" customHeight="1" x14ac:dyDescent="0.25">
      <c r="B18" s="747"/>
      <c r="C18" s="749"/>
      <c r="D18" s="746"/>
      <c r="F18" s="777" t="s">
        <v>774</v>
      </c>
      <c r="G18" s="750">
        <v>1</v>
      </c>
      <c r="H18" s="774" t="s">
        <v>985</v>
      </c>
      <c r="I18" s="774" t="s">
        <v>775</v>
      </c>
      <c r="J18" s="759"/>
      <c r="K18" s="774" t="s">
        <v>783</v>
      </c>
      <c r="L18" s="774"/>
      <c r="M18" s="774"/>
      <c r="N18" s="774"/>
      <c r="O18" s="775"/>
      <c r="T18" s="27"/>
      <c r="U18" s="27"/>
      <c r="V18" s="27"/>
    </row>
    <row r="19" spans="2:28" ht="15" customHeight="1" x14ac:dyDescent="0.25">
      <c r="B19" s="748" t="s">
        <v>2050</v>
      </c>
      <c r="C19" s="749"/>
      <c r="D19" s="746"/>
      <c r="F19" s="777" t="s">
        <v>775</v>
      </c>
      <c r="G19" s="750">
        <v>1</v>
      </c>
      <c r="H19" s="774" t="s">
        <v>985</v>
      </c>
      <c r="I19" s="774" t="s">
        <v>776</v>
      </c>
      <c r="J19" s="759"/>
      <c r="K19" s="774" t="s">
        <v>783</v>
      </c>
      <c r="L19" s="774" t="s">
        <v>2063</v>
      </c>
      <c r="M19" s="774"/>
      <c r="N19" s="757" t="s">
        <v>1207</v>
      </c>
      <c r="O19" s="775"/>
      <c r="T19" s="27"/>
      <c r="U19" s="27"/>
      <c r="V19" s="27"/>
    </row>
    <row r="20" spans="2:28" ht="15" customHeight="1" x14ac:dyDescent="0.25">
      <c r="B20" s="747" t="s">
        <v>1251</v>
      </c>
      <c r="C20" s="750">
        <v>4447.3</v>
      </c>
      <c r="D20" s="746" t="s">
        <v>785</v>
      </c>
      <c r="F20" s="777" t="s">
        <v>776</v>
      </c>
      <c r="G20" s="750">
        <v>1</v>
      </c>
      <c r="H20" s="774" t="s">
        <v>985</v>
      </c>
      <c r="I20" s="774" t="s">
        <v>777</v>
      </c>
      <c r="J20" s="759"/>
      <c r="K20" s="774" t="s">
        <v>784</v>
      </c>
      <c r="L20" s="779" t="s">
        <v>2064</v>
      </c>
      <c r="M20" s="774"/>
      <c r="N20" s="757">
        <v>3</v>
      </c>
      <c r="O20" s="775" t="s">
        <v>1256</v>
      </c>
      <c r="T20" s="27"/>
      <c r="U20" s="27"/>
      <c r="V20" s="27"/>
    </row>
    <row r="21" spans="2:28" ht="15" customHeight="1" x14ac:dyDescent="0.25">
      <c r="B21" s="747" t="s">
        <v>774</v>
      </c>
      <c r="C21" s="750">
        <v>215.5</v>
      </c>
      <c r="D21" s="746" t="s">
        <v>786</v>
      </c>
      <c r="F21" s="777" t="s">
        <v>777</v>
      </c>
      <c r="G21" s="750">
        <v>1</v>
      </c>
      <c r="H21" s="774" t="s">
        <v>985</v>
      </c>
      <c r="I21" s="774"/>
      <c r="J21" s="774"/>
      <c r="K21" s="774"/>
      <c r="L21" s="774"/>
      <c r="M21" s="774"/>
      <c r="N21" s="774"/>
      <c r="O21" s="775"/>
      <c r="T21" s="27"/>
      <c r="U21" s="27"/>
      <c r="V21" s="27"/>
    </row>
    <row r="22" spans="2:28" ht="15" customHeight="1" x14ac:dyDescent="0.25">
      <c r="B22" s="747" t="s">
        <v>775</v>
      </c>
      <c r="C22" s="750">
        <v>87</v>
      </c>
      <c r="D22" s="746" t="s">
        <v>787</v>
      </c>
      <c r="F22" s="777" t="s">
        <v>778</v>
      </c>
      <c r="G22" s="750">
        <v>1</v>
      </c>
      <c r="H22" s="774" t="s">
        <v>985</v>
      </c>
      <c r="I22" s="778" t="s">
        <v>2060</v>
      </c>
      <c r="J22" s="774"/>
      <c r="K22" s="774"/>
      <c r="L22" s="774" t="s">
        <v>2065</v>
      </c>
      <c r="M22" s="774"/>
      <c r="N22" s="88">
        <v>0</v>
      </c>
      <c r="O22" s="775" t="s">
        <v>985</v>
      </c>
      <c r="T22" s="27"/>
      <c r="U22" s="27"/>
      <c r="V22" s="27"/>
    </row>
    <row r="23" spans="2:28" ht="15" customHeight="1" x14ac:dyDescent="0.25">
      <c r="B23" s="747" t="s">
        <v>776</v>
      </c>
      <c r="C23" s="750">
        <v>146</v>
      </c>
      <c r="D23" s="746" t="s">
        <v>787</v>
      </c>
      <c r="F23" s="777" t="s">
        <v>779</v>
      </c>
      <c r="G23" s="750">
        <v>1</v>
      </c>
      <c r="H23" s="774" t="s">
        <v>985</v>
      </c>
      <c r="I23" s="774" t="s">
        <v>778</v>
      </c>
      <c r="J23" s="760"/>
      <c r="K23" s="774" t="s">
        <v>985</v>
      </c>
      <c r="L23" s="827" t="s">
        <v>2092</v>
      </c>
      <c r="M23" s="774"/>
      <c r="N23" s="27">
        <v>2000</v>
      </c>
      <c r="O23" s="775"/>
      <c r="T23" s="27"/>
      <c r="U23" s="27"/>
      <c r="V23" s="27"/>
    </row>
    <row r="24" spans="2:28" ht="15" customHeight="1" x14ac:dyDescent="0.25">
      <c r="B24" s="747" t="s">
        <v>780</v>
      </c>
      <c r="C24" s="750">
        <v>0.46500000000000002</v>
      </c>
      <c r="D24" s="746" t="s">
        <v>1243</v>
      </c>
      <c r="F24" s="777"/>
      <c r="G24" s="774"/>
      <c r="H24" s="774"/>
      <c r="I24" s="774" t="s">
        <v>779</v>
      </c>
      <c r="J24" s="761">
        <v>3</v>
      </c>
      <c r="K24" s="776"/>
      <c r="L24" s="827"/>
      <c r="M24" s="774"/>
      <c r="N24" s="774"/>
      <c r="O24" s="775"/>
      <c r="T24" s="27"/>
      <c r="U24" s="27"/>
      <c r="V24" s="27"/>
    </row>
    <row r="25" spans="2:28" ht="15" customHeight="1" x14ac:dyDescent="0.25">
      <c r="B25" s="743"/>
      <c r="C25" s="744"/>
      <c r="D25" s="745"/>
      <c r="F25" s="771"/>
      <c r="G25" s="772"/>
      <c r="H25" s="772"/>
      <c r="I25" s="772"/>
      <c r="J25" s="772"/>
      <c r="K25" s="772"/>
      <c r="L25" s="772"/>
      <c r="M25" s="772"/>
      <c r="N25" s="772"/>
      <c r="O25" s="773"/>
      <c r="T25" s="27"/>
      <c r="U25" s="27"/>
      <c r="V25" s="27"/>
    </row>
    <row r="26" spans="2:28" x14ac:dyDescent="0.25">
      <c r="T26" s="27"/>
      <c r="U26" s="27"/>
      <c r="V26" s="27"/>
    </row>
    <row r="27" spans="2:28" ht="18.75" x14ac:dyDescent="0.25">
      <c r="R27" s="27"/>
      <c r="S27" s="27"/>
      <c r="T27" s="27"/>
      <c r="V27" s="60" t="s">
        <v>986</v>
      </c>
      <c r="W27" s="45"/>
      <c r="X27" s="45"/>
      <c r="Y27" s="45"/>
      <c r="Z27" s="45"/>
      <c r="AA27" s="45"/>
      <c r="AB27" s="60"/>
    </row>
    <row r="28" spans="2:28" x14ac:dyDescent="0.25">
      <c r="R28" s="27"/>
      <c r="S28" s="27"/>
      <c r="T28" s="27"/>
      <c r="V28" s="45"/>
      <c r="W28" s="45"/>
      <c r="X28" s="45"/>
      <c r="Y28" s="45"/>
      <c r="Z28" s="45"/>
      <c r="AA28" s="45"/>
      <c r="AB28" s="45"/>
    </row>
    <row r="29" spans="2:28" x14ac:dyDescent="0.25">
      <c r="R29" s="27"/>
      <c r="S29" s="27"/>
      <c r="T29" s="27"/>
      <c r="Y29" s="45"/>
      <c r="Z29" s="45"/>
    </row>
    <row r="30" spans="2:28" x14ac:dyDescent="0.25">
      <c r="R30" s="27"/>
      <c r="S30" s="27"/>
      <c r="T30" s="27"/>
      <c r="V30" s="45"/>
      <c r="W30" s="45"/>
      <c r="X30" s="45"/>
      <c r="Y30" s="45"/>
      <c r="Z30" s="45"/>
      <c r="AA30" s="45"/>
      <c r="AB30" s="45"/>
    </row>
    <row r="31" spans="2:28" x14ac:dyDescent="0.25">
      <c r="R31" s="27"/>
      <c r="S31" s="27"/>
      <c r="T31" s="27"/>
      <c r="V31" s="45"/>
      <c r="W31" s="45"/>
      <c r="Y31" s="45"/>
      <c r="Z31" s="45"/>
      <c r="AA31" s="45"/>
      <c r="AB31" s="45"/>
    </row>
    <row r="32" spans="2:28" x14ac:dyDescent="0.25">
      <c r="R32" s="27"/>
      <c r="S32" s="27"/>
      <c r="T32" s="27"/>
      <c r="V32" s="45"/>
      <c r="W32" s="45"/>
      <c r="X32" s="45"/>
      <c r="Y32" s="45"/>
      <c r="Z32" s="45"/>
      <c r="AA32" s="45"/>
      <c r="AB32" s="45"/>
    </row>
    <row r="33" spans="2:35" x14ac:dyDescent="0.25">
      <c r="R33" s="27"/>
      <c r="S33" s="27"/>
      <c r="T33" s="27"/>
      <c r="V33" s="45"/>
      <c r="W33" s="45"/>
      <c r="X33" s="45"/>
      <c r="Y33" s="45"/>
      <c r="Z33" s="45"/>
      <c r="AA33" s="45"/>
      <c r="AB33" s="45"/>
    </row>
    <row r="34" spans="2:35" x14ac:dyDescent="0.25">
      <c r="R34" s="27"/>
      <c r="S34" s="27"/>
      <c r="T34" s="27"/>
      <c r="V34" s="45"/>
      <c r="W34" s="45"/>
      <c r="X34" s="45"/>
      <c r="Y34" s="45"/>
      <c r="Z34" s="45"/>
      <c r="AA34" s="45"/>
      <c r="AB34" s="45"/>
    </row>
    <row r="35" spans="2:35" ht="18.75" x14ac:dyDescent="0.25">
      <c r="L35" s="61" t="s">
        <v>1185</v>
      </c>
      <c r="M35" s="48"/>
      <c r="N35" s="48"/>
      <c r="O35" s="48"/>
      <c r="P35" s="48"/>
      <c r="Q35" s="48"/>
      <c r="R35" s="27"/>
      <c r="S35" s="27"/>
      <c r="T35" s="27"/>
      <c r="V35" s="45"/>
      <c r="W35" s="45"/>
      <c r="X35" s="282"/>
      <c r="Y35" s="45"/>
      <c r="Z35" s="45"/>
      <c r="AA35" s="45"/>
      <c r="AB35" s="45"/>
    </row>
    <row r="36" spans="2:35" x14ac:dyDescent="0.25">
      <c r="L36" s="48"/>
      <c r="M36" s="48"/>
      <c r="N36" s="48"/>
      <c r="O36" s="48"/>
      <c r="P36" s="48"/>
      <c r="Q36" s="48"/>
      <c r="R36" s="27"/>
      <c r="S36" s="27"/>
      <c r="T36" s="27"/>
      <c r="V36" s="45"/>
      <c r="W36" s="45"/>
      <c r="X36" s="282"/>
      <c r="Y36" s="45"/>
      <c r="Z36" s="45"/>
      <c r="AA36" s="45"/>
      <c r="AB36" s="45"/>
    </row>
    <row r="37" spans="2:35" x14ac:dyDescent="0.25">
      <c r="L37" s="48" t="s">
        <v>1186</v>
      </c>
      <c r="M37" s="48"/>
      <c r="N37" s="48"/>
      <c r="O37" s="48"/>
      <c r="P37" s="48"/>
      <c r="Q37" s="48"/>
      <c r="R37" s="27"/>
      <c r="S37" s="27"/>
      <c r="T37" s="27"/>
      <c r="V37" s="45"/>
      <c r="W37" s="45"/>
      <c r="X37" s="282"/>
      <c r="Y37" s="45"/>
      <c r="Z37" s="45"/>
      <c r="AA37" s="45"/>
      <c r="AB37" s="45"/>
    </row>
    <row r="38" spans="2:35" x14ac:dyDescent="0.25">
      <c r="E38" s="27"/>
      <c r="F38" s="27"/>
      <c r="G38" s="27"/>
      <c r="H38" s="27"/>
      <c r="I38" s="27"/>
      <c r="J38" s="27"/>
      <c r="K38" s="27"/>
      <c r="L38" s="48"/>
      <c r="M38" s="48"/>
      <c r="N38" s="48"/>
      <c r="O38" s="48"/>
      <c r="P38" s="48"/>
      <c r="Q38" s="48"/>
      <c r="R38" s="27"/>
      <c r="S38" s="27"/>
      <c r="T38" s="27"/>
      <c r="V38" s="45"/>
      <c r="W38" s="45"/>
      <c r="Y38" s="45"/>
      <c r="Z38" s="45"/>
    </row>
    <row r="39" spans="2:35" x14ac:dyDescent="0.25">
      <c r="B39" s="27"/>
      <c r="C39" s="27"/>
      <c r="D39" s="27"/>
      <c r="E39" s="27"/>
      <c r="F39" s="27"/>
      <c r="G39" s="27"/>
      <c r="H39" s="27"/>
      <c r="I39" s="27"/>
      <c r="J39" s="27"/>
      <c r="K39" s="27"/>
      <c r="L39" s="48"/>
      <c r="M39" s="48"/>
      <c r="N39" s="48"/>
      <c r="O39" s="48"/>
      <c r="P39" s="48"/>
      <c r="Q39" s="48"/>
      <c r="R39" s="27"/>
      <c r="S39" s="27"/>
      <c r="T39" s="27"/>
      <c r="V39" s="45"/>
      <c r="W39" s="45"/>
      <c r="X39" s="45"/>
      <c r="Y39" s="45"/>
      <c r="Z39" s="45"/>
      <c r="AA39" s="45"/>
      <c r="AB39" s="45"/>
    </row>
    <row r="40" spans="2:35" x14ac:dyDescent="0.25">
      <c r="B40" s="27"/>
      <c r="C40" s="27"/>
      <c r="D40" s="27"/>
      <c r="E40" s="27"/>
      <c r="F40" s="27"/>
      <c r="G40" s="27"/>
      <c r="H40" s="27"/>
      <c r="I40" s="27"/>
      <c r="J40" s="27"/>
      <c r="K40" s="27"/>
      <c r="L40" s="48"/>
      <c r="M40" s="48"/>
      <c r="N40" s="48"/>
      <c r="O40" s="48"/>
      <c r="P40" s="48"/>
      <c r="Q40" s="48"/>
      <c r="R40" s="27"/>
      <c r="S40" s="27"/>
      <c r="T40" s="27"/>
      <c r="V40" s="45"/>
      <c r="W40" s="45"/>
      <c r="X40" s="607"/>
      <c r="Y40" s="45"/>
      <c r="Z40" s="45"/>
      <c r="AA40" s="45"/>
      <c r="AB40" s="45"/>
    </row>
    <row r="41" spans="2:35" x14ac:dyDescent="0.25">
      <c r="B41" s="27"/>
      <c r="C41" s="27"/>
      <c r="D41" s="27"/>
      <c r="E41" s="27"/>
      <c r="F41" s="27"/>
      <c r="G41" s="27"/>
      <c r="H41" s="27"/>
      <c r="I41" s="27"/>
      <c r="J41" s="27"/>
      <c r="K41" s="27"/>
      <c r="L41" s="48"/>
      <c r="M41" s="48"/>
      <c r="N41" s="48"/>
      <c r="O41" s="48"/>
      <c r="P41" s="48"/>
      <c r="Q41" s="48"/>
      <c r="R41" s="27"/>
      <c r="S41" s="27"/>
      <c r="T41" s="27"/>
      <c r="V41" s="45"/>
      <c r="W41" s="45"/>
      <c r="X41" s="45"/>
      <c r="Y41" s="45"/>
      <c r="Z41" s="45"/>
      <c r="AA41" s="45"/>
      <c r="AB41" s="45"/>
    </row>
    <row r="42" spans="2:35" x14ac:dyDescent="0.25">
      <c r="B42" s="27"/>
      <c r="C42" s="27"/>
      <c r="D42" s="27"/>
      <c r="E42" s="27"/>
      <c r="F42" s="27"/>
      <c r="G42" s="27"/>
      <c r="H42" s="27"/>
      <c r="I42" s="27"/>
      <c r="J42" s="27"/>
      <c r="K42" s="27"/>
      <c r="L42" s="48"/>
      <c r="M42" s="48"/>
      <c r="N42" s="48"/>
      <c r="O42" s="48"/>
      <c r="P42" s="48"/>
      <c r="Q42" s="48"/>
      <c r="R42" s="27"/>
      <c r="S42" s="27"/>
      <c r="T42" s="27"/>
      <c r="V42" s="45"/>
      <c r="W42" s="45"/>
      <c r="X42" s="45"/>
      <c r="Y42" s="607"/>
      <c r="Z42" s="45"/>
      <c r="AA42" s="45"/>
      <c r="AB42" s="45"/>
    </row>
    <row r="43" spans="2:35" x14ac:dyDescent="0.25">
      <c r="B43" s="27"/>
      <c r="C43" s="27"/>
      <c r="D43" s="27"/>
      <c r="E43" s="27"/>
      <c r="F43" s="27"/>
      <c r="G43" s="27"/>
      <c r="H43" s="27"/>
      <c r="I43" s="27"/>
      <c r="J43" s="27"/>
      <c r="K43" s="27"/>
      <c r="L43" s="48"/>
      <c r="M43" s="48"/>
      <c r="N43" s="48"/>
      <c r="O43" s="48"/>
      <c r="P43" s="48"/>
      <c r="Q43" s="48"/>
      <c r="R43" s="27"/>
      <c r="S43" s="27"/>
      <c r="T43" s="27"/>
      <c r="V43" s="45"/>
      <c r="W43" s="45"/>
      <c r="X43" s="45"/>
      <c r="Y43" s="45"/>
      <c r="Z43" s="45"/>
      <c r="AA43" s="45"/>
      <c r="AB43" s="45"/>
    </row>
    <row r="44" spans="2:35" x14ac:dyDescent="0.25">
      <c r="B44" s="27"/>
      <c r="C44" s="27"/>
      <c r="D44" s="27"/>
      <c r="E44" s="27"/>
      <c r="F44" s="27"/>
      <c r="G44" s="27"/>
      <c r="H44" s="27"/>
      <c r="I44" s="27"/>
      <c r="J44" s="27"/>
      <c r="K44" s="27"/>
      <c r="L44" s="48"/>
      <c r="M44" s="48"/>
      <c r="N44" s="48"/>
      <c r="O44" s="48"/>
      <c r="P44" s="48"/>
      <c r="Q44" s="48"/>
      <c r="R44" s="27"/>
      <c r="S44" s="27"/>
      <c r="T44" s="27"/>
      <c r="V44" s="45"/>
      <c r="W44" s="45"/>
      <c r="X44" s="45"/>
      <c r="Y44" s="45"/>
      <c r="Z44" s="45"/>
      <c r="AA44" s="45"/>
      <c r="AB44" s="45"/>
    </row>
    <row r="45" spans="2:35" x14ac:dyDescent="0.25">
      <c r="B45" s="27"/>
      <c r="C45" s="27"/>
      <c r="D45" s="27"/>
      <c r="E45" s="27"/>
      <c r="F45" s="27"/>
      <c r="G45" s="27"/>
      <c r="H45" s="27"/>
      <c r="I45" s="27"/>
      <c r="J45" s="27"/>
      <c r="K45" s="27"/>
      <c r="L45" s="48"/>
      <c r="M45" s="48"/>
      <c r="N45" s="48"/>
      <c r="O45" s="48"/>
      <c r="P45" s="48"/>
      <c r="Q45" s="48"/>
      <c r="R45" s="27"/>
      <c r="S45" s="27"/>
      <c r="T45" s="27"/>
    </row>
    <row r="46" spans="2:35" ht="15.75" thickBot="1" x14ac:dyDescent="0.3">
      <c r="L46" s="48"/>
      <c r="M46" s="48"/>
      <c r="N46" s="48"/>
      <c r="O46" s="48"/>
      <c r="P46" s="48"/>
      <c r="Q46" s="48"/>
    </row>
    <row r="47" spans="2:35" ht="32.25" thickBot="1" x14ac:dyDescent="0.3">
      <c r="L47" s="48"/>
      <c r="M47" s="48"/>
      <c r="N47" s="48"/>
      <c r="O47" s="48"/>
      <c r="P47" s="48"/>
      <c r="Q47" s="48"/>
      <c r="AG47" s="189" t="s">
        <v>858</v>
      </c>
      <c r="AH47" s="190" t="s">
        <v>905</v>
      </c>
      <c r="AI47" s="126" t="s">
        <v>859</v>
      </c>
    </row>
    <row r="48" spans="2:35" ht="60" x14ac:dyDescent="0.25">
      <c r="L48" s="48"/>
      <c r="M48" s="48"/>
      <c r="N48" s="48"/>
      <c r="O48" s="48"/>
      <c r="P48" s="48"/>
      <c r="Q48" s="48"/>
      <c r="AG48" s="138" t="s">
        <v>947</v>
      </c>
      <c r="AH48" s="122" t="s">
        <v>876</v>
      </c>
      <c r="AI48" s="139" t="s">
        <v>68</v>
      </c>
    </row>
    <row r="49" spans="12:35" ht="60" x14ac:dyDescent="0.25">
      <c r="L49" s="48"/>
      <c r="M49" s="48"/>
      <c r="N49" s="48"/>
      <c r="O49" s="48"/>
      <c r="P49" s="48"/>
      <c r="Q49" s="48"/>
      <c r="AG49" s="127" t="s">
        <v>892</v>
      </c>
      <c r="AH49" s="119" t="s">
        <v>891</v>
      </c>
      <c r="AI49" s="128" t="s">
        <v>68</v>
      </c>
    </row>
    <row r="50" spans="12:35" ht="60" x14ac:dyDescent="0.25">
      <c r="L50" s="48"/>
      <c r="M50" s="48"/>
      <c r="N50" s="48"/>
      <c r="O50" s="48"/>
      <c r="P50" s="48"/>
      <c r="Q50" s="48"/>
      <c r="AG50" s="129" t="s">
        <v>951</v>
      </c>
      <c r="AH50" s="120" t="s">
        <v>907</v>
      </c>
      <c r="AI50" s="130" t="s">
        <v>68</v>
      </c>
    </row>
    <row r="51" spans="12:35" ht="45" x14ac:dyDescent="0.25">
      <c r="L51" s="48"/>
      <c r="M51" s="48"/>
      <c r="N51" s="48"/>
      <c r="O51" s="48"/>
      <c r="P51" s="48"/>
      <c r="Q51" s="48"/>
      <c r="AG51" s="131" t="s">
        <v>948</v>
      </c>
      <c r="AH51" s="121" t="s">
        <v>875</v>
      </c>
      <c r="AI51" s="128" t="s">
        <v>68</v>
      </c>
    </row>
    <row r="52" spans="12:35" ht="60" x14ac:dyDescent="0.25">
      <c r="L52" s="48"/>
      <c r="M52" s="48"/>
      <c r="N52" s="48"/>
      <c r="O52" s="48"/>
      <c r="P52" s="48"/>
      <c r="Q52" s="48"/>
      <c r="AG52" s="132" t="s">
        <v>946</v>
      </c>
      <c r="AH52" s="122" t="s">
        <v>878</v>
      </c>
      <c r="AI52" s="130" t="s">
        <v>68</v>
      </c>
    </row>
    <row r="53" spans="12:35" ht="75" x14ac:dyDescent="0.25">
      <c r="AG53" s="127" t="s">
        <v>949</v>
      </c>
      <c r="AH53" s="119" t="s">
        <v>934</v>
      </c>
      <c r="AI53" s="128" t="s">
        <v>68</v>
      </c>
    </row>
    <row r="54" spans="12:35" ht="60" x14ac:dyDescent="0.25">
      <c r="AG54" s="129" t="s">
        <v>944</v>
      </c>
      <c r="AH54" s="120" t="s">
        <v>879</v>
      </c>
      <c r="AI54" s="130" t="s">
        <v>68</v>
      </c>
    </row>
    <row r="55" spans="12:35" ht="60" x14ac:dyDescent="0.25">
      <c r="AG55" s="133" t="s">
        <v>945</v>
      </c>
      <c r="AH55" s="119" t="s">
        <v>880</v>
      </c>
      <c r="AI55" s="128" t="s">
        <v>68</v>
      </c>
    </row>
    <row r="56" spans="12:35" ht="45" x14ac:dyDescent="0.25">
      <c r="AG56" s="134" t="s">
        <v>860</v>
      </c>
      <c r="AH56" s="120" t="s">
        <v>877</v>
      </c>
      <c r="AI56" s="130" t="s">
        <v>68</v>
      </c>
    </row>
    <row r="57" spans="12:35" ht="45" x14ac:dyDescent="0.25">
      <c r="AG57" s="131" t="s">
        <v>861</v>
      </c>
      <c r="AH57" s="119" t="s">
        <v>882</v>
      </c>
      <c r="AI57" s="128" t="s">
        <v>68</v>
      </c>
    </row>
    <row r="58" spans="12:35" ht="45" x14ac:dyDescent="0.25">
      <c r="AG58" s="134" t="s">
        <v>862</v>
      </c>
      <c r="AH58" s="120" t="s">
        <v>881</v>
      </c>
      <c r="AI58" s="130" t="s">
        <v>68</v>
      </c>
    </row>
    <row r="59" spans="12:35" ht="45.75" thickBot="1" x14ac:dyDescent="0.3">
      <c r="AG59" s="135" t="s">
        <v>863</v>
      </c>
      <c r="AH59" s="136" t="s">
        <v>883</v>
      </c>
      <c r="AI59" s="137" t="s">
        <v>68</v>
      </c>
    </row>
    <row r="60" spans="12:35" ht="75" x14ac:dyDescent="0.25">
      <c r="AG60" s="140" t="s">
        <v>938</v>
      </c>
      <c r="AH60" s="141" t="s">
        <v>890</v>
      </c>
      <c r="AI60" s="142" t="s">
        <v>128</v>
      </c>
    </row>
    <row r="61" spans="12:35" ht="75" x14ac:dyDescent="0.25">
      <c r="AG61" s="143" t="s">
        <v>939</v>
      </c>
      <c r="AH61" s="40" t="s">
        <v>895</v>
      </c>
      <c r="AI61" s="144" t="s">
        <v>128</v>
      </c>
    </row>
    <row r="62" spans="12:35" ht="60" x14ac:dyDescent="0.25">
      <c r="AG62" s="145" t="s">
        <v>884</v>
      </c>
      <c r="AH62" s="39" t="s">
        <v>894</v>
      </c>
      <c r="AI62" s="146" t="s">
        <v>128</v>
      </c>
    </row>
    <row r="63" spans="12:35" ht="90" x14ac:dyDescent="0.25">
      <c r="AG63" s="143" t="s">
        <v>897</v>
      </c>
      <c r="AH63" s="40" t="s">
        <v>898</v>
      </c>
      <c r="AI63" s="144" t="s">
        <v>128</v>
      </c>
    </row>
    <row r="64" spans="12:35" ht="45" x14ac:dyDescent="0.25">
      <c r="AG64" s="147" t="s">
        <v>899</v>
      </c>
      <c r="AH64" s="39" t="s">
        <v>900</v>
      </c>
      <c r="AI64" s="146" t="s">
        <v>128</v>
      </c>
    </row>
    <row r="65" spans="33:35" ht="75" x14ac:dyDescent="0.25">
      <c r="AG65" s="148" t="s">
        <v>885</v>
      </c>
      <c r="AH65" s="40" t="s">
        <v>896</v>
      </c>
      <c r="AI65" s="144" t="s">
        <v>128</v>
      </c>
    </row>
    <row r="66" spans="33:35" ht="60" x14ac:dyDescent="0.25">
      <c r="AG66" s="147" t="s">
        <v>886</v>
      </c>
      <c r="AH66" s="39" t="s">
        <v>901</v>
      </c>
      <c r="AI66" s="146" t="s">
        <v>128</v>
      </c>
    </row>
    <row r="67" spans="33:35" ht="45" x14ac:dyDescent="0.25">
      <c r="AG67" s="148" t="s">
        <v>887</v>
      </c>
      <c r="AH67" s="40" t="s">
        <v>902</v>
      </c>
      <c r="AI67" s="144" t="s">
        <v>128</v>
      </c>
    </row>
    <row r="68" spans="33:35" ht="45" x14ac:dyDescent="0.25">
      <c r="AG68" s="147" t="s">
        <v>856</v>
      </c>
      <c r="AH68" s="39" t="s">
        <v>903</v>
      </c>
      <c r="AI68" s="146" t="s">
        <v>128</v>
      </c>
    </row>
    <row r="69" spans="33:35" ht="45" x14ac:dyDescent="0.25">
      <c r="AG69" s="148" t="s">
        <v>888</v>
      </c>
      <c r="AH69" s="40" t="s">
        <v>904</v>
      </c>
      <c r="AI69" s="144" t="s">
        <v>128</v>
      </c>
    </row>
    <row r="70" spans="33:35" ht="45" x14ac:dyDescent="0.25">
      <c r="AG70" s="147" t="s">
        <v>889</v>
      </c>
      <c r="AH70" s="39" t="s">
        <v>906</v>
      </c>
      <c r="AI70" s="146" t="s">
        <v>128</v>
      </c>
    </row>
    <row r="71" spans="33:35" ht="45" x14ac:dyDescent="0.25">
      <c r="AG71" s="149" t="s">
        <v>864</v>
      </c>
      <c r="AH71" s="40" t="s">
        <v>908</v>
      </c>
      <c r="AI71" s="144" t="s">
        <v>128</v>
      </c>
    </row>
    <row r="72" spans="33:35" ht="75.75" thickBot="1" x14ac:dyDescent="0.3">
      <c r="AG72" s="150" t="s">
        <v>910</v>
      </c>
      <c r="AH72" s="151" t="s">
        <v>909</v>
      </c>
      <c r="AI72" s="152" t="s">
        <v>128</v>
      </c>
    </row>
    <row r="73" spans="33:35" ht="90" x14ac:dyDescent="0.25">
      <c r="AG73" s="153" t="s">
        <v>849</v>
      </c>
      <c r="AH73" s="154" t="s">
        <v>988</v>
      </c>
      <c r="AI73" s="155" t="s">
        <v>935</v>
      </c>
    </row>
    <row r="74" spans="33:35" ht="30" x14ac:dyDescent="0.25">
      <c r="AG74" s="156" t="s">
        <v>1075</v>
      </c>
      <c r="AH74" s="123" t="s">
        <v>1111</v>
      </c>
      <c r="AI74" s="157" t="s">
        <v>935</v>
      </c>
    </row>
    <row r="75" spans="33:35" ht="30" x14ac:dyDescent="0.25">
      <c r="AG75" s="158" t="s">
        <v>1076</v>
      </c>
      <c r="AH75" s="123" t="s">
        <v>1077</v>
      </c>
      <c r="AI75" s="157" t="s">
        <v>935</v>
      </c>
    </row>
    <row r="76" spans="33:35" ht="77.25" x14ac:dyDescent="0.25">
      <c r="AG76" s="159" t="s">
        <v>940</v>
      </c>
      <c r="AH76" s="53" t="s">
        <v>912</v>
      </c>
      <c r="AI76" s="160" t="s">
        <v>935</v>
      </c>
    </row>
    <row r="77" spans="33:35" ht="45" x14ac:dyDescent="0.25">
      <c r="AG77" s="161" t="s">
        <v>941</v>
      </c>
      <c r="AH77" s="123" t="s">
        <v>911</v>
      </c>
      <c r="AI77" s="157" t="s">
        <v>935</v>
      </c>
    </row>
    <row r="78" spans="33:35" ht="81.75" x14ac:dyDescent="0.25">
      <c r="AG78" s="162" t="s">
        <v>865</v>
      </c>
      <c r="AH78" s="123" t="s">
        <v>913</v>
      </c>
      <c r="AI78" s="157" t="s">
        <v>935</v>
      </c>
    </row>
    <row r="79" spans="33:35" ht="45" x14ac:dyDescent="0.25">
      <c r="AG79" s="163" t="s">
        <v>950</v>
      </c>
      <c r="AH79" s="53" t="s">
        <v>911</v>
      </c>
      <c r="AI79" s="160" t="s">
        <v>935</v>
      </c>
    </row>
    <row r="80" spans="33:35" ht="60" x14ac:dyDescent="0.25">
      <c r="AG80" s="162" t="s">
        <v>857</v>
      </c>
      <c r="AH80" s="123" t="s">
        <v>874</v>
      </c>
      <c r="AI80" s="157" t="s">
        <v>935</v>
      </c>
    </row>
    <row r="81" spans="33:35" ht="75" x14ac:dyDescent="0.25">
      <c r="AG81" s="164" t="s">
        <v>893</v>
      </c>
      <c r="AH81" s="53" t="s">
        <v>914</v>
      </c>
      <c r="AI81" s="160" t="s">
        <v>935</v>
      </c>
    </row>
    <row r="82" spans="33:35" ht="30" x14ac:dyDescent="0.25">
      <c r="AG82" s="162" t="s">
        <v>851</v>
      </c>
      <c r="AH82" s="123" t="s">
        <v>915</v>
      </c>
      <c r="AI82" s="157" t="s">
        <v>935</v>
      </c>
    </row>
    <row r="83" spans="33:35" ht="45.75" thickBot="1" x14ac:dyDescent="0.3">
      <c r="AG83" s="165" t="s">
        <v>850</v>
      </c>
      <c r="AH83" s="166" t="s">
        <v>926</v>
      </c>
      <c r="AI83" s="167" t="s">
        <v>935</v>
      </c>
    </row>
    <row r="84" spans="33:35" ht="45" x14ac:dyDescent="0.25">
      <c r="AG84" s="168" t="s">
        <v>866</v>
      </c>
      <c r="AH84" s="169" t="s">
        <v>916</v>
      </c>
      <c r="AI84" s="170" t="s">
        <v>936</v>
      </c>
    </row>
    <row r="85" spans="33:35" ht="60" x14ac:dyDescent="0.25">
      <c r="AG85" s="171" t="s">
        <v>855</v>
      </c>
      <c r="AH85" s="125" t="s">
        <v>917</v>
      </c>
      <c r="AI85" s="172" t="s">
        <v>936</v>
      </c>
    </row>
    <row r="86" spans="33:35" ht="120" x14ac:dyDescent="0.25">
      <c r="AG86" s="173" t="s">
        <v>867</v>
      </c>
      <c r="AH86" s="124" t="s">
        <v>918</v>
      </c>
      <c r="AI86" s="174" t="s">
        <v>936</v>
      </c>
    </row>
    <row r="87" spans="33:35" ht="30" x14ac:dyDescent="0.25">
      <c r="AG87" s="173" t="s">
        <v>868</v>
      </c>
      <c r="AH87" s="124" t="s">
        <v>919</v>
      </c>
      <c r="AI87" s="174" t="s">
        <v>936</v>
      </c>
    </row>
    <row r="88" spans="33:35" ht="45" x14ac:dyDescent="0.25">
      <c r="AG88" s="173" t="s">
        <v>869</v>
      </c>
      <c r="AH88" s="124" t="s">
        <v>920</v>
      </c>
      <c r="AI88" s="174" t="s">
        <v>936</v>
      </c>
    </row>
    <row r="89" spans="33:35" ht="45" x14ac:dyDescent="0.25">
      <c r="AG89" s="175" t="s">
        <v>870</v>
      </c>
      <c r="AH89" s="125" t="s">
        <v>921</v>
      </c>
      <c r="AI89" s="172" t="s">
        <v>936</v>
      </c>
    </row>
    <row r="90" spans="33:35" ht="45" x14ac:dyDescent="0.25">
      <c r="AG90" s="173" t="s">
        <v>852</v>
      </c>
      <c r="AH90" s="124" t="s">
        <v>922</v>
      </c>
      <c r="AI90" s="174" t="s">
        <v>936</v>
      </c>
    </row>
    <row r="91" spans="33:35" ht="45" x14ac:dyDescent="0.25">
      <c r="AG91" s="175" t="s">
        <v>853</v>
      </c>
      <c r="AH91" s="125" t="s">
        <v>923</v>
      </c>
      <c r="AI91" s="172" t="s">
        <v>936</v>
      </c>
    </row>
    <row r="92" spans="33:35" ht="45.75" thickBot="1" x14ac:dyDescent="0.3">
      <c r="AG92" s="176" t="s">
        <v>854</v>
      </c>
      <c r="AH92" s="177" t="s">
        <v>924</v>
      </c>
      <c r="AI92" s="178" t="s">
        <v>936</v>
      </c>
    </row>
    <row r="93" spans="33:35" ht="45" x14ac:dyDescent="0.25">
      <c r="AG93" s="179" t="s">
        <v>871</v>
      </c>
      <c r="AH93" s="180" t="s">
        <v>925</v>
      </c>
      <c r="AI93" s="181" t="s">
        <v>937</v>
      </c>
    </row>
    <row r="94" spans="33:35" ht="75" x14ac:dyDescent="0.25">
      <c r="AG94" s="182" t="s">
        <v>910</v>
      </c>
      <c r="AH94" s="41" t="s">
        <v>927</v>
      </c>
      <c r="AI94" s="183" t="s">
        <v>937</v>
      </c>
    </row>
    <row r="95" spans="33:35" ht="75" x14ac:dyDescent="0.25">
      <c r="AG95" s="184" t="s">
        <v>872</v>
      </c>
      <c r="AH95" s="42" t="s">
        <v>928</v>
      </c>
      <c r="AI95" s="185" t="s">
        <v>937</v>
      </c>
    </row>
    <row r="96" spans="33:35" ht="75" x14ac:dyDescent="0.25">
      <c r="AG96" s="182" t="s">
        <v>930</v>
      </c>
      <c r="AH96" s="41" t="s">
        <v>929</v>
      </c>
      <c r="AI96" s="183" t="s">
        <v>937</v>
      </c>
    </row>
    <row r="97" spans="33:35" ht="75" x14ac:dyDescent="0.25">
      <c r="AG97" s="184" t="s">
        <v>931</v>
      </c>
      <c r="AH97" s="42" t="s">
        <v>932</v>
      </c>
      <c r="AI97" s="185" t="s">
        <v>937</v>
      </c>
    </row>
    <row r="98" spans="33:35" ht="75.75" thickBot="1" x14ac:dyDescent="0.3">
      <c r="AG98" s="186" t="s">
        <v>873</v>
      </c>
      <c r="AH98" s="187" t="s">
        <v>933</v>
      </c>
      <c r="AI98" s="188" t="s">
        <v>937</v>
      </c>
    </row>
    <row r="142" spans="13:15" x14ac:dyDescent="0.25">
      <c r="M142" s="49"/>
      <c r="N142" s="192"/>
      <c r="O142" s="191"/>
    </row>
  </sheetData>
  <mergeCells count="3">
    <mergeCell ref="I7:L7"/>
    <mergeCell ref="F8:I8"/>
    <mergeCell ref="L16:M17"/>
  </mergeCells>
  <dataValidations count="10">
    <dataValidation type="list" allowBlank="1" showInputMessage="1" showErrorMessage="1" sqref="J24" xr:uid="{00000000-0002-0000-0000-000000000000}">
      <formula1>"1,2,3,4,5,6,7,8,9"</formula1>
    </dataValidation>
    <dataValidation type="list" allowBlank="1" showInputMessage="1" showErrorMessage="1" sqref="H10" xr:uid="{00000000-0002-0000-0000-000002000000}">
      <formula1>"assembly,component,both"</formula1>
    </dataValidation>
    <dataValidation type="list" allowBlank="1" showInputMessage="1" showErrorMessage="1" sqref="N17 X36:X37" xr:uid="{00000000-0002-0000-0000-000003000000}">
      <formula1>"Yes,No"</formula1>
    </dataValidation>
    <dataValidation type="decimal" allowBlank="1" showInputMessage="1" showErrorMessage="1" sqref="J23 L39 G17:G23" xr:uid="{00000000-0002-0000-0000-000004000000}">
      <formula1>0</formula1>
      <formula2>1</formula2>
    </dataValidation>
    <dataValidation type="list" allowBlank="1" showInputMessage="1" showErrorMessage="1" sqref="N19" xr:uid="{00000000-0002-0000-0000-000005000000}">
      <formula1>"A. of ORUs, 0.001"</formula1>
    </dataValidation>
    <dataValidation type="date" allowBlank="1" showInputMessage="1" showErrorMessage="1" sqref="C14" xr:uid="{00000000-0002-0000-0000-000006000000}">
      <formula1>44927</formula1>
      <formula2>48580</formula2>
    </dataValidation>
    <dataValidation type="whole" allowBlank="1" showInputMessage="1" showErrorMessage="1" sqref="N20" xr:uid="{00000000-0002-0000-0000-000007000000}">
      <formula1>1</formula1>
      <formula2>5</formula2>
    </dataValidation>
    <dataValidation type="whole" allowBlank="1" showInputMessage="1" showErrorMessage="1" sqref="C13" xr:uid="{00000000-0002-0000-0000-000008000000}">
      <formula1>1</formula1>
      <formula2>10</formula2>
    </dataValidation>
    <dataValidation type="list" allowBlank="1" showInputMessage="1" showErrorMessage="1" sqref="C11" xr:uid="{00000000-0002-0000-0000-000009000000}">
      <formula1>"1,2"</formula1>
    </dataValidation>
    <dataValidation type="list" allowBlank="1" showInputMessage="1" showErrorMessage="1" sqref="N23" xr:uid="{B0BBFC19-454E-4A9F-926C-5794947A886F}">
      <formula1>"None,2000,2005,2010,2015,2020,2025,2030"</formula1>
    </dataValidation>
  </dataValidations>
  <hyperlinks>
    <hyperlink ref="F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15</xdr:col>
                    <xdr:colOff>381000</xdr:colOff>
                    <xdr:row>11</xdr:row>
                    <xdr:rowOff>85725</xdr:rowOff>
                  </from>
                  <to>
                    <xdr:col>16</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15</xdr:col>
                    <xdr:colOff>190500</xdr:colOff>
                    <xdr:row>5</xdr:row>
                    <xdr:rowOff>342900</xdr:rowOff>
                  </from>
                  <to>
                    <xdr:col>16</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9</xdr:col>
                    <xdr:colOff>19050</xdr:colOff>
                    <xdr:row>4</xdr:row>
                    <xdr:rowOff>180975</xdr:rowOff>
                  </from>
                  <to>
                    <xdr:col>10</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C17</xm:sqref>
        </x14:dataValidation>
        <x14:dataValidation type="list" allowBlank="1" showInputMessage="1" showErrorMessage="1" xr:uid="{F542C5EC-BB2D-4C9D-9B3E-9BF87483D427}">
          <x14:formula1>
            <xm:f>'ECLSS Functions'!$B$3:$B$56</xm:f>
          </x14:formula1>
          <xm:sqref>I7:L7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zoomScale="90" zoomScaleNormal="90" workbookViewId="0">
      <pane ySplit="2" topLeftCell="A11" activePane="bottomLeft" state="frozen"/>
      <selection pane="bottomLeft" activeCell="E1" sqref="E1"/>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1067</v>
      </c>
      <c r="B1" s="262" t="s">
        <v>1458</v>
      </c>
      <c r="C1" s="262" t="s">
        <v>1136</v>
      </c>
      <c r="D1" s="262" t="s">
        <v>958</v>
      </c>
      <c r="E1" s="262" t="s">
        <v>1143</v>
      </c>
      <c r="F1" s="262" t="s">
        <v>1137</v>
      </c>
      <c r="G1" s="262" t="s">
        <v>1244</v>
      </c>
      <c r="H1" s="262" t="s">
        <v>1245</v>
      </c>
      <c r="I1" s="262" t="s">
        <v>1438</v>
      </c>
      <c r="J1" s="262" t="s">
        <v>1246</v>
      </c>
      <c r="K1" s="262" t="s">
        <v>1448</v>
      </c>
      <c r="L1" s="262" t="s">
        <v>1447</v>
      </c>
      <c r="M1" s="262" t="s">
        <v>1389</v>
      </c>
      <c r="N1" s="262" t="s">
        <v>1385</v>
      </c>
      <c r="O1" s="263" t="s">
        <v>840</v>
      </c>
      <c r="P1" s="262" t="s">
        <v>1248</v>
      </c>
      <c r="Q1" s="262" t="s">
        <v>1387</v>
      </c>
      <c r="R1" s="262" t="s">
        <v>1446</v>
      </c>
      <c r="S1" s="264" t="s">
        <v>2</v>
      </c>
    </row>
    <row r="2" spans="1:19" ht="15" x14ac:dyDescent="0.25">
      <c r="A2" s="740" t="s">
        <v>1560</v>
      </c>
      <c r="B2" s="741" t="s">
        <v>1459</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1554</v>
      </c>
      <c r="B3" t="s">
        <v>1267</v>
      </c>
      <c r="C3" t="s">
        <v>66</v>
      </c>
      <c r="D3" t="s">
        <v>131</v>
      </c>
      <c r="E3" t="s">
        <v>24</v>
      </c>
      <c r="F3" t="s">
        <v>35</v>
      </c>
      <c r="G3">
        <v>2486.7656410595614</v>
      </c>
      <c r="H3">
        <v>23.503613510992832</v>
      </c>
      <c r="I3">
        <v>0</v>
      </c>
      <c r="J3">
        <v>0</v>
      </c>
      <c r="K3">
        <v>0</v>
      </c>
      <c r="L3">
        <v>0</v>
      </c>
      <c r="M3">
        <v>6560.8542616031746</v>
      </c>
      <c r="N3">
        <v>0.97115587549573401</v>
      </c>
      <c r="O3">
        <v>0</v>
      </c>
      <c r="P3">
        <v>0</v>
      </c>
      <c r="Q3">
        <v>62763182.182294965</v>
      </c>
      <c r="R3">
        <v>62763182.182294965</v>
      </c>
      <c r="S3">
        <v>62763182.182294965</v>
      </c>
    </row>
    <row r="4" spans="1:19" ht="15" x14ac:dyDescent="0.25">
      <c r="A4" t="s">
        <v>1555</v>
      </c>
      <c r="B4" t="s">
        <v>1267</v>
      </c>
      <c r="C4" t="s">
        <v>66</v>
      </c>
      <c r="D4" t="s">
        <v>131</v>
      </c>
      <c r="E4" t="s">
        <v>24</v>
      </c>
      <c r="F4" t="s">
        <v>35</v>
      </c>
      <c r="G4">
        <v>76.473053719124607</v>
      </c>
      <c r="H4">
        <v>0.41906936674476747</v>
      </c>
      <c r="I4">
        <v>0</v>
      </c>
      <c r="J4">
        <v>0</v>
      </c>
      <c r="K4">
        <v>0</v>
      </c>
      <c r="L4">
        <v>0</v>
      </c>
      <c r="M4">
        <v>149.61815412724334</v>
      </c>
      <c r="N4">
        <v>0.97115587549573401</v>
      </c>
      <c r="O4">
        <v>0</v>
      </c>
      <c r="P4">
        <v>0</v>
      </c>
      <c r="Q4">
        <v>1407128.6391181753</v>
      </c>
      <c r="R4">
        <v>1407128.6391181753</v>
      </c>
      <c r="S4">
        <v>1407128.6391181753</v>
      </c>
    </row>
    <row r="5" spans="1:19" ht="15" x14ac:dyDescent="0.25">
      <c r="A5" t="s">
        <v>1556</v>
      </c>
      <c r="B5" t="s">
        <v>1490</v>
      </c>
      <c r="C5" t="s">
        <v>66</v>
      </c>
      <c r="D5" t="s">
        <v>131</v>
      </c>
      <c r="E5" t="s">
        <v>24</v>
      </c>
      <c r="F5" t="s">
        <v>35</v>
      </c>
      <c r="G5">
        <v>2863.4002049695355</v>
      </c>
      <c r="H5">
        <v>5.7473615372874161</v>
      </c>
      <c r="I5">
        <v>0</v>
      </c>
      <c r="J5">
        <v>0</v>
      </c>
      <c r="K5">
        <v>0</v>
      </c>
      <c r="L5">
        <v>0</v>
      </c>
      <c r="M5">
        <v>6560.8542616031746</v>
      </c>
      <c r="N5">
        <v>0.8887528261660087</v>
      </c>
      <c r="O5">
        <v>0</v>
      </c>
      <c r="P5">
        <v>0</v>
      </c>
      <c r="Q5">
        <v>47420718.817098543</v>
      </c>
      <c r="R5">
        <v>47420718.817098543</v>
      </c>
      <c r="S5">
        <v>47420718.817098543</v>
      </c>
    </row>
    <row r="6" spans="1:19" ht="15" x14ac:dyDescent="0.25">
      <c r="A6" t="s">
        <v>1557</v>
      </c>
      <c r="B6" t="s">
        <v>1490</v>
      </c>
      <c r="C6" t="s">
        <v>66</v>
      </c>
      <c r="D6" t="s">
        <v>131</v>
      </c>
      <c r="E6" t="s">
        <v>24</v>
      </c>
      <c r="F6" t="s">
        <v>35</v>
      </c>
      <c r="G6">
        <v>75.077564858070531</v>
      </c>
      <c r="H6">
        <v>0.19745117415954211</v>
      </c>
      <c r="I6">
        <v>0</v>
      </c>
      <c r="J6">
        <v>0</v>
      </c>
      <c r="K6">
        <v>0</v>
      </c>
      <c r="L6">
        <v>0</v>
      </c>
      <c r="M6">
        <v>149.61815412724334</v>
      </c>
      <c r="N6">
        <v>0.8887528261660087</v>
      </c>
      <c r="O6">
        <v>0</v>
      </c>
      <c r="P6">
        <v>0</v>
      </c>
      <c r="Q6">
        <v>1188525.1238173486</v>
      </c>
      <c r="R6">
        <v>1188525.1238173486</v>
      </c>
      <c r="S6">
        <v>1188525.1238173486</v>
      </c>
    </row>
    <row r="7" spans="1:19" ht="15" x14ac:dyDescent="0.25">
      <c r="A7" t="s">
        <v>1558</v>
      </c>
      <c r="B7" t="s">
        <v>1264</v>
      </c>
      <c r="C7" t="s">
        <v>46</v>
      </c>
      <c r="D7" t="s">
        <v>131</v>
      </c>
      <c r="E7" t="s">
        <v>24</v>
      </c>
      <c r="F7" t="s">
        <v>35</v>
      </c>
      <c r="G7">
        <v>8853.5421935470513</v>
      </c>
      <c r="H7">
        <v>5.8944662690496195</v>
      </c>
      <c r="I7">
        <v>0</v>
      </c>
      <c r="J7">
        <v>0</v>
      </c>
      <c r="K7">
        <v>0</v>
      </c>
      <c r="L7">
        <v>0</v>
      </c>
      <c r="M7">
        <v>5861.0640000000003</v>
      </c>
      <c r="N7">
        <v>0.8618305705469439</v>
      </c>
      <c r="O7">
        <v>0</v>
      </c>
      <c r="P7">
        <v>0</v>
      </c>
      <c r="Q7">
        <v>71089484.219725028</v>
      </c>
      <c r="R7">
        <v>71089484.219725028</v>
      </c>
      <c r="S7">
        <v>71089484.219725028</v>
      </c>
    </row>
    <row r="8" spans="1:19" ht="15" x14ac:dyDescent="0.25">
      <c r="A8" t="s">
        <v>1559</v>
      </c>
      <c r="B8" t="s">
        <v>1264</v>
      </c>
      <c r="C8" t="s">
        <v>46</v>
      </c>
      <c r="D8" t="s">
        <v>131</v>
      </c>
      <c r="E8" t="s">
        <v>24</v>
      </c>
      <c r="F8" t="s">
        <v>35</v>
      </c>
      <c r="G8">
        <v>11408.221889747958</v>
      </c>
      <c r="H8">
        <v>7.5964136324663238</v>
      </c>
      <c r="I8">
        <v>0</v>
      </c>
      <c r="J8">
        <v>0</v>
      </c>
      <c r="K8">
        <v>0</v>
      </c>
      <c r="L8">
        <v>0</v>
      </c>
      <c r="M8">
        <v>0</v>
      </c>
      <c r="N8">
        <v>0.8618305705469439</v>
      </c>
      <c r="O8">
        <v>0</v>
      </c>
      <c r="P8">
        <v>0</v>
      </c>
      <c r="Q8">
        <v>58016136.000198439</v>
      </c>
      <c r="R8">
        <v>58016136.000198439</v>
      </c>
      <c r="S8">
        <v>58016136.000198439</v>
      </c>
    </row>
    <row r="9" spans="1:19" ht="15" x14ac:dyDescent="0.25">
      <c r="A9" t="s">
        <v>100</v>
      </c>
      <c r="C9" t="s">
        <v>66</v>
      </c>
      <c r="D9" t="s">
        <v>101</v>
      </c>
      <c r="E9" t="s">
        <v>34</v>
      </c>
      <c r="F9" t="s">
        <v>26</v>
      </c>
      <c r="G9">
        <v>0.44766</v>
      </c>
      <c r="H9">
        <v>0</v>
      </c>
      <c r="I9">
        <v>0</v>
      </c>
      <c r="J9">
        <v>0</v>
      </c>
      <c r="K9">
        <v>0</v>
      </c>
      <c r="L9">
        <v>0</v>
      </c>
      <c r="M9">
        <v>0</v>
      </c>
      <c r="N9">
        <v>0</v>
      </c>
      <c r="O9">
        <v>0</v>
      </c>
      <c r="P9">
        <v>0</v>
      </c>
      <c r="Q9">
        <v>1990.878318</v>
      </c>
      <c r="R9">
        <v>1990.878318</v>
      </c>
      <c r="S9">
        <v>1990.878318</v>
      </c>
    </row>
    <row r="10" spans="1:19" ht="45" x14ac:dyDescent="0.25">
      <c r="A10" s="6" t="s">
        <v>220</v>
      </c>
      <c r="C10" t="s">
        <v>66</v>
      </c>
      <c r="D10" t="s">
        <v>23</v>
      </c>
      <c r="E10" t="s">
        <v>34</v>
      </c>
      <c r="F10" t="s">
        <v>35</v>
      </c>
      <c r="G10">
        <v>2.6330399999999998</v>
      </c>
      <c r="H10">
        <v>2.5479999999999999E-3</v>
      </c>
      <c r="I10">
        <v>0</v>
      </c>
      <c r="J10">
        <v>0</v>
      </c>
      <c r="K10">
        <v>0</v>
      </c>
      <c r="L10">
        <v>0</v>
      </c>
      <c r="M10">
        <v>0</v>
      </c>
      <c r="N10">
        <v>0.9685065820791976</v>
      </c>
      <c r="O10">
        <v>0</v>
      </c>
      <c r="P10">
        <v>0</v>
      </c>
      <c r="Q10">
        <v>14151.904538199999</v>
      </c>
      <c r="R10">
        <v>14151.904538199999</v>
      </c>
      <c r="S10">
        <v>14151.904538199999</v>
      </c>
    </row>
    <row r="11" spans="1:19" ht="45" x14ac:dyDescent="0.25">
      <c r="A11" s="6" t="s">
        <v>222</v>
      </c>
      <c r="C11" t="s">
        <v>66</v>
      </c>
      <c r="D11" t="s">
        <v>23</v>
      </c>
      <c r="E11" t="s">
        <v>34</v>
      </c>
      <c r="F11" t="s">
        <v>35</v>
      </c>
      <c r="G11">
        <v>2.6324999999999998</v>
      </c>
      <c r="H11">
        <v>0</v>
      </c>
      <c r="I11">
        <v>0</v>
      </c>
      <c r="J11">
        <v>0</v>
      </c>
      <c r="K11">
        <v>0</v>
      </c>
      <c r="L11">
        <v>0</v>
      </c>
      <c r="M11">
        <v>0</v>
      </c>
      <c r="N11">
        <v>0.9685065820791976</v>
      </c>
      <c r="O11">
        <v>0</v>
      </c>
      <c r="P11">
        <v>0</v>
      </c>
      <c r="Q11">
        <v>11707.517249999999</v>
      </c>
      <c r="R11">
        <v>11707.517249999999</v>
      </c>
      <c r="S11">
        <v>11707.517249999999</v>
      </c>
    </row>
    <row r="12" spans="1:19" ht="45" x14ac:dyDescent="0.25">
      <c r="A12" s="6" t="s">
        <v>2008</v>
      </c>
      <c r="C12" t="s">
        <v>66</v>
      </c>
      <c r="D12" t="s">
        <v>23</v>
      </c>
      <c r="E12" t="s">
        <v>34</v>
      </c>
      <c r="F12" t="s">
        <v>26</v>
      </c>
      <c r="G12">
        <v>1.6199999999999999</v>
      </c>
      <c r="H12">
        <v>1.4E-3</v>
      </c>
      <c r="I12">
        <v>0</v>
      </c>
      <c r="J12">
        <v>0</v>
      </c>
      <c r="K12">
        <v>0</v>
      </c>
      <c r="L12">
        <v>0</v>
      </c>
      <c r="M12">
        <v>0</v>
      </c>
      <c r="N12">
        <v>0</v>
      </c>
      <c r="O12">
        <v>0</v>
      </c>
      <c r="P12">
        <v>0</v>
      </c>
      <c r="Q12">
        <v>8546.3764100000008</v>
      </c>
      <c r="R12">
        <v>8546.3764100000008</v>
      </c>
      <c r="S12">
        <v>8546.3764100000008</v>
      </c>
    </row>
    <row r="13" spans="1:19" ht="45" x14ac:dyDescent="0.25">
      <c r="A13" s="6" t="s">
        <v>232</v>
      </c>
      <c r="C13" t="s">
        <v>66</v>
      </c>
      <c r="D13" t="s">
        <v>23</v>
      </c>
      <c r="E13" t="s">
        <v>34</v>
      </c>
      <c r="F13" t="s">
        <v>35</v>
      </c>
      <c r="G13">
        <v>0</v>
      </c>
      <c r="H13">
        <v>0</v>
      </c>
      <c r="I13">
        <v>0</v>
      </c>
      <c r="J13">
        <v>0</v>
      </c>
      <c r="K13">
        <v>0</v>
      </c>
      <c r="L13">
        <v>0</v>
      </c>
      <c r="M13">
        <v>0</v>
      </c>
      <c r="N13">
        <v>0.9685065820791976</v>
      </c>
      <c r="O13">
        <v>0</v>
      </c>
      <c r="P13">
        <v>0</v>
      </c>
      <c r="Q13">
        <v>0</v>
      </c>
      <c r="R13">
        <v>0</v>
      </c>
      <c r="S13">
        <v>0</v>
      </c>
    </row>
    <row r="14" spans="1:19" ht="15" x14ac:dyDescent="0.25">
      <c r="A14" t="s">
        <v>285</v>
      </c>
      <c r="C14" t="s">
        <v>66</v>
      </c>
      <c r="D14" t="s">
        <v>23</v>
      </c>
      <c r="E14" t="s">
        <v>34</v>
      </c>
      <c r="F14" t="s">
        <v>26</v>
      </c>
      <c r="G14">
        <v>0</v>
      </c>
      <c r="H14">
        <v>0</v>
      </c>
      <c r="I14">
        <v>0</v>
      </c>
      <c r="J14">
        <v>0</v>
      </c>
      <c r="K14">
        <v>0</v>
      </c>
      <c r="L14">
        <v>0</v>
      </c>
      <c r="M14">
        <v>0</v>
      </c>
      <c r="N14">
        <v>0</v>
      </c>
      <c r="O14">
        <v>0</v>
      </c>
      <c r="P14">
        <v>0</v>
      </c>
      <c r="Q14">
        <v>0</v>
      </c>
      <c r="R14">
        <v>0</v>
      </c>
      <c r="S14">
        <v>0</v>
      </c>
    </row>
    <row r="15" spans="1:19" ht="15" x14ac:dyDescent="0.25">
      <c r="A15" t="s">
        <v>288</v>
      </c>
      <c r="C15" t="s">
        <v>66</v>
      </c>
      <c r="D15" t="s">
        <v>23</v>
      </c>
      <c r="E15" t="s">
        <v>34</v>
      </c>
      <c r="F15" t="s">
        <v>26</v>
      </c>
      <c r="G15">
        <v>0</v>
      </c>
      <c r="H15">
        <v>0</v>
      </c>
      <c r="I15">
        <v>0</v>
      </c>
      <c r="J15">
        <v>0</v>
      </c>
      <c r="K15">
        <v>0</v>
      </c>
      <c r="L15">
        <v>0</v>
      </c>
      <c r="M15">
        <v>0</v>
      </c>
      <c r="N15">
        <v>0</v>
      </c>
      <c r="O15">
        <v>0</v>
      </c>
      <c r="P15">
        <v>0</v>
      </c>
      <c r="Q15">
        <v>0</v>
      </c>
      <c r="R15">
        <v>0</v>
      </c>
      <c r="S15">
        <v>0</v>
      </c>
    </row>
    <row r="16" spans="1:19" ht="15" x14ac:dyDescent="0.25">
      <c r="A16" t="s">
        <v>289</v>
      </c>
      <c r="C16" t="s">
        <v>66</v>
      </c>
      <c r="D16" t="s">
        <v>101</v>
      </c>
      <c r="E16" t="s">
        <v>34</v>
      </c>
      <c r="F16" t="s">
        <v>26</v>
      </c>
      <c r="G16">
        <v>0</v>
      </c>
      <c r="H16">
        <v>0</v>
      </c>
      <c r="I16">
        <v>0</v>
      </c>
      <c r="J16">
        <v>0</v>
      </c>
      <c r="K16">
        <v>0</v>
      </c>
      <c r="L16">
        <v>0</v>
      </c>
      <c r="M16">
        <v>0</v>
      </c>
      <c r="N16">
        <v>0</v>
      </c>
      <c r="O16">
        <v>0</v>
      </c>
      <c r="P16">
        <v>0</v>
      </c>
      <c r="Q16">
        <v>0</v>
      </c>
      <c r="R16">
        <v>0</v>
      </c>
      <c r="S16">
        <v>0</v>
      </c>
    </row>
    <row r="17" spans="1:19" ht="15" x14ac:dyDescent="0.25">
      <c r="A17" t="s">
        <v>301</v>
      </c>
      <c r="C17" t="s">
        <v>66</v>
      </c>
      <c r="D17" t="s">
        <v>23</v>
      </c>
      <c r="E17" t="s">
        <v>34</v>
      </c>
      <c r="F17" t="s">
        <v>26</v>
      </c>
      <c r="G17">
        <v>2.0249999999999999</v>
      </c>
      <c r="H17">
        <v>4.0000000000000001E-3</v>
      </c>
      <c r="I17">
        <v>0</v>
      </c>
      <c r="J17">
        <v>0</v>
      </c>
      <c r="K17">
        <v>0</v>
      </c>
      <c r="L17">
        <v>0</v>
      </c>
      <c r="M17">
        <v>0</v>
      </c>
      <c r="N17">
        <v>0.98098314599263647</v>
      </c>
      <c r="O17">
        <v>0</v>
      </c>
      <c r="P17">
        <v>0</v>
      </c>
      <c r="Q17">
        <v>12839.355100000001</v>
      </c>
      <c r="R17">
        <v>12839.355100000001</v>
      </c>
      <c r="S17">
        <v>12839.355100000001</v>
      </c>
    </row>
    <row r="18" spans="1:19" ht="15" x14ac:dyDescent="0.25">
      <c r="A18" t="s">
        <v>1577</v>
      </c>
      <c r="B18" t="s">
        <v>1467</v>
      </c>
      <c r="C18" t="s">
        <v>66</v>
      </c>
      <c r="D18" t="s">
        <v>23</v>
      </c>
      <c r="E18" t="s">
        <v>34</v>
      </c>
      <c r="F18" t="s">
        <v>35</v>
      </c>
      <c r="G18">
        <v>7.7249999999999996</v>
      </c>
      <c r="H18">
        <v>1.2200000000000001E-2</v>
      </c>
      <c r="I18">
        <v>0</v>
      </c>
      <c r="J18">
        <v>6.16</v>
      </c>
      <c r="K18">
        <v>0</v>
      </c>
      <c r="L18">
        <v>0</v>
      </c>
      <c r="M18">
        <v>0</v>
      </c>
      <c r="N18">
        <v>0</v>
      </c>
      <c r="O18">
        <v>0</v>
      </c>
      <c r="P18">
        <v>0</v>
      </c>
      <c r="Q18">
        <v>48431.185945999998</v>
      </c>
      <c r="R18">
        <v>48431.185945999998</v>
      </c>
      <c r="S18">
        <v>48431.185945999998</v>
      </c>
    </row>
    <row r="19" spans="1:19" ht="15" x14ac:dyDescent="0.25">
      <c r="A19" t="s">
        <v>306</v>
      </c>
      <c r="C19" t="s">
        <v>66</v>
      </c>
      <c r="D19" t="s">
        <v>23</v>
      </c>
      <c r="E19" t="s">
        <v>34</v>
      </c>
      <c r="F19" t="s">
        <v>26</v>
      </c>
      <c r="G19">
        <v>0</v>
      </c>
      <c r="H19">
        <v>0</v>
      </c>
      <c r="I19">
        <v>0</v>
      </c>
      <c r="J19">
        <v>0</v>
      </c>
      <c r="K19">
        <v>0</v>
      </c>
      <c r="L19">
        <v>0</v>
      </c>
      <c r="M19">
        <v>0</v>
      </c>
      <c r="N19">
        <v>0.99044593289721605</v>
      </c>
      <c r="O19">
        <v>0</v>
      </c>
      <c r="P19">
        <v>0</v>
      </c>
      <c r="Q19">
        <v>0</v>
      </c>
      <c r="R19">
        <v>0</v>
      </c>
      <c r="S19">
        <v>0</v>
      </c>
    </row>
    <row r="20" spans="1:19" ht="15" x14ac:dyDescent="0.25">
      <c r="A20" t="s">
        <v>2011</v>
      </c>
      <c r="C20" t="s">
        <v>66</v>
      </c>
      <c r="D20" t="s">
        <v>131</v>
      </c>
      <c r="E20" t="s">
        <v>24</v>
      </c>
      <c r="F20" t="s">
        <v>26</v>
      </c>
      <c r="G20">
        <v>2.7810000000000001</v>
      </c>
      <c r="H20">
        <v>3.6000000000000003E-3</v>
      </c>
      <c r="I20">
        <v>0</v>
      </c>
      <c r="J20">
        <v>0</v>
      </c>
      <c r="K20">
        <v>0</v>
      </c>
      <c r="L20">
        <v>0</v>
      </c>
      <c r="M20">
        <v>0</v>
      </c>
      <c r="N20">
        <v>0.90846401606870619</v>
      </c>
      <c r="O20">
        <v>0</v>
      </c>
      <c r="P20">
        <v>0</v>
      </c>
      <c r="Q20">
        <v>15818.156640000001</v>
      </c>
      <c r="R20">
        <v>15818.156640000001</v>
      </c>
      <c r="S20">
        <v>15818.156640000001</v>
      </c>
    </row>
    <row r="21" spans="1:19" ht="15" x14ac:dyDescent="0.25">
      <c r="A21" t="s">
        <v>323</v>
      </c>
      <c r="C21" t="s">
        <v>66</v>
      </c>
      <c r="D21" t="s">
        <v>23</v>
      </c>
      <c r="E21" t="s">
        <v>34</v>
      </c>
      <c r="F21" t="s">
        <v>26</v>
      </c>
      <c r="G21">
        <v>211.9</v>
      </c>
      <c r="H21">
        <v>45</v>
      </c>
      <c r="I21">
        <v>0</v>
      </c>
      <c r="J21">
        <v>0</v>
      </c>
      <c r="K21">
        <v>0</v>
      </c>
      <c r="L21">
        <v>0</v>
      </c>
      <c r="M21">
        <v>0</v>
      </c>
      <c r="N21">
        <v>0.98098314599263647</v>
      </c>
      <c r="O21">
        <v>0</v>
      </c>
      <c r="P21">
        <v>0</v>
      </c>
      <c r="Q21">
        <v>44070074.619999997</v>
      </c>
      <c r="R21">
        <v>44070074.619999997</v>
      </c>
      <c r="S21">
        <v>44070074.619999997</v>
      </c>
    </row>
    <row r="22" spans="1:19" ht="15" x14ac:dyDescent="0.25">
      <c r="A22" t="s">
        <v>324</v>
      </c>
      <c r="C22" t="s">
        <v>66</v>
      </c>
      <c r="D22" t="s">
        <v>23</v>
      </c>
      <c r="E22" t="s">
        <v>34</v>
      </c>
      <c r="F22" t="s">
        <v>26</v>
      </c>
      <c r="G22">
        <v>1.296</v>
      </c>
      <c r="H22">
        <v>2.5000000000000001E-3</v>
      </c>
      <c r="I22">
        <v>0</v>
      </c>
      <c r="J22">
        <v>0</v>
      </c>
      <c r="K22">
        <v>0</v>
      </c>
      <c r="L22">
        <v>0</v>
      </c>
      <c r="M22">
        <v>0</v>
      </c>
      <c r="N22">
        <v>0</v>
      </c>
      <c r="O22">
        <v>0</v>
      </c>
      <c r="P22">
        <v>0</v>
      </c>
      <c r="Q22">
        <v>8159.6836750000011</v>
      </c>
      <c r="R22">
        <v>8159.6836750000011</v>
      </c>
      <c r="S22">
        <v>8159.6836750000011</v>
      </c>
    </row>
    <row r="23" spans="1:19" ht="30" x14ac:dyDescent="0.25">
      <c r="A23" s="6" t="s">
        <v>327</v>
      </c>
      <c r="C23" t="s">
        <v>66</v>
      </c>
      <c r="D23" t="s">
        <v>23</v>
      </c>
      <c r="E23" t="s">
        <v>34</v>
      </c>
      <c r="F23" t="s">
        <v>35</v>
      </c>
      <c r="G23">
        <v>2.6330399999999998</v>
      </c>
      <c r="H23">
        <v>8.4900000000000004E-4</v>
      </c>
      <c r="I23">
        <v>0</v>
      </c>
      <c r="J23">
        <v>0</v>
      </c>
      <c r="K23">
        <v>0</v>
      </c>
      <c r="L23">
        <v>0</v>
      </c>
      <c r="M23">
        <v>0</v>
      </c>
      <c r="N23">
        <v>0</v>
      </c>
      <c r="O23">
        <v>0</v>
      </c>
      <c r="P23">
        <v>0</v>
      </c>
      <c r="Q23">
        <v>12523.59457635</v>
      </c>
      <c r="R23">
        <v>12523.59457635</v>
      </c>
      <c r="S23">
        <v>12523.59457635</v>
      </c>
    </row>
    <row r="24" spans="1:19" ht="30" x14ac:dyDescent="0.25">
      <c r="A24" s="6" t="s">
        <v>2012</v>
      </c>
      <c r="C24" t="s">
        <v>66</v>
      </c>
      <c r="D24" t="s">
        <v>23</v>
      </c>
      <c r="E24" t="s">
        <v>34</v>
      </c>
      <c r="F24" t="s">
        <v>26</v>
      </c>
      <c r="G24">
        <v>0.20439000000000002</v>
      </c>
      <c r="H24">
        <v>1.7084039999999997E-5</v>
      </c>
      <c r="I24">
        <v>0</v>
      </c>
      <c r="J24">
        <v>0</v>
      </c>
      <c r="K24">
        <v>0</v>
      </c>
      <c r="L24">
        <v>0</v>
      </c>
      <c r="M24">
        <v>0</v>
      </c>
      <c r="N24">
        <v>0</v>
      </c>
      <c r="O24">
        <v>0</v>
      </c>
      <c r="P24">
        <v>0</v>
      </c>
      <c r="Q24">
        <v>925.35687391032604</v>
      </c>
      <c r="R24">
        <v>925.35687391032604</v>
      </c>
      <c r="S24">
        <v>925.35687391032604</v>
      </c>
    </row>
    <row r="25" spans="1:19" ht="30" x14ac:dyDescent="0.25">
      <c r="A25" s="6" t="s">
        <v>333</v>
      </c>
      <c r="C25" t="s">
        <v>66</v>
      </c>
      <c r="D25" t="s">
        <v>23</v>
      </c>
      <c r="E25" t="s">
        <v>34</v>
      </c>
      <c r="F25" t="s">
        <v>26</v>
      </c>
      <c r="G25">
        <v>1.8360000000000001</v>
      </c>
      <c r="H25">
        <v>3.5000000000000003E-2</v>
      </c>
      <c r="I25">
        <v>0</v>
      </c>
      <c r="J25">
        <v>0</v>
      </c>
      <c r="K25">
        <v>0</v>
      </c>
      <c r="L25">
        <v>0</v>
      </c>
      <c r="M25">
        <v>0</v>
      </c>
      <c r="N25">
        <v>0</v>
      </c>
      <c r="O25">
        <v>0</v>
      </c>
      <c r="P25">
        <v>0</v>
      </c>
      <c r="Q25">
        <v>41709.003050000007</v>
      </c>
      <c r="R25">
        <v>41709.003050000007</v>
      </c>
      <c r="S25">
        <v>41709.003050000007</v>
      </c>
    </row>
    <row r="26" spans="1:19" ht="15" x14ac:dyDescent="0.25">
      <c r="A26" t="s">
        <v>1578</v>
      </c>
      <c r="B26" t="s">
        <v>221</v>
      </c>
      <c r="C26" t="s">
        <v>66</v>
      </c>
      <c r="D26" t="s">
        <v>23</v>
      </c>
      <c r="E26" t="s">
        <v>34</v>
      </c>
      <c r="F26" t="s">
        <v>35</v>
      </c>
      <c r="G26">
        <v>27.913</v>
      </c>
      <c r="H26">
        <v>5.2436000000000003E-2</v>
      </c>
      <c r="I26">
        <v>0</v>
      </c>
      <c r="J26">
        <v>126.56</v>
      </c>
      <c r="K26">
        <v>0</v>
      </c>
      <c r="L26">
        <v>0</v>
      </c>
      <c r="M26">
        <v>0</v>
      </c>
      <c r="N26">
        <v>0</v>
      </c>
      <c r="O26">
        <v>0</v>
      </c>
      <c r="P26">
        <v>0</v>
      </c>
      <c r="Q26">
        <v>223359.76316940002</v>
      </c>
      <c r="R26">
        <v>223359.76316940002</v>
      </c>
      <c r="S26">
        <v>223359.76316940002</v>
      </c>
    </row>
    <row r="27" spans="1:19" ht="15" x14ac:dyDescent="0.25">
      <c r="A27" t="s">
        <v>2013</v>
      </c>
      <c r="C27" t="s">
        <v>66</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1590</v>
      </c>
      <c r="B28" t="s">
        <v>1478</v>
      </c>
      <c r="C28" t="s">
        <v>66</v>
      </c>
      <c r="D28" t="s">
        <v>23</v>
      </c>
      <c r="E28" t="s">
        <v>34</v>
      </c>
      <c r="F28" t="s">
        <v>35</v>
      </c>
      <c r="G28">
        <v>7.29</v>
      </c>
      <c r="H28">
        <v>1.41E-2</v>
      </c>
      <c r="I28">
        <v>0</v>
      </c>
      <c r="J28">
        <v>52.5</v>
      </c>
      <c r="K28">
        <v>0</v>
      </c>
      <c r="L28">
        <v>0</v>
      </c>
      <c r="M28">
        <v>0</v>
      </c>
      <c r="N28">
        <v>0</v>
      </c>
      <c r="O28">
        <v>0</v>
      </c>
      <c r="P28">
        <v>0</v>
      </c>
      <c r="Q28">
        <v>66247.203164999999</v>
      </c>
      <c r="R28">
        <v>66247.203164999999</v>
      </c>
      <c r="S28">
        <v>66247.203164999999</v>
      </c>
    </row>
    <row r="29" spans="1:19" ht="15" x14ac:dyDescent="0.25">
      <c r="A29" t="s">
        <v>538</v>
      </c>
      <c r="C29" t="s">
        <v>66</v>
      </c>
      <c r="D29" t="s">
        <v>23</v>
      </c>
      <c r="E29" t="s">
        <v>34</v>
      </c>
      <c r="F29" t="s">
        <v>26</v>
      </c>
      <c r="G29">
        <v>0.94499999999999995</v>
      </c>
      <c r="H29">
        <v>4.2999999999999999E-4</v>
      </c>
      <c r="I29">
        <v>0</v>
      </c>
      <c r="J29">
        <v>0</v>
      </c>
      <c r="K29">
        <v>0</v>
      </c>
      <c r="L29">
        <v>0</v>
      </c>
      <c r="M29">
        <v>0</v>
      </c>
      <c r="N29">
        <v>0</v>
      </c>
      <c r="O29">
        <v>0</v>
      </c>
      <c r="P29">
        <v>0</v>
      </c>
      <c r="Q29">
        <v>4614.8075545000002</v>
      </c>
      <c r="R29">
        <v>4614.8075545000002</v>
      </c>
      <c r="S29">
        <v>4614.8075545000002</v>
      </c>
    </row>
    <row r="30" spans="1:19" ht="15" x14ac:dyDescent="0.25">
      <c r="A30" t="s">
        <v>539</v>
      </c>
      <c r="C30" t="s">
        <v>66</v>
      </c>
      <c r="D30" t="s">
        <v>23</v>
      </c>
      <c r="E30" t="s">
        <v>34</v>
      </c>
      <c r="F30" t="s">
        <v>35</v>
      </c>
      <c r="G30">
        <v>0</v>
      </c>
      <c r="H30">
        <v>0</v>
      </c>
      <c r="I30">
        <v>0</v>
      </c>
      <c r="J30">
        <v>0</v>
      </c>
      <c r="K30">
        <v>0</v>
      </c>
      <c r="L30">
        <v>0</v>
      </c>
      <c r="M30">
        <v>0</v>
      </c>
      <c r="N30">
        <v>0</v>
      </c>
      <c r="O30">
        <v>0</v>
      </c>
      <c r="P30">
        <v>0</v>
      </c>
      <c r="Q30">
        <v>0</v>
      </c>
      <c r="R30">
        <v>0</v>
      </c>
      <c r="S30">
        <v>0</v>
      </c>
    </row>
    <row r="31" spans="1:19" ht="15" x14ac:dyDescent="0.25">
      <c r="A31" t="s">
        <v>545</v>
      </c>
      <c r="C31" t="s">
        <v>66</v>
      </c>
      <c r="D31" t="s">
        <v>131</v>
      </c>
      <c r="E31" t="s">
        <v>24</v>
      </c>
      <c r="F31" t="s">
        <v>26</v>
      </c>
      <c r="G31">
        <v>16.335000000000001</v>
      </c>
      <c r="H31">
        <v>0</v>
      </c>
      <c r="I31">
        <v>0</v>
      </c>
      <c r="J31">
        <v>0</v>
      </c>
      <c r="K31">
        <v>0</v>
      </c>
      <c r="L31">
        <v>0</v>
      </c>
      <c r="M31">
        <v>0</v>
      </c>
      <c r="N31">
        <v>0</v>
      </c>
      <c r="O31">
        <v>0</v>
      </c>
      <c r="P31">
        <v>0</v>
      </c>
      <c r="Q31">
        <v>72646.645500000013</v>
      </c>
      <c r="R31">
        <v>72646.645500000013</v>
      </c>
      <c r="S31">
        <v>72646.645500000013</v>
      </c>
    </row>
    <row r="32" spans="1:19" ht="15" x14ac:dyDescent="0.25">
      <c r="A32" t="s">
        <v>960</v>
      </c>
      <c r="C32" t="s">
        <v>66</v>
      </c>
      <c r="D32" t="s">
        <v>131</v>
      </c>
      <c r="E32" t="s">
        <v>34</v>
      </c>
      <c r="F32" t="s">
        <v>26</v>
      </c>
      <c r="G32">
        <v>0</v>
      </c>
      <c r="H32">
        <v>1</v>
      </c>
      <c r="I32">
        <v>0</v>
      </c>
      <c r="J32">
        <v>0</v>
      </c>
      <c r="K32">
        <v>0</v>
      </c>
      <c r="L32">
        <v>0</v>
      </c>
      <c r="M32">
        <v>0</v>
      </c>
      <c r="N32">
        <v>0</v>
      </c>
      <c r="O32">
        <v>0</v>
      </c>
      <c r="P32">
        <v>0</v>
      </c>
      <c r="Q32">
        <v>958393.15</v>
      </c>
      <c r="R32">
        <v>958393.15</v>
      </c>
      <c r="S32">
        <v>958393.15</v>
      </c>
    </row>
    <row r="33" spans="1:19" ht="15" x14ac:dyDescent="0.25">
      <c r="A33" t="s">
        <v>2004</v>
      </c>
      <c r="C33" t="s">
        <v>22</v>
      </c>
      <c r="D33" t="s">
        <v>23</v>
      </c>
      <c r="E33" t="s">
        <v>24</v>
      </c>
      <c r="F33" t="s">
        <v>26</v>
      </c>
      <c r="G33">
        <v>150.99799999999999</v>
      </c>
      <c r="H33">
        <v>0.30399999999999999</v>
      </c>
      <c r="I33">
        <v>0</v>
      </c>
      <c r="J33">
        <v>0</v>
      </c>
      <c r="K33">
        <v>0</v>
      </c>
      <c r="L33">
        <v>0</v>
      </c>
      <c r="M33">
        <v>0</v>
      </c>
      <c r="N33">
        <v>0.95633102749995003</v>
      </c>
      <c r="O33">
        <v>0</v>
      </c>
      <c r="P33">
        <v>1.2176560121765602E-3</v>
      </c>
      <c r="Q33">
        <v>962884.92299999995</v>
      </c>
      <c r="R33">
        <v>962887.44110593607</v>
      </c>
      <c r="S33">
        <v>962887.44110593607</v>
      </c>
    </row>
    <row r="34" spans="1:19" ht="15" x14ac:dyDescent="0.25">
      <c r="A34" t="s">
        <v>1560</v>
      </c>
      <c r="B34" t="s">
        <v>1459</v>
      </c>
      <c r="C34" t="s">
        <v>22</v>
      </c>
      <c r="D34" t="s">
        <v>116</v>
      </c>
      <c r="E34" t="s">
        <v>34</v>
      </c>
      <c r="F34" t="s">
        <v>35</v>
      </c>
      <c r="G34">
        <v>351.91764705882326</v>
      </c>
      <c r="H34">
        <v>0.45117647058823501</v>
      </c>
      <c r="I34">
        <v>225.58823529411751</v>
      </c>
      <c r="J34">
        <v>962.50980392156794</v>
      </c>
      <c r="K34">
        <v>0</v>
      </c>
      <c r="L34">
        <v>0</v>
      </c>
      <c r="M34">
        <v>0</v>
      </c>
      <c r="N34">
        <v>0</v>
      </c>
      <c r="O34">
        <v>0</v>
      </c>
      <c r="P34">
        <v>0.05</v>
      </c>
      <c r="Q34">
        <v>2516373.1172411744</v>
      </c>
      <c r="R34">
        <v>2516476.5169661744</v>
      </c>
      <c r="S34">
        <v>2516476.5169661744</v>
      </c>
    </row>
    <row r="35" spans="1:19" ht="15" x14ac:dyDescent="0.25">
      <c r="A35" t="s">
        <v>61</v>
      </c>
      <c r="C35" t="s">
        <v>22</v>
      </c>
      <c r="D35" t="s">
        <v>62</v>
      </c>
      <c r="E35" t="s">
        <v>34</v>
      </c>
      <c r="F35" t="s">
        <v>26</v>
      </c>
      <c r="G35">
        <v>0</v>
      </c>
      <c r="H35">
        <v>0</v>
      </c>
      <c r="I35">
        <v>0</v>
      </c>
      <c r="J35">
        <v>0</v>
      </c>
      <c r="K35">
        <v>0</v>
      </c>
      <c r="L35">
        <v>0</v>
      </c>
      <c r="M35">
        <v>0</v>
      </c>
      <c r="N35">
        <v>0</v>
      </c>
      <c r="O35">
        <v>0</v>
      </c>
      <c r="P35">
        <v>0</v>
      </c>
      <c r="Q35">
        <v>0</v>
      </c>
      <c r="R35">
        <v>0</v>
      </c>
      <c r="S35">
        <v>0</v>
      </c>
    </row>
    <row r="36" spans="1:19" ht="15" x14ac:dyDescent="0.25">
      <c r="A36" t="s">
        <v>81</v>
      </c>
      <c r="C36" t="s">
        <v>22</v>
      </c>
      <c r="D36" t="s">
        <v>23</v>
      </c>
      <c r="E36" t="s">
        <v>34</v>
      </c>
      <c r="F36" t="s">
        <v>26</v>
      </c>
      <c r="G36">
        <v>3.0273759999999998</v>
      </c>
      <c r="H36">
        <v>5.8989999999999997E-3</v>
      </c>
      <c r="I36">
        <v>0</v>
      </c>
      <c r="J36">
        <v>38.64</v>
      </c>
      <c r="K36">
        <v>0</v>
      </c>
      <c r="L36">
        <v>0</v>
      </c>
      <c r="M36">
        <v>0</v>
      </c>
      <c r="N36">
        <v>0.9240285166152038</v>
      </c>
      <c r="O36">
        <v>0</v>
      </c>
      <c r="P36">
        <v>0</v>
      </c>
      <c r="Q36">
        <v>34067.60994065</v>
      </c>
      <c r="R36">
        <v>34067.60994065</v>
      </c>
      <c r="S36">
        <v>34067.60994065</v>
      </c>
    </row>
    <row r="37" spans="1:19" ht="15" x14ac:dyDescent="0.25">
      <c r="A37" t="s">
        <v>1564</v>
      </c>
      <c r="B37" t="s">
        <v>672</v>
      </c>
      <c r="C37" t="s">
        <v>22</v>
      </c>
      <c r="D37" t="s">
        <v>116</v>
      </c>
      <c r="E37" t="s">
        <v>34</v>
      </c>
      <c r="F37" t="s">
        <v>35</v>
      </c>
      <c r="G37">
        <v>305.37135277788428</v>
      </c>
      <c r="H37">
        <v>0.39184334134615345</v>
      </c>
      <c r="I37">
        <v>408.82321947115344</v>
      </c>
      <c r="J37">
        <v>1489.0046971153831</v>
      </c>
      <c r="K37">
        <v>0</v>
      </c>
      <c r="L37">
        <v>0</v>
      </c>
      <c r="M37">
        <v>0</v>
      </c>
      <c r="N37">
        <v>0.90846401606870619</v>
      </c>
      <c r="O37">
        <v>0</v>
      </c>
      <c r="P37">
        <v>10.666666666666666</v>
      </c>
      <c r="Q37">
        <v>2575187.6802905113</v>
      </c>
      <c r="R37">
        <v>2597246.2882905114</v>
      </c>
      <c r="S37">
        <v>2597246.2882905114</v>
      </c>
    </row>
    <row r="38" spans="1:19" ht="15" x14ac:dyDescent="0.25">
      <c r="A38" t="s">
        <v>1565</v>
      </c>
      <c r="B38" t="s">
        <v>1265</v>
      </c>
      <c r="C38" t="s">
        <v>22</v>
      </c>
      <c r="D38" t="s">
        <v>33</v>
      </c>
      <c r="E38" t="s">
        <v>24</v>
      </c>
      <c r="F38" t="s">
        <v>35</v>
      </c>
      <c r="G38">
        <v>391.00361436631567</v>
      </c>
      <c r="H38">
        <v>1.466450526315789</v>
      </c>
      <c r="I38">
        <v>58.658021052631568</v>
      </c>
      <c r="J38">
        <v>65.696983578947354</v>
      </c>
      <c r="K38">
        <v>0</v>
      </c>
      <c r="L38">
        <v>0</v>
      </c>
      <c r="M38">
        <v>0</v>
      </c>
      <c r="N38">
        <v>0.90846401606870619</v>
      </c>
      <c r="O38">
        <v>0</v>
      </c>
      <c r="P38">
        <v>0</v>
      </c>
      <c r="Q38">
        <v>3207852.6616634051</v>
      </c>
      <c r="R38">
        <v>3207852.6616634051</v>
      </c>
      <c r="S38">
        <v>3207852.6616634051</v>
      </c>
    </row>
    <row r="39" spans="1:19" ht="15" x14ac:dyDescent="0.25">
      <c r="A39" t="s">
        <v>106</v>
      </c>
      <c r="B39" t="s">
        <v>1613</v>
      </c>
      <c r="C39" t="s">
        <v>22</v>
      </c>
      <c r="D39" t="s">
        <v>23</v>
      </c>
      <c r="E39" t="s">
        <v>24</v>
      </c>
      <c r="F39" t="s">
        <v>35</v>
      </c>
      <c r="G39">
        <v>59.67</v>
      </c>
      <c r="H39">
        <v>1.8915999999999999E-2</v>
      </c>
      <c r="I39">
        <v>0</v>
      </c>
      <c r="J39">
        <v>0</v>
      </c>
      <c r="K39">
        <v>0</v>
      </c>
      <c r="L39">
        <v>0</v>
      </c>
      <c r="M39">
        <v>0</v>
      </c>
      <c r="N39">
        <v>0.89805856109996762</v>
      </c>
      <c r="O39">
        <v>0</v>
      </c>
      <c r="P39">
        <v>0</v>
      </c>
      <c r="Q39">
        <v>283499.35582539998</v>
      </c>
      <c r="R39">
        <v>283499.35582539998</v>
      </c>
      <c r="S39">
        <v>283499.35582539998</v>
      </c>
    </row>
    <row r="40" spans="1:19" ht="15" x14ac:dyDescent="0.25">
      <c r="A40" t="s">
        <v>1566</v>
      </c>
      <c r="B40" t="s">
        <v>1462</v>
      </c>
      <c r="C40" t="s">
        <v>22</v>
      </c>
      <c r="D40" t="s">
        <v>23</v>
      </c>
      <c r="E40" t="s">
        <v>24</v>
      </c>
      <c r="F40" t="s">
        <v>35</v>
      </c>
      <c r="G40">
        <v>59.64246</v>
      </c>
      <c r="H40">
        <v>9.7248000000000001E-2</v>
      </c>
      <c r="I40">
        <v>0</v>
      </c>
      <c r="J40">
        <v>798.33600000000001</v>
      </c>
      <c r="K40">
        <v>0</v>
      </c>
      <c r="L40">
        <v>0</v>
      </c>
      <c r="M40">
        <v>0</v>
      </c>
      <c r="N40">
        <v>0.89828977822571898</v>
      </c>
      <c r="O40">
        <v>0</v>
      </c>
      <c r="P40">
        <v>2.7397260273972603E-3</v>
      </c>
      <c r="Q40">
        <v>667337.98268280015</v>
      </c>
      <c r="R40">
        <v>667343.64842115634</v>
      </c>
      <c r="S40">
        <v>667343.64842115634</v>
      </c>
    </row>
    <row r="41" spans="1:19" ht="15" x14ac:dyDescent="0.25">
      <c r="A41" t="s">
        <v>1567</v>
      </c>
      <c r="B41" t="s">
        <v>622</v>
      </c>
      <c r="C41" t="s">
        <v>22</v>
      </c>
      <c r="D41" t="s">
        <v>116</v>
      </c>
      <c r="E41" t="s">
        <v>34</v>
      </c>
      <c r="F41" t="s">
        <v>35</v>
      </c>
      <c r="G41">
        <v>76.944441772058809</v>
      </c>
      <c r="H41">
        <v>4.0010035166240396E-2</v>
      </c>
      <c r="I41">
        <v>500.12543957800489</v>
      </c>
      <c r="J41">
        <v>2280.5720044757027</v>
      </c>
      <c r="K41">
        <v>0</v>
      </c>
      <c r="L41">
        <v>0</v>
      </c>
      <c r="M41">
        <v>0</v>
      </c>
      <c r="N41">
        <v>0</v>
      </c>
      <c r="O41">
        <v>0</v>
      </c>
      <c r="P41">
        <v>0</v>
      </c>
      <c r="Q41">
        <v>1587662.4533419264</v>
      </c>
      <c r="R41">
        <v>1587662.4533419264</v>
      </c>
      <c r="S41">
        <v>1587662.4533419264</v>
      </c>
    </row>
    <row r="42" spans="1:19" ht="15" x14ac:dyDescent="0.25">
      <c r="A42" t="s">
        <v>981</v>
      </c>
      <c r="C42" t="s">
        <v>22</v>
      </c>
      <c r="D42" t="s">
        <v>116</v>
      </c>
      <c r="E42" t="s">
        <v>34</v>
      </c>
      <c r="F42" t="s">
        <v>26</v>
      </c>
      <c r="G42">
        <v>0</v>
      </c>
      <c r="H42">
        <v>0</v>
      </c>
      <c r="I42">
        <v>0</v>
      </c>
      <c r="J42">
        <v>0</v>
      </c>
      <c r="K42">
        <v>0</v>
      </c>
      <c r="L42">
        <v>0</v>
      </c>
      <c r="M42">
        <v>0</v>
      </c>
      <c r="N42">
        <v>0</v>
      </c>
      <c r="O42">
        <v>0</v>
      </c>
      <c r="P42">
        <v>0</v>
      </c>
      <c r="Q42">
        <v>0</v>
      </c>
      <c r="R42">
        <v>0</v>
      </c>
      <c r="S42">
        <v>0</v>
      </c>
    </row>
    <row r="43" spans="1:19" ht="15" x14ac:dyDescent="0.25">
      <c r="A43" t="s">
        <v>1569</v>
      </c>
      <c r="B43" t="s">
        <v>594</v>
      </c>
      <c r="C43" t="s">
        <v>22</v>
      </c>
      <c r="D43" t="s">
        <v>33</v>
      </c>
      <c r="E43" t="s">
        <v>34</v>
      </c>
      <c r="F43" t="s">
        <v>35</v>
      </c>
      <c r="G43">
        <v>196.21020055073677</v>
      </c>
      <c r="H43">
        <v>9.9700305157894714E-2</v>
      </c>
      <c r="I43">
        <v>478.56146475789461</v>
      </c>
      <c r="J43">
        <v>72.980623375578929</v>
      </c>
      <c r="K43">
        <v>0</v>
      </c>
      <c r="L43">
        <v>0</v>
      </c>
      <c r="M43">
        <v>6.8365923536842086</v>
      </c>
      <c r="N43">
        <v>0.1240641483501735</v>
      </c>
      <c r="O43">
        <v>0</v>
      </c>
      <c r="P43">
        <v>0</v>
      </c>
      <c r="Q43">
        <v>1337532.1315152885</v>
      </c>
      <c r="R43">
        <v>1337532.1315152885</v>
      </c>
      <c r="S43">
        <v>1337532.1315152885</v>
      </c>
    </row>
    <row r="44" spans="1:19" ht="15" x14ac:dyDescent="0.25">
      <c r="A44" t="s">
        <v>182</v>
      </c>
      <c r="C44" t="s">
        <v>22</v>
      </c>
      <c r="D44" t="s">
        <v>23</v>
      </c>
      <c r="E44" t="s">
        <v>34</v>
      </c>
      <c r="F44" t="s">
        <v>26</v>
      </c>
      <c r="G44">
        <v>4.6171350000000002</v>
      </c>
      <c r="H44">
        <v>3.7490000000000002E-3</v>
      </c>
      <c r="I44">
        <v>0</v>
      </c>
      <c r="J44">
        <v>13.37</v>
      </c>
      <c r="K44">
        <v>0</v>
      </c>
      <c r="L44">
        <v>0</v>
      </c>
      <c r="M44">
        <v>0</v>
      </c>
      <c r="N44">
        <v>0.9803204446803867</v>
      </c>
      <c r="O44">
        <v>0</v>
      </c>
      <c r="P44">
        <v>0</v>
      </c>
      <c r="Q44">
        <v>29299.855291850003</v>
      </c>
      <c r="R44">
        <v>29299.855291850003</v>
      </c>
      <c r="S44">
        <v>29299.855291850003</v>
      </c>
    </row>
    <row r="45" spans="1:19" ht="15" x14ac:dyDescent="0.25">
      <c r="A45" t="s">
        <v>184</v>
      </c>
      <c r="C45" t="s">
        <v>22</v>
      </c>
      <c r="D45" t="s">
        <v>101</v>
      </c>
      <c r="E45" t="s">
        <v>34</v>
      </c>
      <c r="F45" t="s">
        <v>26</v>
      </c>
      <c r="G45">
        <v>1.4696100000000001</v>
      </c>
      <c r="H45">
        <v>1.9599999999999999E-4</v>
      </c>
      <c r="I45">
        <v>0</v>
      </c>
      <c r="J45">
        <v>20.125</v>
      </c>
      <c r="K45">
        <v>0</v>
      </c>
      <c r="L45">
        <v>0</v>
      </c>
      <c r="M45">
        <v>0</v>
      </c>
      <c r="N45">
        <v>0.98979600736067286</v>
      </c>
      <c r="O45">
        <v>0</v>
      </c>
      <c r="P45">
        <v>0</v>
      </c>
      <c r="Q45">
        <v>14510.307997900001</v>
      </c>
      <c r="R45">
        <v>14510.307997900001</v>
      </c>
      <c r="S45">
        <v>14510.307997900001</v>
      </c>
    </row>
    <row r="46" spans="1:19" ht="15" x14ac:dyDescent="0.25">
      <c r="A46" t="s">
        <v>2005</v>
      </c>
      <c r="C46" t="s">
        <v>22</v>
      </c>
      <c r="D46" t="s">
        <v>101</v>
      </c>
      <c r="E46" t="s">
        <v>34</v>
      </c>
      <c r="F46" t="s">
        <v>26</v>
      </c>
      <c r="G46">
        <v>0</v>
      </c>
      <c r="H46">
        <v>0</v>
      </c>
      <c r="I46">
        <v>0</v>
      </c>
      <c r="J46">
        <v>0</v>
      </c>
      <c r="K46">
        <v>0</v>
      </c>
      <c r="L46">
        <v>0</v>
      </c>
      <c r="M46">
        <v>0</v>
      </c>
      <c r="N46">
        <v>0</v>
      </c>
      <c r="O46">
        <v>0</v>
      </c>
      <c r="P46">
        <v>0</v>
      </c>
      <c r="Q46">
        <v>0</v>
      </c>
      <c r="R46">
        <v>0</v>
      </c>
      <c r="S46">
        <v>0</v>
      </c>
    </row>
    <row r="47" spans="1:19" ht="15" x14ac:dyDescent="0.25">
      <c r="A47" t="s">
        <v>189</v>
      </c>
      <c r="B47" t="s">
        <v>1611</v>
      </c>
      <c r="C47" t="s">
        <v>22</v>
      </c>
      <c r="D47" t="s">
        <v>101</v>
      </c>
      <c r="E47" t="s">
        <v>34</v>
      </c>
      <c r="F47" t="s">
        <v>35</v>
      </c>
      <c r="G47">
        <v>0</v>
      </c>
      <c r="H47">
        <v>0</v>
      </c>
      <c r="I47">
        <v>0</v>
      </c>
      <c r="J47">
        <v>0</v>
      </c>
      <c r="K47">
        <v>0</v>
      </c>
      <c r="L47">
        <v>0</v>
      </c>
      <c r="M47">
        <v>0</v>
      </c>
      <c r="N47">
        <v>0</v>
      </c>
      <c r="O47">
        <v>0</v>
      </c>
      <c r="P47">
        <v>0</v>
      </c>
      <c r="Q47">
        <v>0</v>
      </c>
      <c r="R47">
        <v>0</v>
      </c>
      <c r="S47">
        <v>0</v>
      </c>
    </row>
    <row r="48" spans="1:19" ht="15" x14ac:dyDescent="0.25">
      <c r="A48" t="s">
        <v>199</v>
      </c>
      <c r="C48" t="s">
        <v>22</v>
      </c>
      <c r="D48" t="s">
        <v>101</v>
      </c>
      <c r="E48" t="s">
        <v>34</v>
      </c>
      <c r="F48" t="s">
        <v>26</v>
      </c>
      <c r="G48">
        <v>5.8785749999999997</v>
      </c>
      <c r="H48">
        <v>3.398E-3</v>
      </c>
      <c r="I48">
        <v>0</v>
      </c>
      <c r="J48">
        <v>0</v>
      </c>
      <c r="K48">
        <v>0</v>
      </c>
      <c r="L48">
        <v>0</v>
      </c>
      <c r="M48">
        <v>0</v>
      </c>
      <c r="N48">
        <v>0.85622098456527096</v>
      </c>
      <c r="O48">
        <v>0</v>
      </c>
      <c r="P48">
        <v>0</v>
      </c>
      <c r="Q48">
        <v>29400.406521199999</v>
      </c>
      <c r="R48">
        <v>29400.406521199999</v>
      </c>
      <c r="S48">
        <v>29400.406521199999</v>
      </c>
    </row>
    <row r="49" spans="1:19" ht="15" x14ac:dyDescent="0.25">
      <c r="A49" t="s">
        <v>201</v>
      </c>
      <c r="C49" t="s">
        <v>22</v>
      </c>
      <c r="D49" t="s">
        <v>131</v>
      </c>
      <c r="E49" t="s">
        <v>34</v>
      </c>
      <c r="F49" t="s">
        <v>26</v>
      </c>
      <c r="G49">
        <v>0</v>
      </c>
      <c r="H49">
        <v>0.14669699999999999</v>
      </c>
      <c r="I49">
        <v>0</v>
      </c>
      <c r="J49">
        <v>0</v>
      </c>
      <c r="K49">
        <v>0</v>
      </c>
      <c r="L49">
        <v>0</v>
      </c>
      <c r="M49">
        <v>0</v>
      </c>
      <c r="N49">
        <v>0.70221683857491646</v>
      </c>
      <c r="O49">
        <v>0</v>
      </c>
      <c r="P49">
        <v>0</v>
      </c>
      <c r="Q49">
        <v>140593.39992554998</v>
      </c>
      <c r="R49">
        <v>140593.39992554998</v>
      </c>
      <c r="S49">
        <v>140593.39992554998</v>
      </c>
    </row>
    <row r="50" spans="1:19" ht="15" x14ac:dyDescent="0.25">
      <c r="A50" t="s">
        <v>202</v>
      </c>
      <c r="C50" t="s">
        <v>22</v>
      </c>
      <c r="D50" t="s">
        <v>62</v>
      </c>
      <c r="E50" t="s">
        <v>34</v>
      </c>
      <c r="F50" t="s">
        <v>26</v>
      </c>
      <c r="G50">
        <v>38.701124999999998</v>
      </c>
      <c r="H50">
        <v>2.9451999999999999E-2</v>
      </c>
      <c r="I50">
        <v>0</v>
      </c>
      <c r="J50">
        <v>0</v>
      </c>
      <c r="K50">
        <v>0</v>
      </c>
      <c r="L50">
        <v>0</v>
      </c>
      <c r="M50">
        <v>0</v>
      </c>
      <c r="N50">
        <v>0.96816204291140562</v>
      </c>
      <c r="O50">
        <v>0</v>
      </c>
      <c r="P50">
        <v>0</v>
      </c>
      <c r="Q50">
        <v>200342.1082663</v>
      </c>
      <c r="R50">
        <v>200342.1082663</v>
      </c>
      <c r="S50">
        <v>200342.1082663</v>
      </c>
    </row>
    <row r="51" spans="1:19" ht="15" x14ac:dyDescent="0.25">
      <c r="A51" t="s">
        <v>975</v>
      </c>
      <c r="B51" t="s">
        <v>1612</v>
      </c>
      <c r="C51" t="s">
        <v>22</v>
      </c>
      <c r="D51" t="s">
        <v>101</v>
      </c>
      <c r="E51" t="s">
        <v>34</v>
      </c>
      <c r="F51" t="s">
        <v>35</v>
      </c>
      <c r="G51">
        <v>0</v>
      </c>
      <c r="H51">
        <v>0</v>
      </c>
      <c r="I51">
        <v>0</v>
      </c>
      <c r="J51">
        <v>0</v>
      </c>
      <c r="K51">
        <v>0</v>
      </c>
      <c r="L51">
        <v>0</v>
      </c>
      <c r="M51">
        <v>0</v>
      </c>
      <c r="N51">
        <v>0</v>
      </c>
      <c r="O51">
        <v>0</v>
      </c>
      <c r="P51">
        <v>0</v>
      </c>
      <c r="Q51">
        <v>0</v>
      </c>
      <c r="R51">
        <v>0</v>
      </c>
      <c r="S51">
        <v>0</v>
      </c>
    </row>
    <row r="52" spans="1:19" ht="15" x14ac:dyDescent="0.25">
      <c r="A52" t="s">
        <v>1571</v>
      </c>
      <c r="B52" t="s">
        <v>1266</v>
      </c>
      <c r="C52" t="s">
        <v>22</v>
      </c>
      <c r="D52" t="s">
        <v>33</v>
      </c>
      <c r="E52" t="s">
        <v>24</v>
      </c>
      <c r="F52" t="s">
        <v>35</v>
      </c>
      <c r="G52">
        <v>69.105229442307632</v>
      </c>
      <c r="H52">
        <v>0.13941173076923064</v>
      </c>
      <c r="I52">
        <v>0</v>
      </c>
      <c r="J52">
        <v>60.247384615384561</v>
      </c>
      <c r="K52">
        <v>0</v>
      </c>
      <c r="L52">
        <v>0</v>
      </c>
      <c r="M52">
        <v>2274.5492449268504</v>
      </c>
      <c r="N52">
        <v>0.99904046065257934</v>
      </c>
      <c r="O52">
        <v>0</v>
      </c>
      <c r="P52">
        <v>521.58590308369992</v>
      </c>
      <c r="Q52">
        <v>10579856.414504031</v>
      </c>
      <c r="R52">
        <v>11658493.193358656</v>
      </c>
      <c r="S52">
        <v>11658493.193358656</v>
      </c>
    </row>
    <row r="53" spans="1:19" ht="15" x14ac:dyDescent="0.25">
      <c r="A53" t="s">
        <v>2007</v>
      </c>
      <c r="C53" t="s">
        <v>22</v>
      </c>
      <c r="D53" t="s">
        <v>23</v>
      </c>
      <c r="E53" t="s">
        <v>34</v>
      </c>
      <c r="F53" t="s">
        <v>26</v>
      </c>
      <c r="G53">
        <v>5.5416149999999993</v>
      </c>
      <c r="H53">
        <v>7.8230000000000001E-3</v>
      </c>
      <c r="I53">
        <v>0</v>
      </c>
      <c r="J53">
        <v>0</v>
      </c>
      <c r="K53">
        <v>0</v>
      </c>
      <c r="L53">
        <v>0</v>
      </c>
      <c r="M53">
        <v>0</v>
      </c>
      <c r="N53">
        <v>0.96094891951367212</v>
      </c>
      <c r="O53">
        <v>0</v>
      </c>
      <c r="P53">
        <v>0</v>
      </c>
      <c r="Q53">
        <v>32142.734001949997</v>
      </c>
      <c r="R53">
        <v>32142.734001949997</v>
      </c>
      <c r="S53">
        <v>32142.734001949997</v>
      </c>
    </row>
    <row r="54" spans="1:19" ht="15" x14ac:dyDescent="0.25">
      <c r="A54" t="s">
        <v>1572</v>
      </c>
      <c r="B54" t="s">
        <v>1453</v>
      </c>
      <c r="C54" t="s">
        <v>22</v>
      </c>
      <c r="D54" t="s">
        <v>101</v>
      </c>
      <c r="E54" t="s">
        <v>34</v>
      </c>
      <c r="F54" t="s">
        <v>35</v>
      </c>
      <c r="G54">
        <v>56.390749</v>
      </c>
      <c r="H54">
        <v>0.43896000000000002</v>
      </c>
      <c r="I54">
        <v>103.5</v>
      </c>
      <c r="J54">
        <v>115.92</v>
      </c>
      <c r="K54">
        <v>0</v>
      </c>
      <c r="L54">
        <v>0</v>
      </c>
      <c r="M54">
        <v>0</v>
      </c>
      <c r="N54">
        <v>0</v>
      </c>
      <c r="O54">
        <v>0</v>
      </c>
      <c r="P54">
        <v>0</v>
      </c>
      <c r="Q54">
        <v>783537.18384369998</v>
      </c>
      <c r="R54">
        <v>783537.18384369998</v>
      </c>
      <c r="S54">
        <v>783537.18384369998</v>
      </c>
    </row>
    <row r="55" spans="1:19" ht="15" x14ac:dyDescent="0.25">
      <c r="A55" t="s">
        <v>1573</v>
      </c>
      <c r="B55" t="s">
        <v>1464</v>
      </c>
      <c r="C55" t="s">
        <v>22</v>
      </c>
      <c r="D55" t="s">
        <v>33</v>
      </c>
      <c r="E55" t="s">
        <v>34</v>
      </c>
      <c r="F55" t="s">
        <v>35</v>
      </c>
      <c r="G55">
        <v>68.277739683461476</v>
      </c>
      <c r="H55">
        <v>0.12426023076923066</v>
      </c>
      <c r="I55">
        <v>627.57692307692253</v>
      </c>
      <c r="J55">
        <v>702.88615384615321</v>
      </c>
      <c r="K55">
        <v>0</v>
      </c>
      <c r="L55">
        <v>0</v>
      </c>
      <c r="M55">
        <v>0</v>
      </c>
      <c r="N55">
        <v>0</v>
      </c>
      <c r="O55">
        <v>0</v>
      </c>
      <c r="P55">
        <v>1168</v>
      </c>
      <c r="Q55">
        <v>1102188.3482849076</v>
      </c>
      <c r="R55">
        <v>3517605.9242849075</v>
      </c>
      <c r="S55">
        <v>3517605.9242849075</v>
      </c>
    </row>
    <row r="56" spans="1:19" ht="15" x14ac:dyDescent="0.25">
      <c r="A56" t="s">
        <v>957</v>
      </c>
      <c r="C56" t="s">
        <v>22</v>
      </c>
      <c r="D56" t="s">
        <v>101</v>
      </c>
      <c r="E56" t="s">
        <v>24</v>
      </c>
      <c r="F56" t="s">
        <v>35</v>
      </c>
      <c r="G56">
        <v>50</v>
      </c>
      <c r="H56">
        <v>0.13500000000000001</v>
      </c>
      <c r="I56">
        <v>25</v>
      </c>
      <c r="J56">
        <v>28</v>
      </c>
      <c r="K56">
        <v>0</v>
      </c>
      <c r="L56">
        <v>0</v>
      </c>
      <c r="M56">
        <v>0</v>
      </c>
      <c r="N56">
        <v>0</v>
      </c>
      <c r="O56">
        <v>0</v>
      </c>
      <c r="P56">
        <v>2</v>
      </c>
      <c r="Q56">
        <v>378814.34305000008</v>
      </c>
      <c r="R56">
        <v>382950.33205000008</v>
      </c>
      <c r="S56">
        <v>382950.33205000008</v>
      </c>
    </row>
    <row r="57" spans="1:19" ht="15" x14ac:dyDescent="0.25">
      <c r="A57" t="s">
        <v>1574</v>
      </c>
      <c r="B57" t="s">
        <v>1465</v>
      </c>
      <c r="C57" t="s">
        <v>22</v>
      </c>
      <c r="D57" t="s">
        <v>33</v>
      </c>
      <c r="E57" t="s">
        <v>34</v>
      </c>
      <c r="F57" t="s">
        <v>35</v>
      </c>
      <c r="G57">
        <v>212.47961538461519</v>
      </c>
      <c r="H57">
        <v>0.38849999999999968</v>
      </c>
      <c r="I57">
        <v>343.67307692307656</v>
      </c>
      <c r="J57">
        <v>419.28115384615342</v>
      </c>
      <c r="K57">
        <v>0</v>
      </c>
      <c r="L57">
        <v>0</v>
      </c>
      <c r="M57">
        <v>11.953846153846143</v>
      </c>
      <c r="N57">
        <v>0</v>
      </c>
      <c r="O57">
        <v>0</v>
      </c>
      <c r="P57">
        <v>0</v>
      </c>
      <c r="Q57">
        <v>1755833.8039934984</v>
      </c>
      <c r="R57">
        <v>1755833.8039934984</v>
      </c>
      <c r="S57">
        <v>1755833.8039934984</v>
      </c>
    </row>
    <row r="58" spans="1:19" ht="15" x14ac:dyDescent="0.25">
      <c r="A58" t="s">
        <v>1575</v>
      </c>
      <c r="B58" t="s">
        <v>1466</v>
      </c>
      <c r="C58" t="s">
        <v>22</v>
      </c>
      <c r="D58" t="s">
        <v>33</v>
      </c>
      <c r="E58" t="s">
        <v>34</v>
      </c>
      <c r="F58" t="s">
        <v>35</v>
      </c>
      <c r="G58">
        <v>150.3659365384614</v>
      </c>
      <c r="H58">
        <v>0.29137499999999977</v>
      </c>
      <c r="I58">
        <v>642.51923076923026</v>
      </c>
      <c r="J58">
        <v>719.62153846153785</v>
      </c>
      <c r="K58">
        <v>0</v>
      </c>
      <c r="L58">
        <v>0</v>
      </c>
      <c r="M58">
        <v>109.37769230769221</v>
      </c>
      <c r="N58">
        <v>0.50643845692883771</v>
      </c>
      <c r="O58">
        <v>0</v>
      </c>
      <c r="P58">
        <v>12.103269230769222</v>
      </c>
      <c r="Q58">
        <v>2130033.5473147482</v>
      </c>
      <c r="R58">
        <v>2155063.0415159981</v>
      </c>
      <c r="S58">
        <v>2155063.0415159981</v>
      </c>
    </row>
    <row r="59" spans="1:19" ht="15" x14ac:dyDescent="0.25">
      <c r="A59" t="s">
        <v>1576</v>
      </c>
      <c r="B59" t="s">
        <v>25</v>
      </c>
      <c r="C59" t="s">
        <v>22</v>
      </c>
      <c r="D59" t="s">
        <v>23</v>
      </c>
      <c r="E59" t="s">
        <v>24</v>
      </c>
      <c r="F59" t="s">
        <v>35</v>
      </c>
      <c r="G59">
        <v>328.907016</v>
      </c>
      <c r="H59">
        <v>1.087464</v>
      </c>
      <c r="I59">
        <v>520</v>
      </c>
      <c r="J59">
        <v>806.4</v>
      </c>
      <c r="K59">
        <v>0</v>
      </c>
      <c r="L59">
        <v>0</v>
      </c>
      <c r="M59">
        <v>105.64383561643835</v>
      </c>
      <c r="N59">
        <v>0.74015749092606842</v>
      </c>
      <c r="O59">
        <v>0</v>
      </c>
      <c r="P59">
        <v>17.48</v>
      </c>
      <c r="Q59">
        <v>3624443.4035053859</v>
      </c>
      <c r="R59">
        <v>3660591.9473653859</v>
      </c>
      <c r="S59">
        <v>3660591.9473653859</v>
      </c>
    </row>
    <row r="60" spans="1:19" ht="15" x14ac:dyDescent="0.25">
      <c r="A60" t="s">
        <v>291</v>
      </c>
      <c r="C60" t="s">
        <v>22</v>
      </c>
      <c r="D60" t="s">
        <v>292</v>
      </c>
      <c r="E60" t="s">
        <v>24</v>
      </c>
      <c r="F60" t="s">
        <v>26</v>
      </c>
      <c r="G60">
        <v>0</v>
      </c>
      <c r="H60">
        <v>0</v>
      </c>
      <c r="I60">
        <v>0</v>
      </c>
      <c r="J60">
        <v>0</v>
      </c>
      <c r="K60">
        <v>0</v>
      </c>
      <c r="L60">
        <v>0</v>
      </c>
      <c r="M60">
        <v>0</v>
      </c>
      <c r="N60">
        <v>0</v>
      </c>
      <c r="O60">
        <v>0</v>
      </c>
      <c r="P60">
        <v>0</v>
      </c>
      <c r="Q60">
        <v>0</v>
      </c>
      <c r="R60">
        <v>0</v>
      </c>
      <c r="S60">
        <v>0</v>
      </c>
    </row>
    <row r="61" spans="1:19" ht="15" x14ac:dyDescent="0.25">
      <c r="A61" t="s">
        <v>296</v>
      </c>
      <c r="C61" t="s">
        <v>22</v>
      </c>
      <c r="D61" t="s">
        <v>292</v>
      </c>
      <c r="E61" t="s">
        <v>24</v>
      </c>
      <c r="F61" t="s">
        <v>26</v>
      </c>
      <c r="G61">
        <v>0</v>
      </c>
      <c r="H61">
        <v>0</v>
      </c>
      <c r="I61">
        <v>0</v>
      </c>
      <c r="J61">
        <v>0</v>
      </c>
      <c r="K61">
        <v>0</v>
      </c>
      <c r="L61">
        <v>0</v>
      </c>
      <c r="M61">
        <v>0</v>
      </c>
      <c r="N61">
        <v>0</v>
      </c>
      <c r="O61">
        <v>0</v>
      </c>
      <c r="P61">
        <v>0</v>
      </c>
      <c r="Q61">
        <v>0</v>
      </c>
      <c r="R61">
        <v>0</v>
      </c>
      <c r="S61">
        <v>0</v>
      </c>
    </row>
    <row r="62" spans="1:19" ht="15" x14ac:dyDescent="0.25">
      <c r="A62" t="s">
        <v>308</v>
      </c>
      <c r="C62" t="s">
        <v>22</v>
      </c>
      <c r="D62" t="s">
        <v>23</v>
      </c>
      <c r="E62" t="s">
        <v>34</v>
      </c>
      <c r="F62" t="s">
        <v>26</v>
      </c>
      <c r="G62">
        <v>0</v>
      </c>
      <c r="H62">
        <v>0</v>
      </c>
      <c r="I62">
        <v>0</v>
      </c>
      <c r="J62">
        <v>0</v>
      </c>
      <c r="K62">
        <v>0</v>
      </c>
      <c r="L62">
        <v>0</v>
      </c>
      <c r="M62">
        <v>0</v>
      </c>
      <c r="N62">
        <v>0.93299060057845995</v>
      </c>
      <c r="O62">
        <v>0</v>
      </c>
      <c r="P62">
        <v>0</v>
      </c>
      <c r="Q62">
        <v>0</v>
      </c>
      <c r="R62">
        <v>0</v>
      </c>
      <c r="S62">
        <v>0</v>
      </c>
    </row>
    <row r="63" spans="1:19" ht="15" x14ac:dyDescent="0.25">
      <c r="A63" t="s">
        <v>309</v>
      </c>
      <c r="C63" t="s">
        <v>22</v>
      </c>
      <c r="D63" t="s">
        <v>33</v>
      </c>
      <c r="E63" t="s">
        <v>34</v>
      </c>
      <c r="F63" t="s">
        <v>26</v>
      </c>
      <c r="G63">
        <v>0</v>
      </c>
      <c r="H63">
        <v>0</v>
      </c>
      <c r="I63">
        <v>0</v>
      </c>
      <c r="J63">
        <v>0</v>
      </c>
      <c r="K63">
        <v>0</v>
      </c>
      <c r="L63">
        <v>0</v>
      </c>
      <c r="M63">
        <v>0</v>
      </c>
      <c r="N63">
        <v>0</v>
      </c>
      <c r="O63">
        <v>0</v>
      </c>
      <c r="P63">
        <v>0</v>
      </c>
      <c r="Q63">
        <v>0</v>
      </c>
      <c r="R63">
        <v>0</v>
      </c>
      <c r="S63">
        <v>0</v>
      </c>
    </row>
    <row r="64" spans="1:19" ht="15" x14ac:dyDescent="0.25">
      <c r="A64" t="s">
        <v>326</v>
      </c>
      <c r="C64" t="s">
        <v>22</v>
      </c>
      <c r="D64" t="s">
        <v>23</v>
      </c>
      <c r="E64" t="s">
        <v>34</v>
      </c>
      <c r="F64" t="s">
        <v>26</v>
      </c>
      <c r="G64">
        <v>65.032605000000004</v>
      </c>
      <c r="H64">
        <v>0</v>
      </c>
      <c r="I64">
        <v>0</v>
      </c>
      <c r="J64">
        <v>0</v>
      </c>
      <c r="K64">
        <v>0</v>
      </c>
      <c r="L64">
        <v>0</v>
      </c>
      <c r="M64">
        <v>0</v>
      </c>
      <c r="N64">
        <v>0.90678730690867337</v>
      </c>
      <c r="O64">
        <v>0</v>
      </c>
      <c r="P64">
        <v>0</v>
      </c>
      <c r="Q64">
        <v>289219.50421650003</v>
      </c>
      <c r="R64">
        <v>289219.50421650003</v>
      </c>
      <c r="S64">
        <v>289219.50421650003</v>
      </c>
    </row>
    <row r="65" spans="1:19" ht="15" x14ac:dyDescent="0.25">
      <c r="A65" t="s">
        <v>336</v>
      </c>
      <c r="C65" t="s">
        <v>22</v>
      </c>
      <c r="D65" t="s">
        <v>23</v>
      </c>
      <c r="E65" t="s">
        <v>34</v>
      </c>
      <c r="F65" t="s">
        <v>26</v>
      </c>
      <c r="G65">
        <v>0</v>
      </c>
      <c r="H65">
        <v>0</v>
      </c>
      <c r="I65">
        <v>0</v>
      </c>
      <c r="J65">
        <v>0</v>
      </c>
      <c r="K65">
        <v>0</v>
      </c>
      <c r="L65">
        <v>0</v>
      </c>
      <c r="M65">
        <v>0</v>
      </c>
      <c r="N65">
        <v>0.8169358922338984</v>
      </c>
      <c r="O65">
        <v>0</v>
      </c>
      <c r="P65">
        <v>0</v>
      </c>
      <c r="Q65">
        <v>0</v>
      </c>
      <c r="R65">
        <v>0</v>
      </c>
      <c r="S65">
        <v>0</v>
      </c>
    </row>
    <row r="66" spans="1:19" ht="15" x14ac:dyDescent="0.25">
      <c r="A66" t="s">
        <v>344</v>
      </c>
      <c r="C66" t="s">
        <v>22</v>
      </c>
      <c r="D66" t="s">
        <v>23</v>
      </c>
      <c r="E66" t="s">
        <v>34</v>
      </c>
      <c r="F66" t="s">
        <v>26</v>
      </c>
      <c r="G66">
        <v>63.562859999999993</v>
      </c>
      <c r="H66">
        <v>8.3826999999999999E-2</v>
      </c>
      <c r="I66">
        <v>0</v>
      </c>
      <c r="J66">
        <v>0</v>
      </c>
      <c r="K66">
        <v>0</v>
      </c>
      <c r="L66">
        <v>0</v>
      </c>
      <c r="M66">
        <v>0</v>
      </c>
      <c r="N66">
        <v>0.91123796705927795</v>
      </c>
      <c r="O66">
        <v>0</v>
      </c>
      <c r="P66">
        <v>0</v>
      </c>
      <c r="Q66">
        <v>363022.32986305002</v>
      </c>
      <c r="R66">
        <v>363022.32986305002</v>
      </c>
      <c r="S66">
        <v>363022.32986305002</v>
      </c>
    </row>
    <row r="67" spans="1:19" ht="15" x14ac:dyDescent="0.25">
      <c r="A67" t="s">
        <v>587</v>
      </c>
      <c r="C67" t="s">
        <v>22</v>
      </c>
      <c r="D67" t="s">
        <v>23</v>
      </c>
      <c r="E67" t="s">
        <v>34</v>
      </c>
      <c r="F67" t="s">
        <v>26</v>
      </c>
      <c r="G67">
        <v>24.249374999999997</v>
      </c>
      <c r="H67">
        <v>1.0152E-2</v>
      </c>
      <c r="I67">
        <v>0</v>
      </c>
      <c r="J67">
        <v>0</v>
      </c>
      <c r="K67">
        <v>0</v>
      </c>
      <c r="L67">
        <v>0</v>
      </c>
      <c r="M67">
        <v>0</v>
      </c>
      <c r="N67">
        <v>0.93574001703565179</v>
      </c>
      <c r="O67">
        <v>0</v>
      </c>
      <c r="P67">
        <v>0</v>
      </c>
      <c r="Q67">
        <v>117573.85269629999</v>
      </c>
      <c r="R67">
        <v>117573.85269629999</v>
      </c>
      <c r="S67">
        <v>117573.85269629999</v>
      </c>
    </row>
    <row r="68" spans="1:19" ht="15" x14ac:dyDescent="0.25">
      <c r="A68" t="s">
        <v>1579</v>
      </c>
      <c r="B68" t="s">
        <v>1468</v>
      </c>
      <c r="C68" t="s">
        <v>22</v>
      </c>
      <c r="D68" t="s">
        <v>23</v>
      </c>
      <c r="E68" t="s">
        <v>34</v>
      </c>
      <c r="F68" t="s">
        <v>35</v>
      </c>
      <c r="G68">
        <v>0</v>
      </c>
      <c r="H68">
        <v>0</v>
      </c>
      <c r="I68">
        <v>0</v>
      </c>
      <c r="J68">
        <v>0</v>
      </c>
      <c r="K68">
        <v>0</v>
      </c>
      <c r="L68">
        <v>0</v>
      </c>
      <c r="M68">
        <v>0</v>
      </c>
      <c r="N68">
        <v>0</v>
      </c>
      <c r="O68">
        <v>0</v>
      </c>
      <c r="P68">
        <v>0</v>
      </c>
      <c r="Q68">
        <v>0</v>
      </c>
      <c r="R68">
        <v>0</v>
      </c>
      <c r="S68">
        <v>0</v>
      </c>
    </row>
    <row r="69" spans="1:19" ht="15" x14ac:dyDescent="0.25">
      <c r="A69" t="s">
        <v>1581</v>
      </c>
      <c r="B69" t="s">
        <v>1470</v>
      </c>
      <c r="C69" t="s">
        <v>22</v>
      </c>
      <c r="D69" t="s">
        <v>116</v>
      </c>
      <c r="E69" t="s">
        <v>34</v>
      </c>
      <c r="F69" t="s">
        <v>35</v>
      </c>
      <c r="G69">
        <v>253.17499038461517</v>
      </c>
      <c r="H69">
        <v>0.50803846153846111</v>
      </c>
      <c r="I69">
        <v>269.7086538461536</v>
      </c>
      <c r="J69">
        <v>75.309230769230709</v>
      </c>
      <c r="K69">
        <v>0</v>
      </c>
      <c r="L69">
        <v>0</v>
      </c>
      <c r="M69">
        <v>30.781153846153821</v>
      </c>
      <c r="N69">
        <v>0</v>
      </c>
      <c r="O69">
        <v>0</v>
      </c>
      <c r="P69">
        <v>2.7</v>
      </c>
      <c r="Q69">
        <v>1954000.4135189983</v>
      </c>
      <c r="R69">
        <v>1959583.9986689982</v>
      </c>
      <c r="S69">
        <v>1959583.9986689982</v>
      </c>
    </row>
    <row r="70" spans="1:19" ht="15" x14ac:dyDescent="0.25">
      <c r="A70" t="s">
        <v>368</v>
      </c>
      <c r="C70" t="s">
        <v>22</v>
      </c>
      <c r="D70" t="s">
        <v>116</v>
      </c>
      <c r="E70" t="s">
        <v>24</v>
      </c>
      <c r="F70" t="s">
        <v>35</v>
      </c>
      <c r="G70">
        <v>9429.8453307692216</v>
      </c>
      <c r="H70">
        <v>6.3205961538461475E-2</v>
      </c>
      <c r="I70">
        <v>0</v>
      </c>
      <c r="J70">
        <v>164.06653846153833</v>
      </c>
      <c r="K70">
        <v>0</v>
      </c>
      <c r="L70">
        <v>0</v>
      </c>
      <c r="M70">
        <v>0</v>
      </c>
      <c r="N70">
        <v>0.99904046065257934</v>
      </c>
      <c r="O70">
        <v>0</v>
      </c>
      <c r="P70">
        <v>0</v>
      </c>
      <c r="Q70">
        <v>42061407.121243082</v>
      </c>
      <c r="R70">
        <v>42061407.121243082</v>
      </c>
      <c r="S70">
        <v>42061407.121243082</v>
      </c>
    </row>
    <row r="71" spans="1:19" ht="15" x14ac:dyDescent="0.25">
      <c r="A71" t="s">
        <v>1582</v>
      </c>
      <c r="B71" t="s">
        <v>612</v>
      </c>
      <c r="C71" t="s">
        <v>22</v>
      </c>
      <c r="D71" t="s">
        <v>33</v>
      </c>
      <c r="E71" t="s">
        <v>34</v>
      </c>
      <c r="F71" t="s">
        <v>35</v>
      </c>
      <c r="G71">
        <v>218.30202080480748</v>
      </c>
      <c r="H71">
        <v>0.36572045192307662</v>
      </c>
      <c r="I71">
        <v>599.08493076923025</v>
      </c>
      <c r="J71">
        <v>670.97512246153792</v>
      </c>
      <c r="K71">
        <v>0</v>
      </c>
      <c r="L71">
        <v>0</v>
      </c>
      <c r="M71">
        <v>0</v>
      </c>
      <c r="N71">
        <v>0.56852733609204842</v>
      </c>
      <c r="O71">
        <v>0</v>
      </c>
      <c r="P71">
        <v>0</v>
      </c>
      <c r="Q71">
        <v>1969958.2799089791</v>
      </c>
      <c r="R71">
        <v>1969958.2799089791</v>
      </c>
      <c r="S71">
        <v>1969958.2799089791</v>
      </c>
    </row>
    <row r="72" spans="1:19" ht="15" x14ac:dyDescent="0.25">
      <c r="A72" t="s">
        <v>1583</v>
      </c>
      <c r="B72" t="s">
        <v>1473</v>
      </c>
      <c r="C72" t="s">
        <v>22</v>
      </c>
      <c r="D72" t="s">
        <v>62</v>
      </c>
      <c r="E72" t="s">
        <v>34</v>
      </c>
      <c r="F72" t="s">
        <v>35</v>
      </c>
      <c r="G72">
        <v>513.40874509803893</v>
      </c>
      <c r="H72">
        <v>0.59404901960784284</v>
      </c>
      <c r="I72">
        <v>248.14705882352925</v>
      </c>
      <c r="J72">
        <v>2711.0291764705862</v>
      </c>
      <c r="K72">
        <v>0</v>
      </c>
      <c r="L72">
        <v>0</v>
      </c>
      <c r="M72">
        <v>103.08479999999993</v>
      </c>
      <c r="N72">
        <v>0.2571087097416922</v>
      </c>
      <c r="O72">
        <v>0</v>
      </c>
      <c r="P72">
        <v>49.99035294117644</v>
      </c>
      <c r="Q72">
        <v>4521125.7037349734</v>
      </c>
      <c r="R72">
        <v>4624505.4786703857</v>
      </c>
      <c r="S72">
        <v>4624505.4786703857</v>
      </c>
    </row>
    <row r="73" spans="1:19" ht="15" x14ac:dyDescent="0.25">
      <c r="A73" t="s">
        <v>1585</v>
      </c>
      <c r="B73" t="s">
        <v>619</v>
      </c>
      <c r="C73" t="s">
        <v>22</v>
      </c>
      <c r="D73" t="s">
        <v>62</v>
      </c>
      <c r="E73" t="s">
        <v>34</v>
      </c>
      <c r="F73" t="s">
        <v>35</v>
      </c>
      <c r="G73">
        <v>131.28107352941169</v>
      </c>
      <c r="H73">
        <v>0.15791176470588228</v>
      </c>
      <c r="I73">
        <v>43.989705882352915</v>
      </c>
      <c r="J73">
        <v>1857.0423529411753</v>
      </c>
      <c r="K73">
        <v>0</v>
      </c>
      <c r="L73">
        <v>0</v>
      </c>
      <c r="M73">
        <v>0</v>
      </c>
      <c r="N73">
        <v>0.2571087097416922</v>
      </c>
      <c r="O73">
        <v>0</v>
      </c>
      <c r="P73">
        <v>11.111111111111111</v>
      </c>
      <c r="Q73">
        <v>1482268.3707680579</v>
      </c>
      <c r="R73">
        <v>1505246.0874347247</v>
      </c>
      <c r="S73">
        <v>1505246.0874347247</v>
      </c>
    </row>
    <row r="74" spans="1:19" ht="15" x14ac:dyDescent="0.25">
      <c r="A74" t="s">
        <v>421</v>
      </c>
      <c r="C74" t="s">
        <v>22</v>
      </c>
      <c r="D74" t="s">
        <v>116</v>
      </c>
      <c r="E74" t="s">
        <v>24</v>
      </c>
      <c r="F74" t="s">
        <v>35</v>
      </c>
      <c r="G74">
        <v>14983.37567999999</v>
      </c>
      <c r="H74">
        <v>19.558499999999988</v>
      </c>
      <c r="I74">
        <v>0</v>
      </c>
      <c r="J74">
        <v>1.5159529411764696</v>
      </c>
      <c r="K74">
        <v>0</v>
      </c>
      <c r="L74">
        <v>0</v>
      </c>
      <c r="M74">
        <v>0</v>
      </c>
      <c r="N74">
        <v>0.99904046065257934</v>
      </c>
      <c r="O74">
        <v>0</v>
      </c>
      <c r="P74">
        <v>3243.2857142857142</v>
      </c>
      <c r="Q74">
        <v>85380885.631022781</v>
      </c>
      <c r="R74">
        <v>92087982.650094211</v>
      </c>
      <c r="S74">
        <v>92087982.650094211</v>
      </c>
    </row>
    <row r="75" spans="1:19" ht="15" x14ac:dyDescent="0.25">
      <c r="A75" t="s">
        <v>962</v>
      </c>
      <c r="C75" t="s">
        <v>22</v>
      </c>
      <c r="D75" t="s">
        <v>131</v>
      </c>
      <c r="E75" t="s">
        <v>34</v>
      </c>
      <c r="F75" t="s">
        <v>26</v>
      </c>
      <c r="G75">
        <v>0</v>
      </c>
      <c r="H75">
        <v>0</v>
      </c>
      <c r="I75">
        <v>0</v>
      </c>
      <c r="J75">
        <v>0</v>
      </c>
      <c r="K75">
        <v>0</v>
      </c>
      <c r="L75">
        <v>0</v>
      </c>
      <c r="M75">
        <v>0</v>
      </c>
      <c r="N75">
        <v>0.77675400164113972</v>
      </c>
      <c r="O75">
        <v>0</v>
      </c>
      <c r="P75">
        <v>0</v>
      </c>
      <c r="Q75">
        <v>0</v>
      </c>
      <c r="R75">
        <v>0</v>
      </c>
      <c r="S75">
        <v>0</v>
      </c>
    </row>
    <row r="76" spans="1:19" ht="15" x14ac:dyDescent="0.25">
      <c r="A76" t="s">
        <v>1591</v>
      </c>
      <c r="B76" t="s">
        <v>1479</v>
      </c>
      <c r="C76" t="s">
        <v>22</v>
      </c>
      <c r="D76" t="s">
        <v>62</v>
      </c>
      <c r="E76" t="s">
        <v>34</v>
      </c>
      <c r="F76" t="s">
        <v>35</v>
      </c>
      <c r="G76">
        <v>0</v>
      </c>
      <c r="H76">
        <v>0</v>
      </c>
      <c r="I76">
        <v>0</v>
      </c>
      <c r="J76">
        <v>0</v>
      </c>
      <c r="K76">
        <v>0</v>
      </c>
      <c r="L76">
        <v>0</v>
      </c>
      <c r="M76">
        <v>0</v>
      </c>
      <c r="N76">
        <v>0.89620236196886616</v>
      </c>
      <c r="O76">
        <v>0</v>
      </c>
      <c r="P76">
        <v>0</v>
      </c>
      <c r="Q76">
        <v>0</v>
      </c>
      <c r="R76">
        <v>0</v>
      </c>
      <c r="S76">
        <v>0</v>
      </c>
    </row>
    <row r="77" spans="1:19" ht="15" x14ac:dyDescent="0.25">
      <c r="A77" t="s">
        <v>1592</v>
      </c>
      <c r="B77" t="s">
        <v>1480</v>
      </c>
      <c r="C77" t="s">
        <v>22</v>
      </c>
      <c r="D77" t="s">
        <v>62</v>
      </c>
      <c r="E77" t="s">
        <v>34</v>
      </c>
      <c r="F77" t="s">
        <v>35</v>
      </c>
      <c r="G77">
        <v>0</v>
      </c>
      <c r="H77">
        <v>0</v>
      </c>
      <c r="I77">
        <v>0</v>
      </c>
      <c r="J77">
        <v>0</v>
      </c>
      <c r="K77">
        <v>0</v>
      </c>
      <c r="L77">
        <v>0</v>
      </c>
      <c r="M77">
        <v>0</v>
      </c>
      <c r="N77">
        <v>0</v>
      </c>
      <c r="O77">
        <v>0</v>
      </c>
      <c r="P77">
        <v>0</v>
      </c>
      <c r="Q77">
        <v>0</v>
      </c>
      <c r="R77">
        <v>0</v>
      </c>
      <c r="S77">
        <v>0</v>
      </c>
    </row>
    <row r="78" spans="1:19" ht="15" x14ac:dyDescent="0.25">
      <c r="A78" t="s">
        <v>1593</v>
      </c>
      <c r="B78" t="s">
        <v>1481</v>
      </c>
      <c r="C78" t="s">
        <v>22</v>
      </c>
      <c r="D78" t="s">
        <v>62</v>
      </c>
      <c r="E78" t="s">
        <v>34</v>
      </c>
      <c r="F78" t="s">
        <v>35</v>
      </c>
      <c r="G78">
        <v>0</v>
      </c>
      <c r="H78">
        <v>0</v>
      </c>
      <c r="I78">
        <v>0</v>
      </c>
      <c r="J78">
        <v>0</v>
      </c>
      <c r="K78">
        <v>0</v>
      </c>
      <c r="L78">
        <v>0</v>
      </c>
      <c r="M78">
        <v>0</v>
      </c>
      <c r="N78">
        <v>0</v>
      </c>
      <c r="O78">
        <v>0</v>
      </c>
      <c r="P78">
        <v>0</v>
      </c>
      <c r="Q78">
        <v>0</v>
      </c>
      <c r="R78">
        <v>0</v>
      </c>
      <c r="S78">
        <v>0</v>
      </c>
    </row>
    <row r="79" spans="1:19" ht="15" x14ac:dyDescent="0.25">
      <c r="A79" t="s">
        <v>81</v>
      </c>
      <c r="C79" t="s">
        <v>22</v>
      </c>
      <c r="D79" t="s">
        <v>23</v>
      </c>
      <c r="E79" t="s">
        <v>34</v>
      </c>
      <c r="F79" t="s">
        <v>26</v>
      </c>
      <c r="G79">
        <v>0</v>
      </c>
      <c r="H79">
        <v>0</v>
      </c>
      <c r="I79">
        <v>0</v>
      </c>
      <c r="J79">
        <v>0</v>
      </c>
      <c r="K79">
        <v>0</v>
      </c>
      <c r="L79">
        <v>0</v>
      </c>
      <c r="M79">
        <v>0</v>
      </c>
      <c r="N79">
        <v>0.92607505009624835</v>
      </c>
      <c r="O79">
        <v>0</v>
      </c>
      <c r="P79">
        <v>0</v>
      </c>
      <c r="Q79">
        <v>0</v>
      </c>
      <c r="R79">
        <v>0</v>
      </c>
      <c r="S79">
        <v>0</v>
      </c>
    </row>
    <row r="80" spans="1:19" ht="15" x14ac:dyDescent="0.25">
      <c r="A80" t="s">
        <v>581</v>
      </c>
      <c r="C80" t="s">
        <v>22</v>
      </c>
      <c r="D80" t="s">
        <v>23</v>
      </c>
      <c r="E80" t="s">
        <v>34</v>
      </c>
      <c r="F80" t="s">
        <v>26</v>
      </c>
      <c r="G80">
        <v>24.305562044210522</v>
      </c>
      <c r="H80">
        <v>5.1912348631578932E-2</v>
      </c>
      <c r="I80">
        <v>0</v>
      </c>
      <c r="J80">
        <v>0</v>
      </c>
      <c r="K80">
        <v>0</v>
      </c>
      <c r="L80">
        <v>0</v>
      </c>
      <c r="M80">
        <v>0</v>
      </c>
      <c r="N80">
        <v>0.88292623699723605</v>
      </c>
      <c r="O80">
        <v>0</v>
      </c>
      <c r="P80">
        <v>0</v>
      </c>
      <c r="Q80">
        <v>157846.5654081346</v>
      </c>
      <c r="R80">
        <v>157846.5654081346</v>
      </c>
      <c r="S80">
        <v>157846.5654081346</v>
      </c>
    </row>
    <row r="81" spans="1:19" ht="15" x14ac:dyDescent="0.25">
      <c r="A81" t="s">
        <v>583</v>
      </c>
      <c r="C81" t="s">
        <v>22</v>
      </c>
      <c r="D81" t="s">
        <v>23</v>
      </c>
      <c r="E81" t="s">
        <v>34</v>
      </c>
      <c r="F81" t="s">
        <v>26</v>
      </c>
      <c r="G81">
        <v>4.4550000000000001</v>
      </c>
      <c r="H81">
        <v>0</v>
      </c>
      <c r="I81">
        <v>0</v>
      </c>
      <c r="J81">
        <v>0</v>
      </c>
      <c r="K81">
        <v>0</v>
      </c>
      <c r="L81">
        <v>0</v>
      </c>
      <c r="M81">
        <v>0</v>
      </c>
      <c r="N81">
        <v>0.94411811390641365</v>
      </c>
      <c r="O81">
        <v>0</v>
      </c>
      <c r="P81">
        <v>0</v>
      </c>
      <c r="Q81">
        <v>19812.7215</v>
      </c>
      <c r="R81">
        <v>19812.7215</v>
      </c>
      <c r="S81">
        <v>19812.7215</v>
      </c>
    </row>
    <row r="82" spans="1:19" ht="15" x14ac:dyDescent="0.25">
      <c r="A82" t="s">
        <v>584</v>
      </c>
      <c r="C82" t="s">
        <v>22</v>
      </c>
      <c r="D82" t="s">
        <v>23</v>
      </c>
      <c r="E82" t="s">
        <v>34</v>
      </c>
      <c r="F82" t="s">
        <v>26</v>
      </c>
      <c r="G82">
        <v>0.13500000000000001</v>
      </c>
      <c r="H82">
        <v>0</v>
      </c>
      <c r="I82">
        <v>0</v>
      </c>
      <c r="J82">
        <v>0</v>
      </c>
      <c r="K82">
        <v>0</v>
      </c>
      <c r="L82">
        <v>0</v>
      </c>
      <c r="M82">
        <v>0</v>
      </c>
      <c r="N82">
        <v>0.99044593289721605</v>
      </c>
      <c r="O82">
        <v>0</v>
      </c>
      <c r="P82">
        <v>0</v>
      </c>
      <c r="Q82">
        <v>600.38550000000009</v>
      </c>
      <c r="R82">
        <v>600.38550000000009</v>
      </c>
      <c r="S82">
        <v>600.38550000000009</v>
      </c>
    </row>
    <row r="83" spans="1:19" ht="15" x14ac:dyDescent="0.25">
      <c r="A83" t="s">
        <v>585</v>
      </c>
      <c r="C83" t="s">
        <v>22</v>
      </c>
      <c r="D83" t="s">
        <v>23</v>
      </c>
      <c r="E83" t="s">
        <v>34</v>
      </c>
      <c r="F83" t="s">
        <v>26</v>
      </c>
      <c r="G83">
        <v>3.645</v>
      </c>
      <c r="H83">
        <v>0</v>
      </c>
      <c r="I83">
        <v>0</v>
      </c>
      <c r="J83">
        <v>0</v>
      </c>
      <c r="K83">
        <v>0</v>
      </c>
      <c r="L83">
        <v>0</v>
      </c>
      <c r="M83">
        <v>0</v>
      </c>
      <c r="N83">
        <v>0.94411811390641365</v>
      </c>
      <c r="O83">
        <v>0</v>
      </c>
      <c r="P83">
        <v>0</v>
      </c>
      <c r="Q83">
        <v>16210.408500000001</v>
      </c>
      <c r="R83">
        <v>16210.408500000001</v>
      </c>
      <c r="S83">
        <v>16210.408500000001</v>
      </c>
    </row>
    <row r="84" spans="1:19" ht="15" x14ac:dyDescent="0.25">
      <c r="A84" t="s">
        <v>586</v>
      </c>
      <c r="C84" t="s">
        <v>22</v>
      </c>
      <c r="D84" t="s">
        <v>23</v>
      </c>
      <c r="E84" t="s">
        <v>34</v>
      </c>
      <c r="F84" t="s">
        <v>26</v>
      </c>
      <c r="G84">
        <v>0.27</v>
      </c>
      <c r="H84">
        <v>0</v>
      </c>
      <c r="I84">
        <v>0</v>
      </c>
      <c r="J84">
        <v>0</v>
      </c>
      <c r="K84">
        <v>0</v>
      </c>
      <c r="L84">
        <v>0</v>
      </c>
      <c r="M84">
        <v>0</v>
      </c>
      <c r="N84">
        <v>0.90846401606870619</v>
      </c>
      <c r="O84">
        <v>0</v>
      </c>
      <c r="P84">
        <v>0</v>
      </c>
      <c r="Q84">
        <v>1200.7710000000002</v>
      </c>
      <c r="R84">
        <v>1200.7710000000002</v>
      </c>
      <c r="S84">
        <v>1200.7710000000002</v>
      </c>
    </row>
    <row r="85" spans="1:19" ht="15" x14ac:dyDescent="0.25">
      <c r="A85" t="s">
        <v>587</v>
      </c>
      <c r="C85" t="s">
        <v>22</v>
      </c>
      <c r="D85" t="s">
        <v>23</v>
      </c>
      <c r="E85" t="s">
        <v>34</v>
      </c>
      <c r="F85" t="s">
        <v>26</v>
      </c>
      <c r="G85">
        <v>12.824999999999999</v>
      </c>
      <c r="H85">
        <v>0</v>
      </c>
      <c r="I85">
        <v>0</v>
      </c>
      <c r="J85">
        <v>0</v>
      </c>
      <c r="K85">
        <v>0</v>
      </c>
      <c r="L85">
        <v>0</v>
      </c>
      <c r="M85">
        <v>0</v>
      </c>
      <c r="N85">
        <v>0.86588774805920499</v>
      </c>
      <c r="O85">
        <v>0</v>
      </c>
      <c r="P85">
        <v>0</v>
      </c>
      <c r="Q85">
        <v>57036.622499999998</v>
      </c>
      <c r="R85">
        <v>57036.622499999998</v>
      </c>
      <c r="S85">
        <v>57036.622499999998</v>
      </c>
    </row>
    <row r="86" spans="1:19" ht="15" x14ac:dyDescent="0.25">
      <c r="A86" t="s">
        <v>588</v>
      </c>
      <c r="C86" t="s">
        <v>22</v>
      </c>
      <c r="D86" t="s">
        <v>23</v>
      </c>
      <c r="E86" t="s">
        <v>34</v>
      </c>
      <c r="F86" t="s">
        <v>26</v>
      </c>
      <c r="G86">
        <v>1.35E-2</v>
      </c>
      <c r="H86">
        <v>0</v>
      </c>
      <c r="I86">
        <v>0</v>
      </c>
      <c r="J86">
        <v>0</v>
      </c>
      <c r="K86">
        <v>0</v>
      </c>
      <c r="L86">
        <v>0</v>
      </c>
      <c r="M86">
        <v>0</v>
      </c>
      <c r="N86">
        <v>0.90846401606870619</v>
      </c>
      <c r="O86">
        <v>0</v>
      </c>
      <c r="P86">
        <v>0</v>
      </c>
      <c r="Q86">
        <v>60.038550000000001</v>
      </c>
      <c r="R86">
        <v>60.038550000000001</v>
      </c>
      <c r="S86">
        <v>60.038550000000001</v>
      </c>
    </row>
    <row r="87" spans="1:19" ht="15" x14ac:dyDescent="0.25">
      <c r="A87" t="s">
        <v>589</v>
      </c>
      <c r="C87" t="s">
        <v>22</v>
      </c>
      <c r="D87" t="s">
        <v>23</v>
      </c>
      <c r="E87" t="s">
        <v>34</v>
      </c>
      <c r="F87" t="s">
        <v>26</v>
      </c>
      <c r="G87">
        <v>31.860000000000003</v>
      </c>
      <c r="H87">
        <v>0</v>
      </c>
      <c r="I87">
        <v>0</v>
      </c>
      <c r="J87">
        <v>0</v>
      </c>
      <c r="K87">
        <v>0</v>
      </c>
      <c r="L87">
        <v>0</v>
      </c>
      <c r="M87">
        <v>0</v>
      </c>
      <c r="N87">
        <v>0.88267341961622703</v>
      </c>
      <c r="O87">
        <v>0</v>
      </c>
      <c r="P87">
        <v>0</v>
      </c>
      <c r="Q87">
        <v>141690.97800000003</v>
      </c>
      <c r="R87">
        <v>141690.97800000003</v>
      </c>
      <c r="S87">
        <v>141690.97800000003</v>
      </c>
    </row>
    <row r="88" spans="1:19" ht="15" x14ac:dyDescent="0.25">
      <c r="A88" t="s">
        <v>590</v>
      </c>
      <c r="C88" t="s">
        <v>22</v>
      </c>
      <c r="D88" t="s">
        <v>23</v>
      </c>
      <c r="E88" t="s">
        <v>34</v>
      </c>
      <c r="F88" t="s">
        <v>26</v>
      </c>
      <c r="G88">
        <v>1.35E-2</v>
      </c>
      <c r="H88">
        <v>0</v>
      </c>
      <c r="I88">
        <v>0</v>
      </c>
      <c r="J88">
        <v>0</v>
      </c>
      <c r="K88">
        <v>0</v>
      </c>
      <c r="L88">
        <v>0</v>
      </c>
      <c r="M88">
        <v>0</v>
      </c>
      <c r="N88">
        <v>0.90846401606870619</v>
      </c>
      <c r="O88">
        <v>0</v>
      </c>
      <c r="P88">
        <v>0</v>
      </c>
      <c r="Q88">
        <v>60.038550000000001</v>
      </c>
      <c r="R88">
        <v>60.038550000000001</v>
      </c>
      <c r="S88">
        <v>60.038550000000001</v>
      </c>
    </row>
    <row r="89" spans="1:19" ht="15" x14ac:dyDescent="0.25">
      <c r="A89" t="s">
        <v>591</v>
      </c>
      <c r="C89" t="s">
        <v>22</v>
      </c>
      <c r="D89" t="s">
        <v>23</v>
      </c>
      <c r="E89" t="s">
        <v>34</v>
      </c>
      <c r="F89" t="s">
        <v>26</v>
      </c>
      <c r="G89">
        <v>1.35E-2</v>
      </c>
      <c r="H89">
        <v>0</v>
      </c>
      <c r="I89">
        <v>0</v>
      </c>
      <c r="J89">
        <v>0</v>
      </c>
      <c r="K89">
        <v>0</v>
      </c>
      <c r="L89">
        <v>0</v>
      </c>
      <c r="M89">
        <v>0</v>
      </c>
      <c r="N89">
        <v>0.94402748291783567</v>
      </c>
      <c r="O89">
        <v>0</v>
      </c>
      <c r="P89">
        <v>0</v>
      </c>
      <c r="Q89">
        <v>60.038550000000001</v>
      </c>
      <c r="R89">
        <v>60.038550000000001</v>
      </c>
      <c r="S89">
        <v>60.038550000000001</v>
      </c>
    </row>
    <row r="90" spans="1:19" ht="15" x14ac:dyDescent="0.25">
      <c r="A90" t="s">
        <v>592</v>
      </c>
      <c r="C90" t="s">
        <v>22</v>
      </c>
      <c r="D90" t="s">
        <v>23</v>
      </c>
      <c r="E90" t="s">
        <v>34</v>
      </c>
      <c r="F90" t="s">
        <v>26</v>
      </c>
      <c r="G90">
        <v>2.7</v>
      </c>
      <c r="H90">
        <v>0</v>
      </c>
      <c r="I90">
        <v>0</v>
      </c>
      <c r="J90">
        <v>0</v>
      </c>
      <c r="K90">
        <v>0</v>
      </c>
      <c r="L90">
        <v>0</v>
      </c>
      <c r="M90">
        <v>0</v>
      </c>
      <c r="N90">
        <v>0.90846401606870619</v>
      </c>
      <c r="O90">
        <v>0</v>
      </c>
      <c r="P90">
        <v>0</v>
      </c>
      <c r="Q90">
        <v>12007.710000000001</v>
      </c>
      <c r="R90">
        <v>12007.710000000001</v>
      </c>
      <c r="S90">
        <v>12007.710000000001</v>
      </c>
    </row>
    <row r="91" spans="1:19" ht="15" x14ac:dyDescent="0.25">
      <c r="A91" t="s">
        <v>593</v>
      </c>
      <c r="C91" t="s">
        <v>22</v>
      </c>
      <c r="D91" t="s">
        <v>33</v>
      </c>
      <c r="E91" t="s">
        <v>34</v>
      </c>
      <c r="F91" t="s">
        <v>26</v>
      </c>
      <c r="G91">
        <v>1.2284999999999999</v>
      </c>
      <c r="H91">
        <v>0</v>
      </c>
      <c r="I91">
        <v>0</v>
      </c>
      <c r="J91">
        <v>0</v>
      </c>
      <c r="K91">
        <v>0</v>
      </c>
      <c r="L91">
        <v>0</v>
      </c>
      <c r="M91">
        <v>0</v>
      </c>
      <c r="N91">
        <v>0.99521150159009719</v>
      </c>
      <c r="O91">
        <v>0</v>
      </c>
      <c r="P91">
        <v>0</v>
      </c>
      <c r="Q91">
        <v>5463.5080499999995</v>
      </c>
      <c r="R91">
        <v>5463.5080499999995</v>
      </c>
      <c r="S91">
        <v>5463.5080499999995</v>
      </c>
    </row>
    <row r="92" spans="1:19" ht="15" x14ac:dyDescent="0.25">
      <c r="A92" t="s">
        <v>595</v>
      </c>
      <c r="C92" t="s">
        <v>22</v>
      </c>
      <c r="D92" t="s">
        <v>33</v>
      </c>
      <c r="E92" t="s">
        <v>34</v>
      </c>
      <c r="F92" t="s">
        <v>26</v>
      </c>
      <c r="G92">
        <v>9.18</v>
      </c>
      <c r="H92">
        <v>0</v>
      </c>
      <c r="I92">
        <v>0</v>
      </c>
      <c r="J92">
        <v>0</v>
      </c>
      <c r="K92">
        <v>0</v>
      </c>
      <c r="L92">
        <v>0</v>
      </c>
      <c r="M92">
        <v>0</v>
      </c>
      <c r="N92">
        <v>0.97161076718912276</v>
      </c>
      <c r="O92">
        <v>0</v>
      </c>
      <c r="P92">
        <v>0</v>
      </c>
      <c r="Q92">
        <v>40826.214</v>
      </c>
      <c r="R92">
        <v>40826.214</v>
      </c>
      <c r="S92">
        <v>40826.214</v>
      </c>
    </row>
    <row r="93" spans="1:19" ht="15" x14ac:dyDescent="0.25">
      <c r="A93" t="s">
        <v>596</v>
      </c>
      <c r="C93" t="s">
        <v>22</v>
      </c>
      <c r="D93" t="s">
        <v>33</v>
      </c>
      <c r="E93" t="s">
        <v>34</v>
      </c>
      <c r="F93" t="s">
        <v>26</v>
      </c>
      <c r="G93">
        <v>0.27</v>
      </c>
      <c r="H93">
        <v>0</v>
      </c>
      <c r="I93">
        <v>0</v>
      </c>
      <c r="J93">
        <v>0</v>
      </c>
      <c r="K93">
        <v>0</v>
      </c>
      <c r="L93">
        <v>0</v>
      </c>
      <c r="M93">
        <v>0</v>
      </c>
      <c r="N93">
        <v>0.90846401606870619</v>
      </c>
      <c r="O93">
        <v>0</v>
      </c>
      <c r="P93">
        <v>0</v>
      </c>
      <c r="Q93">
        <v>1200.7710000000002</v>
      </c>
      <c r="R93">
        <v>1200.7710000000002</v>
      </c>
      <c r="S93">
        <v>1200.7710000000002</v>
      </c>
    </row>
    <row r="94" spans="1:19" ht="15" x14ac:dyDescent="0.25">
      <c r="A94" t="s">
        <v>597</v>
      </c>
      <c r="C94" t="s">
        <v>22</v>
      </c>
      <c r="D94" t="s">
        <v>33</v>
      </c>
      <c r="E94" t="s">
        <v>34</v>
      </c>
      <c r="F94" t="s">
        <v>26</v>
      </c>
      <c r="G94">
        <v>1.2284999999999999</v>
      </c>
      <c r="H94">
        <v>0</v>
      </c>
      <c r="I94">
        <v>0</v>
      </c>
      <c r="J94">
        <v>0</v>
      </c>
      <c r="K94">
        <v>0</v>
      </c>
      <c r="L94">
        <v>0</v>
      </c>
      <c r="M94">
        <v>0</v>
      </c>
      <c r="N94">
        <v>0.99044593289721605</v>
      </c>
      <c r="O94">
        <v>0</v>
      </c>
      <c r="P94">
        <v>0</v>
      </c>
      <c r="Q94">
        <v>5463.5080499999995</v>
      </c>
      <c r="R94">
        <v>5463.5080499999995</v>
      </c>
      <c r="S94">
        <v>5463.5080499999995</v>
      </c>
    </row>
    <row r="95" spans="1:19" ht="15" x14ac:dyDescent="0.25">
      <c r="A95" t="s">
        <v>598</v>
      </c>
      <c r="C95" t="s">
        <v>22</v>
      </c>
      <c r="D95" t="s">
        <v>33</v>
      </c>
      <c r="E95" t="s">
        <v>34</v>
      </c>
      <c r="F95" t="s">
        <v>26</v>
      </c>
      <c r="G95">
        <v>0.27</v>
      </c>
      <c r="H95">
        <v>0</v>
      </c>
      <c r="I95">
        <v>0</v>
      </c>
      <c r="J95">
        <v>0</v>
      </c>
      <c r="K95">
        <v>0</v>
      </c>
      <c r="L95">
        <v>0</v>
      </c>
      <c r="M95">
        <v>0</v>
      </c>
      <c r="N95">
        <v>0.97966559024021704</v>
      </c>
      <c r="O95">
        <v>0</v>
      </c>
      <c r="P95">
        <v>0</v>
      </c>
      <c r="Q95">
        <v>1200.7710000000002</v>
      </c>
      <c r="R95">
        <v>1200.7710000000002</v>
      </c>
      <c r="S95">
        <v>1200.7710000000002</v>
      </c>
    </row>
    <row r="96" spans="1:19" ht="15" x14ac:dyDescent="0.25">
      <c r="A96" t="s">
        <v>599</v>
      </c>
      <c r="C96" t="s">
        <v>22</v>
      </c>
      <c r="D96" t="s">
        <v>33</v>
      </c>
      <c r="E96" t="s">
        <v>34</v>
      </c>
      <c r="F96" t="s">
        <v>26</v>
      </c>
      <c r="G96">
        <v>2.8214999999999999</v>
      </c>
      <c r="H96">
        <v>0</v>
      </c>
      <c r="I96">
        <v>0</v>
      </c>
      <c r="J96">
        <v>0</v>
      </c>
      <c r="K96">
        <v>0</v>
      </c>
      <c r="L96">
        <v>0</v>
      </c>
      <c r="M96">
        <v>0</v>
      </c>
      <c r="N96">
        <v>0.95313378707750473</v>
      </c>
      <c r="O96">
        <v>0</v>
      </c>
      <c r="P96">
        <v>0</v>
      </c>
      <c r="Q96">
        <v>12548.05695</v>
      </c>
      <c r="R96">
        <v>12548.05695</v>
      </c>
      <c r="S96">
        <v>12548.05695</v>
      </c>
    </row>
    <row r="97" spans="1:19" ht="15" x14ac:dyDescent="0.25">
      <c r="A97" t="s">
        <v>600</v>
      </c>
      <c r="C97" t="s">
        <v>22</v>
      </c>
      <c r="D97" t="s">
        <v>33</v>
      </c>
      <c r="E97" t="s">
        <v>34</v>
      </c>
      <c r="F97" t="s">
        <v>26</v>
      </c>
      <c r="G97">
        <v>1.35</v>
      </c>
      <c r="H97">
        <v>0</v>
      </c>
      <c r="I97">
        <v>0</v>
      </c>
      <c r="J97">
        <v>0</v>
      </c>
      <c r="K97">
        <v>0</v>
      </c>
      <c r="L97">
        <v>0</v>
      </c>
      <c r="M97">
        <v>0</v>
      </c>
      <c r="N97">
        <v>0.90846401606870619</v>
      </c>
      <c r="O97">
        <v>0</v>
      </c>
      <c r="P97">
        <v>0</v>
      </c>
      <c r="Q97">
        <v>6003.8550000000005</v>
      </c>
      <c r="R97">
        <v>6003.8550000000005</v>
      </c>
      <c r="S97">
        <v>6003.8550000000005</v>
      </c>
    </row>
    <row r="98" spans="1:19" ht="15" x14ac:dyDescent="0.25">
      <c r="A98" t="s">
        <v>601</v>
      </c>
      <c r="C98" t="s">
        <v>22</v>
      </c>
      <c r="D98" t="s">
        <v>33</v>
      </c>
      <c r="E98" t="s">
        <v>34</v>
      </c>
      <c r="F98" t="s">
        <v>26</v>
      </c>
      <c r="G98">
        <v>7.9650000000000007</v>
      </c>
      <c r="H98">
        <v>0</v>
      </c>
      <c r="I98">
        <v>0</v>
      </c>
      <c r="J98">
        <v>0</v>
      </c>
      <c r="K98">
        <v>0</v>
      </c>
      <c r="L98">
        <v>0</v>
      </c>
      <c r="M98">
        <v>0</v>
      </c>
      <c r="N98">
        <v>0.90846401606870619</v>
      </c>
      <c r="O98">
        <v>0</v>
      </c>
      <c r="P98">
        <v>0</v>
      </c>
      <c r="Q98">
        <v>35422.744500000008</v>
      </c>
      <c r="R98">
        <v>35422.744500000008</v>
      </c>
      <c r="S98">
        <v>35422.744500000008</v>
      </c>
    </row>
    <row r="99" spans="1:19" ht="15" x14ac:dyDescent="0.25">
      <c r="A99" t="s">
        <v>583</v>
      </c>
      <c r="C99" t="s">
        <v>22</v>
      </c>
      <c r="D99" t="s">
        <v>33</v>
      </c>
      <c r="E99" t="s">
        <v>34</v>
      </c>
      <c r="F99" t="s">
        <v>26</v>
      </c>
      <c r="G99">
        <v>4.4550000000000001</v>
      </c>
      <c r="H99">
        <v>0</v>
      </c>
      <c r="I99">
        <v>0</v>
      </c>
      <c r="J99">
        <v>0</v>
      </c>
      <c r="K99">
        <v>0</v>
      </c>
      <c r="L99">
        <v>0</v>
      </c>
      <c r="M99">
        <v>0</v>
      </c>
      <c r="N99">
        <v>0.96121707965624981</v>
      </c>
      <c r="O99">
        <v>0</v>
      </c>
      <c r="P99">
        <v>0</v>
      </c>
      <c r="Q99">
        <v>19812.7215</v>
      </c>
      <c r="R99">
        <v>19812.7215</v>
      </c>
      <c r="S99">
        <v>19812.7215</v>
      </c>
    </row>
    <row r="100" spans="1:19" ht="15" x14ac:dyDescent="0.25">
      <c r="A100" t="s">
        <v>584</v>
      </c>
      <c r="C100" t="s">
        <v>22</v>
      </c>
      <c r="D100" t="s">
        <v>33</v>
      </c>
      <c r="E100" t="s">
        <v>34</v>
      </c>
      <c r="F100" t="s">
        <v>26</v>
      </c>
      <c r="G100">
        <v>0.27</v>
      </c>
      <c r="H100">
        <v>0</v>
      </c>
      <c r="I100">
        <v>0</v>
      </c>
      <c r="J100">
        <v>0</v>
      </c>
      <c r="K100">
        <v>0</v>
      </c>
      <c r="L100">
        <v>0</v>
      </c>
      <c r="M100">
        <v>0</v>
      </c>
      <c r="N100">
        <v>0.99044593289721605</v>
      </c>
      <c r="O100">
        <v>0</v>
      </c>
      <c r="P100">
        <v>0</v>
      </c>
      <c r="Q100">
        <v>1200.7710000000002</v>
      </c>
      <c r="R100">
        <v>1200.7710000000002</v>
      </c>
      <c r="S100">
        <v>1200.7710000000002</v>
      </c>
    </row>
    <row r="101" spans="1:19" ht="15" x14ac:dyDescent="0.25">
      <c r="A101" t="s">
        <v>602</v>
      </c>
      <c r="C101" t="s">
        <v>22</v>
      </c>
      <c r="D101" t="s">
        <v>33</v>
      </c>
      <c r="E101" t="s">
        <v>34</v>
      </c>
      <c r="F101" t="s">
        <v>26</v>
      </c>
      <c r="G101">
        <v>0.80999999999999994</v>
      </c>
      <c r="H101">
        <v>0</v>
      </c>
      <c r="I101">
        <v>0</v>
      </c>
      <c r="J101">
        <v>0</v>
      </c>
      <c r="K101">
        <v>0</v>
      </c>
      <c r="L101">
        <v>0</v>
      </c>
      <c r="M101">
        <v>0</v>
      </c>
      <c r="N101">
        <v>0.90846401606870619</v>
      </c>
      <c r="O101">
        <v>0</v>
      </c>
      <c r="P101">
        <v>0</v>
      </c>
      <c r="Q101">
        <v>3602.3130000000001</v>
      </c>
      <c r="R101">
        <v>3602.3130000000001</v>
      </c>
      <c r="S101">
        <v>3602.3130000000001</v>
      </c>
    </row>
    <row r="102" spans="1:19" ht="15" x14ac:dyDescent="0.25">
      <c r="A102" t="s">
        <v>603</v>
      </c>
      <c r="C102" t="s">
        <v>22</v>
      </c>
      <c r="D102" t="s">
        <v>33</v>
      </c>
      <c r="E102" t="s">
        <v>34</v>
      </c>
      <c r="F102" t="s">
        <v>26</v>
      </c>
      <c r="G102">
        <v>1.8360000000000001</v>
      </c>
      <c r="H102">
        <v>0</v>
      </c>
      <c r="I102">
        <v>0</v>
      </c>
      <c r="J102">
        <v>0</v>
      </c>
      <c r="K102">
        <v>0</v>
      </c>
      <c r="L102">
        <v>0</v>
      </c>
      <c r="M102">
        <v>0</v>
      </c>
      <c r="N102">
        <v>0.90846401606870619</v>
      </c>
      <c r="O102">
        <v>0</v>
      </c>
      <c r="P102">
        <v>0</v>
      </c>
      <c r="Q102">
        <v>8165.2428000000009</v>
      </c>
      <c r="R102">
        <v>8165.2428000000009</v>
      </c>
      <c r="S102">
        <v>8165.2428000000009</v>
      </c>
    </row>
    <row r="103" spans="1:19" ht="15" x14ac:dyDescent="0.25">
      <c r="A103" t="s">
        <v>586</v>
      </c>
      <c r="C103" t="s">
        <v>22</v>
      </c>
      <c r="D103" t="s">
        <v>33</v>
      </c>
      <c r="E103" t="s">
        <v>34</v>
      </c>
      <c r="F103" t="s">
        <v>26</v>
      </c>
      <c r="G103">
        <v>0.27</v>
      </c>
      <c r="H103">
        <v>0</v>
      </c>
      <c r="I103">
        <v>0</v>
      </c>
      <c r="J103">
        <v>0</v>
      </c>
      <c r="K103">
        <v>0</v>
      </c>
      <c r="L103">
        <v>0</v>
      </c>
      <c r="M103">
        <v>0</v>
      </c>
      <c r="N103">
        <v>0.90846401606870619</v>
      </c>
      <c r="O103">
        <v>0</v>
      </c>
      <c r="P103">
        <v>0</v>
      </c>
      <c r="Q103">
        <v>1200.7710000000002</v>
      </c>
      <c r="R103">
        <v>1200.7710000000002</v>
      </c>
      <c r="S103">
        <v>1200.7710000000002</v>
      </c>
    </row>
    <row r="104" spans="1:19" ht="15" x14ac:dyDescent="0.25">
      <c r="A104" t="s">
        <v>590</v>
      </c>
      <c r="C104" t="s">
        <v>22</v>
      </c>
      <c r="D104" t="s">
        <v>33</v>
      </c>
      <c r="E104" t="s">
        <v>34</v>
      </c>
      <c r="F104" t="s">
        <v>26</v>
      </c>
      <c r="G104">
        <v>0.13500000000000001</v>
      </c>
      <c r="H104">
        <v>0</v>
      </c>
      <c r="I104">
        <v>0</v>
      </c>
      <c r="J104">
        <v>0</v>
      </c>
      <c r="K104">
        <v>0</v>
      </c>
      <c r="L104">
        <v>0</v>
      </c>
      <c r="M104">
        <v>0</v>
      </c>
      <c r="N104">
        <v>0.90846401606870619</v>
      </c>
      <c r="O104">
        <v>0</v>
      </c>
      <c r="P104">
        <v>0</v>
      </c>
      <c r="Q104">
        <v>600.38550000000009</v>
      </c>
      <c r="R104">
        <v>600.38550000000009</v>
      </c>
      <c r="S104">
        <v>600.38550000000009</v>
      </c>
    </row>
    <row r="105" spans="1:19" ht="15" x14ac:dyDescent="0.25">
      <c r="A105" t="s">
        <v>592</v>
      </c>
      <c r="C105" t="s">
        <v>22</v>
      </c>
      <c r="D105" t="s">
        <v>33</v>
      </c>
      <c r="E105" t="s">
        <v>34</v>
      </c>
      <c r="F105" t="s">
        <v>26</v>
      </c>
      <c r="G105">
        <v>2.8214999999999999</v>
      </c>
      <c r="H105">
        <v>0</v>
      </c>
      <c r="I105">
        <v>0</v>
      </c>
      <c r="J105">
        <v>0</v>
      </c>
      <c r="K105">
        <v>0</v>
      </c>
      <c r="L105">
        <v>0</v>
      </c>
      <c r="M105">
        <v>0</v>
      </c>
      <c r="N105">
        <v>0.90846401606870619</v>
      </c>
      <c r="O105">
        <v>0</v>
      </c>
      <c r="P105">
        <v>0</v>
      </c>
      <c r="Q105">
        <v>12548.05695</v>
      </c>
      <c r="R105">
        <v>12548.05695</v>
      </c>
      <c r="S105">
        <v>12548.05695</v>
      </c>
    </row>
    <row r="106" spans="1:19" ht="15" x14ac:dyDescent="0.25">
      <c r="A106" t="s">
        <v>604</v>
      </c>
      <c r="C106" t="s">
        <v>22</v>
      </c>
      <c r="D106" t="s">
        <v>33</v>
      </c>
      <c r="E106" t="s">
        <v>34</v>
      </c>
      <c r="F106" t="s">
        <v>26</v>
      </c>
      <c r="G106">
        <v>2.7</v>
      </c>
      <c r="H106">
        <v>0</v>
      </c>
      <c r="I106">
        <v>0</v>
      </c>
      <c r="J106">
        <v>0</v>
      </c>
      <c r="K106">
        <v>0</v>
      </c>
      <c r="L106">
        <v>0</v>
      </c>
      <c r="M106">
        <v>0</v>
      </c>
      <c r="N106">
        <v>0.90846401606870619</v>
      </c>
      <c r="O106">
        <v>0</v>
      </c>
      <c r="P106">
        <v>0</v>
      </c>
      <c r="Q106">
        <v>12007.710000000001</v>
      </c>
      <c r="R106">
        <v>12007.710000000001</v>
      </c>
      <c r="S106">
        <v>12007.710000000001</v>
      </c>
    </row>
    <row r="107" spans="1:19" ht="15" x14ac:dyDescent="0.25">
      <c r="A107" t="s">
        <v>605</v>
      </c>
      <c r="C107" t="s">
        <v>22</v>
      </c>
      <c r="D107" t="s">
        <v>33</v>
      </c>
      <c r="E107" t="s">
        <v>34</v>
      </c>
      <c r="F107" t="s">
        <v>26</v>
      </c>
      <c r="G107">
        <v>0.3105</v>
      </c>
      <c r="H107">
        <v>0</v>
      </c>
      <c r="I107">
        <v>0</v>
      </c>
      <c r="J107">
        <v>0</v>
      </c>
      <c r="K107">
        <v>0</v>
      </c>
      <c r="L107">
        <v>0</v>
      </c>
      <c r="M107">
        <v>0</v>
      </c>
      <c r="N107">
        <v>0.90846401606870619</v>
      </c>
      <c r="O107">
        <v>0</v>
      </c>
      <c r="P107">
        <v>0</v>
      </c>
      <c r="Q107">
        <v>1380.8866500000001</v>
      </c>
      <c r="R107">
        <v>1380.8866500000001</v>
      </c>
      <c r="S107">
        <v>1380.8866500000001</v>
      </c>
    </row>
    <row r="108" spans="1:19" ht="15" x14ac:dyDescent="0.25">
      <c r="A108" t="s">
        <v>606</v>
      </c>
      <c r="C108" t="s">
        <v>22</v>
      </c>
      <c r="D108" t="s">
        <v>33</v>
      </c>
      <c r="E108" t="s">
        <v>34</v>
      </c>
      <c r="F108" t="s">
        <v>26</v>
      </c>
      <c r="G108">
        <v>0.60750000000000004</v>
      </c>
      <c r="H108">
        <v>0</v>
      </c>
      <c r="I108">
        <v>0</v>
      </c>
      <c r="J108">
        <v>0</v>
      </c>
      <c r="K108">
        <v>0</v>
      </c>
      <c r="L108">
        <v>0</v>
      </c>
      <c r="M108">
        <v>0</v>
      </c>
      <c r="N108">
        <v>0.90846401606870619</v>
      </c>
      <c r="O108">
        <v>0</v>
      </c>
      <c r="P108">
        <v>0</v>
      </c>
      <c r="Q108">
        <v>2701.7347500000001</v>
      </c>
      <c r="R108">
        <v>2701.7347500000001</v>
      </c>
      <c r="S108">
        <v>2701.7347500000001</v>
      </c>
    </row>
    <row r="109" spans="1:19" ht="15" x14ac:dyDescent="0.25">
      <c r="A109" t="s">
        <v>607</v>
      </c>
      <c r="C109" t="s">
        <v>22</v>
      </c>
      <c r="D109" t="s">
        <v>33</v>
      </c>
      <c r="E109" t="s">
        <v>34</v>
      </c>
      <c r="F109" t="s">
        <v>26</v>
      </c>
      <c r="G109">
        <v>1.8360000000000001</v>
      </c>
      <c r="H109">
        <v>0</v>
      </c>
      <c r="I109">
        <v>0</v>
      </c>
      <c r="J109">
        <v>0</v>
      </c>
      <c r="K109">
        <v>0</v>
      </c>
      <c r="L109">
        <v>0</v>
      </c>
      <c r="M109">
        <v>0</v>
      </c>
      <c r="N109">
        <v>0.90846401606870619</v>
      </c>
      <c r="O109">
        <v>0</v>
      </c>
      <c r="P109">
        <v>0</v>
      </c>
      <c r="Q109">
        <v>8165.2428000000009</v>
      </c>
      <c r="R109">
        <v>8165.2428000000009</v>
      </c>
      <c r="S109">
        <v>8165.2428000000009</v>
      </c>
    </row>
    <row r="110" spans="1:19" ht="15" x14ac:dyDescent="0.25">
      <c r="A110" t="s">
        <v>608</v>
      </c>
      <c r="C110" t="s">
        <v>22</v>
      </c>
      <c r="D110" t="s">
        <v>33</v>
      </c>
      <c r="E110" t="s">
        <v>34</v>
      </c>
      <c r="F110" t="s">
        <v>26</v>
      </c>
      <c r="G110">
        <v>1.2284999999999999</v>
      </c>
      <c r="H110">
        <v>0</v>
      </c>
      <c r="I110">
        <v>0</v>
      </c>
      <c r="J110">
        <v>0</v>
      </c>
      <c r="K110">
        <v>0</v>
      </c>
      <c r="L110">
        <v>0</v>
      </c>
      <c r="M110">
        <v>0</v>
      </c>
      <c r="N110">
        <v>0.90846401606870619</v>
      </c>
      <c r="O110">
        <v>0</v>
      </c>
      <c r="P110">
        <v>0</v>
      </c>
      <c r="Q110">
        <v>5463.5080499999995</v>
      </c>
      <c r="R110">
        <v>5463.5080499999995</v>
      </c>
      <c r="S110">
        <v>5463.5080499999995</v>
      </c>
    </row>
    <row r="111" spans="1:19" ht="15" x14ac:dyDescent="0.25">
      <c r="A111" t="s">
        <v>609</v>
      </c>
      <c r="C111" t="s">
        <v>22</v>
      </c>
      <c r="D111" t="s">
        <v>33</v>
      </c>
      <c r="E111" t="s">
        <v>34</v>
      </c>
      <c r="F111" t="s">
        <v>26</v>
      </c>
      <c r="G111">
        <v>1.8360000000000001</v>
      </c>
      <c r="H111">
        <v>0</v>
      </c>
      <c r="I111">
        <v>0</v>
      </c>
      <c r="J111">
        <v>0</v>
      </c>
      <c r="K111">
        <v>0</v>
      </c>
      <c r="L111">
        <v>0</v>
      </c>
      <c r="M111">
        <v>0</v>
      </c>
      <c r="N111">
        <v>0.79957095614166374</v>
      </c>
      <c r="O111">
        <v>0</v>
      </c>
      <c r="P111">
        <v>0</v>
      </c>
      <c r="Q111">
        <v>8165.2428000000009</v>
      </c>
      <c r="R111">
        <v>8165.2428000000009</v>
      </c>
      <c r="S111">
        <v>8165.2428000000009</v>
      </c>
    </row>
    <row r="112" spans="1:19" ht="15" x14ac:dyDescent="0.25">
      <c r="A112" t="s">
        <v>610</v>
      </c>
      <c r="C112" t="s">
        <v>22</v>
      </c>
      <c r="D112" t="s">
        <v>33</v>
      </c>
      <c r="E112" t="s">
        <v>34</v>
      </c>
      <c r="F112" t="s">
        <v>26</v>
      </c>
      <c r="G112">
        <v>0.27</v>
      </c>
      <c r="H112">
        <v>0</v>
      </c>
      <c r="I112">
        <v>0</v>
      </c>
      <c r="J112">
        <v>0</v>
      </c>
      <c r="K112">
        <v>0</v>
      </c>
      <c r="L112">
        <v>0</v>
      </c>
      <c r="M112">
        <v>0</v>
      </c>
      <c r="N112">
        <v>0</v>
      </c>
      <c r="O112">
        <v>0</v>
      </c>
      <c r="P112">
        <v>0</v>
      </c>
      <c r="Q112">
        <v>1200.7710000000002</v>
      </c>
      <c r="R112">
        <v>1200.7710000000002</v>
      </c>
      <c r="S112">
        <v>1200.7710000000002</v>
      </c>
    </row>
    <row r="113" spans="1:19" ht="15" x14ac:dyDescent="0.25">
      <c r="A113" t="s">
        <v>611</v>
      </c>
      <c r="C113" t="s">
        <v>22</v>
      </c>
      <c r="D113" t="s">
        <v>33</v>
      </c>
      <c r="E113" t="s">
        <v>34</v>
      </c>
      <c r="F113" t="s">
        <v>26</v>
      </c>
      <c r="G113">
        <v>0</v>
      </c>
      <c r="H113">
        <v>0</v>
      </c>
      <c r="I113">
        <v>0</v>
      </c>
      <c r="J113">
        <v>0</v>
      </c>
      <c r="K113">
        <v>0</v>
      </c>
      <c r="L113">
        <v>0</v>
      </c>
      <c r="M113">
        <v>0</v>
      </c>
      <c r="N113">
        <v>0.88292623699723605</v>
      </c>
      <c r="O113">
        <v>0</v>
      </c>
      <c r="P113">
        <v>0</v>
      </c>
      <c r="Q113">
        <v>0</v>
      </c>
      <c r="R113">
        <v>0</v>
      </c>
      <c r="S113">
        <v>0</v>
      </c>
    </row>
    <row r="114" spans="1:19" ht="15" x14ac:dyDescent="0.25">
      <c r="A114" t="s">
        <v>81</v>
      </c>
      <c r="C114" t="s">
        <v>22</v>
      </c>
      <c r="D114" t="s">
        <v>33</v>
      </c>
      <c r="E114" t="s">
        <v>34</v>
      </c>
      <c r="F114" t="s">
        <v>26</v>
      </c>
      <c r="G114">
        <v>7.56</v>
      </c>
      <c r="H114">
        <v>0</v>
      </c>
      <c r="I114">
        <v>0</v>
      </c>
      <c r="J114">
        <v>0</v>
      </c>
      <c r="K114">
        <v>0</v>
      </c>
      <c r="L114">
        <v>0</v>
      </c>
      <c r="M114">
        <v>0</v>
      </c>
      <c r="N114">
        <v>0.92607505009624835</v>
      </c>
      <c r="O114">
        <v>0</v>
      </c>
      <c r="P114">
        <v>0</v>
      </c>
      <c r="Q114">
        <v>33621.587999999996</v>
      </c>
      <c r="R114">
        <v>33621.587999999996</v>
      </c>
      <c r="S114">
        <v>33621.587999999996</v>
      </c>
    </row>
    <row r="115" spans="1:19" ht="15" x14ac:dyDescent="0.25">
      <c r="A115" t="s">
        <v>614</v>
      </c>
      <c r="C115" t="s">
        <v>22</v>
      </c>
      <c r="D115" t="s">
        <v>33</v>
      </c>
      <c r="E115" t="s">
        <v>34</v>
      </c>
      <c r="F115" t="s">
        <v>26</v>
      </c>
      <c r="G115">
        <v>0</v>
      </c>
      <c r="H115">
        <v>0</v>
      </c>
      <c r="I115">
        <v>0</v>
      </c>
      <c r="J115">
        <v>0</v>
      </c>
      <c r="K115">
        <v>0</v>
      </c>
      <c r="L115">
        <v>0</v>
      </c>
      <c r="M115">
        <v>0</v>
      </c>
      <c r="N115">
        <v>0.63870026724145679</v>
      </c>
      <c r="O115">
        <v>0</v>
      </c>
      <c r="P115">
        <v>0</v>
      </c>
      <c r="Q115">
        <v>0</v>
      </c>
      <c r="R115">
        <v>0</v>
      </c>
      <c r="S115">
        <v>0</v>
      </c>
    </row>
    <row r="116" spans="1:19" ht="15" x14ac:dyDescent="0.25">
      <c r="A116" t="s">
        <v>583</v>
      </c>
      <c r="C116" t="s">
        <v>22</v>
      </c>
      <c r="D116" t="s">
        <v>33</v>
      </c>
      <c r="E116" t="s">
        <v>34</v>
      </c>
      <c r="F116" t="s">
        <v>26</v>
      </c>
      <c r="G116">
        <v>4.4550000000000001</v>
      </c>
      <c r="H116">
        <v>0</v>
      </c>
      <c r="I116">
        <v>0</v>
      </c>
      <c r="J116">
        <v>0</v>
      </c>
      <c r="K116">
        <v>0</v>
      </c>
      <c r="L116">
        <v>0</v>
      </c>
      <c r="M116">
        <v>0</v>
      </c>
      <c r="N116">
        <v>0.94411811390641365</v>
      </c>
      <c r="O116">
        <v>0</v>
      </c>
      <c r="P116">
        <v>0</v>
      </c>
      <c r="Q116">
        <v>19812.7215</v>
      </c>
      <c r="R116">
        <v>19812.7215</v>
      </c>
      <c r="S116">
        <v>19812.7215</v>
      </c>
    </row>
    <row r="117" spans="1:19" ht="15" x14ac:dyDescent="0.25">
      <c r="A117" t="s">
        <v>586</v>
      </c>
      <c r="C117" t="s">
        <v>22</v>
      </c>
      <c r="D117" t="s">
        <v>33</v>
      </c>
      <c r="E117" t="s">
        <v>34</v>
      </c>
      <c r="F117" t="s">
        <v>26</v>
      </c>
      <c r="G117">
        <v>0</v>
      </c>
      <c r="H117">
        <v>0</v>
      </c>
      <c r="I117">
        <v>0</v>
      </c>
      <c r="J117">
        <v>0</v>
      </c>
      <c r="K117">
        <v>0</v>
      </c>
      <c r="L117">
        <v>0</v>
      </c>
      <c r="M117">
        <v>0</v>
      </c>
      <c r="N117">
        <v>0.90846401606870619</v>
      </c>
      <c r="O117">
        <v>0</v>
      </c>
      <c r="P117">
        <v>0</v>
      </c>
      <c r="Q117">
        <v>0</v>
      </c>
      <c r="R117">
        <v>0</v>
      </c>
      <c r="S117">
        <v>0</v>
      </c>
    </row>
    <row r="118" spans="1:19" ht="15" x14ac:dyDescent="0.25">
      <c r="A118" t="s">
        <v>587</v>
      </c>
      <c r="C118" t="s">
        <v>22</v>
      </c>
      <c r="D118" t="s">
        <v>33</v>
      </c>
      <c r="E118" t="s">
        <v>34</v>
      </c>
      <c r="F118" t="s">
        <v>26</v>
      </c>
      <c r="G118">
        <v>14.715</v>
      </c>
      <c r="H118">
        <v>0</v>
      </c>
      <c r="I118">
        <v>0</v>
      </c>
      <c r="J118">
        <v>0</v>
      </c>
      <c r="K118">
        <v>0</v>
      </c>
      <c r="L118">
        <v>0</v>
      </c>
      <c r="M118">
        <v>0</v>
      </c>
      <c r="N118">
        <v>0.94039087367176122</v>
      </c>
      <c r="O118">
        <v>0</v>
      </c>
      <c r="P118">
        <v>0</v>
      </c>
      <c r="Q118">
        <v>65442.019500000002</v>
      </c>
      <c r="R118">
        <v>65442.019500000002</v>
      </c>
      <c r="S118">
        <v>65442.019500000002</v>
      </c>
    </row>
    <row r="119" spans="1:19" ht="15" x14ac:dyDescent="0.25">
      <c r="A119" t="s">
        <v>1205</v>
      </c>
      <c r="C119" t="s">
        <v>22</v>
      </c>
      <c r="D119" t="s">
        <v>33</v>
      </c>
      <c r="E119" t="s">
        <v>34</v>
      </c>
      <c r="F119" t="s">
        <v>26</v>
      </c>
      <c r="G119">
        <v>3.645</v>
      </c>
      <c r="H119">
        <v>0</v>
      </c>
      <c r="I119">
        <v>0</v>
      </c>
      <c r="J119">
        <v>0</v>
      </c>
      <c r="K119">
        <v>0</v>
      </c>
      <c r="L119">
        <v>0</v>
      </c>
      <c r="M119">
        <v>0</v>
      </c>
      <c r="N119">
        <v>0.995783562127874</v>
      </c>
      <c r="O119">
        <v>0</v>
      </c>
      <c r="P119">
        <v>0</v>
      </c>
      <c r="Q119">
        <v>16210.408500000001</v>
      </c>
      <c r="R119">
        <v>16210.408500000001</v>
      </c>
      <c r="S119">
        <v>16210.408500000001</v>
      </c>
    </row>
    <row r="120" spans="1:19" ht="15" x14ac:dyDescent="0.25">
      <c r="A120" t="s">
        <v>590</v>
      </c>
      <c r="C120" t="s">
        <v>22</v>
      </c>
      <c r="D120" t="s">
        <v>33</v>
      </c>
      <c r="E120" t="s">
        <v>34</v>
      </c>
      <c r="F120" t="s">
        <v>26</v>
      </c>
      <c r="G120">
        <v>0.13500000000000001</v>
      </c>
      <c r="H120">
        <v>0</v>
      </c>
      <c r="I120">
        <v>0</v>
      </c>
      <c r="J120">
        <v>0</v>
      </c>
      <c r="K120">
        <v>0</v>
      </c>
      <c r="L120">
        <v>0</v>
      </c>
      <c r="M120">
        <v>0</v>
      </c>
      <c r="N120">
        <v>0.90846401606870619</v>
      </c>
      <c r="O120">
        <v>0</v>
      </c>
      <c r="P120">
        <v>0</v>
      </c>
      <c r="Q120">
        <v>600.38550000000009</v>
      </c>
      <c r="R120">
        <v>600.38550000000009</v>
      </c>
      <c r="S120">
        <v>600.38550000000009</v>
      </c>
    </row>
    <row r="121" spans="1:19" ht="15" x14ac:dyDescent="0.25">
      <c r="A121" t="s">
        <v>1204</v>
      </c>
      <c r="C121" t="s">
        <v>22</v>
      </c>
      <c r="D121" t="s">
        <v>33</v>
      </c>
      <c r="E121" t="s">
        <v>34</v>
      </c>
      <c r="F121" t="s">
        <v>26</v>
      </c>
      <c r="G121">
        <v>4.05</v>
      </c>
      <c r="H121">
        <v>0</v>
      </c>
      <c r="I121">
        <v>0</v>
      </c>
      <c r="J121">
        <v>0</v>
      </c>
      <c r="K121">
        <v>0</v>
      </c>
      <c r="L121">
        <v>0</v>
      </c>
      <c r="M121">
        <v>0</v>
      </c>
      <c r="N121">
        <v>0.9212247151919003</v>
      </c>
      <c r="O121">
        <v>0</v>
      </c>
      <c r="P121">
        <v>0</v>
      </c>
      <c r="Q121">
        <v>18011.564999999999</v>
      </c>
      <c r="R121">
        <v>18011.564999999999</v>
      </c>
      <c r="S121">
        <v>18011.564999999999</v>
      </c>
    </row>
    <row r="122" spans="1:19" ht="15" x14ac:dyDescent="0.25">
      <c r="A122" t="s">
        <v>592</v>
      </c>
      <c r="C122" t="s">
        <v>22</v>
      </c>
      <c r="D122" t="s">
        <v>33</v>
      </c>
      <c r="E122" t="s">
        <v>34</v>
      </c>
      <c r="F122" t="s">
        <v>26</v>
      </c>
      <c r="G122">
        <v>0</v>
      </c>
      <c r="H122">
        <v>0</v>
      </c>
      <c r="I122">
        <v>0</v>
      </c>
      <c r="J122">
        <v>0</v>
      </c>
      <c r="K122">
        <v>0</v>
      </c>
      <c r="L122">
        <v>0</v>
      </c>
      <c r="M122">
        <v>0</v>
      </c>
      <c r="N122">
        <v>0.90846401606870619</v>
      </c>
      <c r="O122">
        <v>0</v>
      </c>
      <c r="P122">
        <v>0</v>
      </c>
      <c r="Q122">
        <v>0</v>
      </c>
      <c r="R122">
        <v>0</v>
      </c>
      <c r="S122">
        <v>0</v>
      </c>
    </row>
    <row r="123" spans="1:19" ht="15" x14ac:dyDescent="0.25">
      <c r="A123" t="s">
        <v>604</v>
      </c>
      <c r="C123" t="s">
        <v>22</v>
      </c>
      <c r="D123" t="s">
        <v>33</v>
      </c>
      <c r="E123" t="s">
        <v>34</v>
      </c>
      <c r="F123" t="s">
        <v>26</v>
      </c>
      <c r="G123">
        <v>0</v>
      </c>
      <c r="H123">
        <v>0</v>
      </c>
      <c r="I123">
        <v>0</v>
      </c>
      <c r="J123">
        <v>0</v>
      </c>
      <c r="K123">
        <v>0</v>
      </c>
      <c r="L123">
        <v>0</v>
      </c>
      <c r="M123">
        <v>0</v>
      </c>
      <c r="N123">
        <v>0.90846401606870619</v>
      </c>
      <c r="O123">
        <v>0</v>
      </c>
      <c r="P123">
        <v>0</v>
      </c>
      <c r="Q123">
        <v>0</v>
      </c>
      <c r="R123">
        <v>0</v>
      </c>
      <c r="S123">
        <v>0</v>
      </c>
    </row>
    <row r="124" spans="1:19" ht="15" x14ac:dyDescent="0.25">
      <c r="A124" t="s">
        <v>591</v>
      </c>
      <c r="C124" t="s">
        <v>22</v>
      </c>
      <c r="D124" t="s">
        <v>33</v>
      </c>
      <c r="E124" t="s">
        <v>34</v>
      </c>
      <c r="F124" t="s">
        <v>26</v>
      </c>
      <c r="G124">
        <v>53.864999999999995</v>
      </c>
      <c r="H124">
        <v>0</v>
      </c>
      <c r="I124">
        <v>0</v>
      </c>
      <c r="J124">
        <v>0</v>
      </c>
      <c r="K124">
        <v>0</v>
      </c>
      <c r="L124">
        <v>0</v>
      </c>
      <c r="M124">
        <v>0</v>
      </c>
      <c r="N124">
        <v>0.94402748291783567</v>
      </c>
      <c r="O124">
        <v>0</v>
      </c>
      <c r="P124">
        <v>0</v>
      </c>
      <c r="Q124">
        <v>239553.81449999998</v>
      </c>
      <c r="R124">
        <v>239553.81449999998</v>
      </c>
      <c r="S124">
        <v>239553.81449999998</v>
      </c>
    </row>
    <row r="125" spans="1:19" ht="15" x14ac:dyDescent="0.25">
      <c r="A125" t="s">
        <v>617</v>
      </c>
      <c r="C125" t="s">
        <v>22</v>
      </c>
      <c r="D125" t="s">
        <v>33</v>
      </c>
      <c r="E125" t="s">
        <v>34</v>
      </c>
      <c r="F125" t="s">
        <v>26</v>
      </c>
      <c r="G125">
        <v>0</v>
      </c>
      <c r="H125">
        <v>0</v>
      </c>
      <c r="I125">
        <v>0</v>
      </c>
      <c r="J125">
        <v>0</v>
      </c>
      <c r="K125">
        <v>0</v>
      </c>
      <c r="L125">
        <v>0</v>
      </c>
      <c r="M125">
        <v>0</v>
      </c>
      <c r="N125">
        <v>0.90846401606870619</v>
      </c>
      <c r="O125">
        <v>0</v>
      </c>
      <c r="P125">
        <v>0</v>
      </c>
      <c r="Q125">
        <v>0</v>
      </c>
      <c r="R125">
        <v>0</v>
      </c>
      <c r="S125">
        <v>0</v>
      </c>
    </row>
    <row r="126" spans="1:19" ht="15" x14ac:dyDescent="0.25">
      <c r="A126" t="s">
        <v>618</v>
      </c>
      <c r="C126" t="s">
        <v>22</v>
      </c>
      <c r="D126" t="s">
        <v>33</v>
      </c>
      <c r="E126" t="s">
        <v>34</v>
      </c>
      <c r="F126" t="s">
        <v>26</v>
      </c>
      <c r="G126">
        <v>0</v>
      </c>
      <c r="H126">
        <v>0</v>
      </c>
      <c r="I126">
        <v>0</v>
      </c>
      <c r="J126">
        <v>0</v>
      </c>
      <c r="K126">
        <v>0</v>
      </c>
      <c r="L126">
        <v>0</v>
      </c>
      <c r="M126">
        <v>0</v>
      </c>
      <c r="N126">
        <v>0.90846401606870619</v>
      </c>
      <c r="O126">
        <v>0</v>
      </c>
      <c r="P126">
        <v>0</v>
      </c>
      <c r="Q126">
        <v>0</v>
      </c>
      <c r="R126">
        <v>0</v>
      </c>
      <c r="S126">
        <v>0</v>
      </c>
    </row>
    <row r="127" spans="1:19" ht="15" x14ac:dyDescent="0.25">
      <c r="A127" t="s">
        <v>1200</v>
      </c>
      <c r="C127" t="s">
        <v>22</v>
      </c>
      <c r="D127" t="s">
        <v>33</v>
      </c>
      <c r="E127" t="s">
        <v>34</v>
      </c>
      <c r="F127" t="s">
        <v>26</v>
      </c>
      <c r="G127">
        <v>91.519999999999982</v>
      </c>
      <c r="H127">
        <v>0</v>
      </c>
      <c r="I127">
        <v>0</v>
      </c>
      <c r="J127">
        <v>0</v>
      </c>
      <c r="K127">
        <v>0</v>
      </c>
      <c r="L127">
        <v>0</v>
      </c>
      <c r="M127">
        <v>0</v>
      </c>
      <c r="N127">
        <v>0</v>
      </c>
      <c r="O127">
        <v>0</v>
      </c>
      <c r="P127">
        <v>0</v>
      </c>
      <c r="Q127">
        <v>407016.89599999995</v>
      </c>
      <c r="R127">
        <v>407016.89599999995</v>
      </c>
      <c r="S127">
        <v>407016.89599999995</v>
      </c>
    </row>
    <row r="128" spans="1:19" ht="15" x14ac:dyDescent="0.25">
      <c r="A128" t="s">
        <v>593</v>
      </c>
      <c r="C128" t="s">
        <v>22</v>
      </c>
      <c r="D128" t="s">
        <v>62</v>
      </c>
      <c r="E128" t="s">
        <v>34</v>
      </c>
      <c r="F128" t="s">
        <v>26</v>
      </c>
      <c r="G128">
        <v>0</v>
      </c>
      <c r="H128">
        <v>0</v>
      </c>
      <c r="I128">
        <v>0</v>
      </c>
      <c r="J128">
        <v>0</v>
      </c>
      <c r="K128">
        <v>0</v>
      </c>
      <c r="L128">
        <v>0</v>
      </c>
      <c r="M128">
        <v>0</v>
      </c>
      <c r="N128">
        <v>0.99521150159009719</v>
      </c>
      <c r="O128">
        <v>0</v>
      </c>
      <c r="P128">
        <v>0</v>
      </c>
      <c r="Q128">
        <v>0</v>
      </c>
      <c r="R128">
        <v>0</v>
      </c>
      <c r="S128">
        <v>0</v>
      </c>
    </row>
    <row r="129" spans="1:19" ht="15" x14ac:dyDescent="0.25">
      <c r="A129" t="s">
        <v>596</v>
      </c>
      <c r="C129" t="s">
        <v>22</v>
      </c>
      <c r="D129" t="s">
        <v>62</v>
      </c>
      <c r="E129" t="s">
        <v>34</v>
      </c>
      <c r="F129" t="s">
        <v>26</v>
      </c>
      <c r="G129">
        <v>0</v>
      </c>
      <c r="H129">
        <v>0</v>
      </c>
      <c r="I129">
        <v>0</v>
      </c>
      <c r="J129">
        <v>0</v>
      </c>
      <c r="K129">
        <v>0</v>
      </c>
      <c r="L129">
        <v>0</v>
      </c>
      <c r="M129">
        <v>0</v>
      </c>
      <c r="N129">
        <v>0.90846401606870619</v>
      </c>
      <c r="O129">
        <v>0</v>
      </c>
      <c r="P129">
        <v>0</v>
      </c>
      <c r="Q129">
        <v>0</v>
      </c>
      <c r="R129">
        <v>0</v>
      </c>
      <c r="S129">
        <v>0</v>
      </c>
    </row>
    <row r="130" spans="1:19" ht="15" x14ac:dyDescent="0.25">
      <c r="A130" t="s">
        <v>620</v>
      </c>
      <c r="C130" t="s">
        <v>22</v>
      </c>
      <c r="D130" t="s">
        <v>62</v>
      </c>
      <c r="E130" t="s">
        <v>34</v>
      </c>
      <c r="F130" t="s">
        <v>26</v>
      </c>
      <c r="G130">
        <v>0</v>
      </c>
      <c r="H130">
        <v>0</v>
      </c>
      <c r="I130">
        <v>0</v>
      </c>
      <c r="J130">
        <v>0</v>
      </c>
      <c r="K130">
        <v>0</v>
      </c>
      <c r="L130">
        <v>0</v>
      </c>
      <c r="M130">
        <v>0</v>
      </c>
      <c r="N130">
        <v>0.84942128716759835</v>
      </c>
      <c r="O130">
        <v>0</v>
      </c>
      <c r="P130">
        <v>0</v>
      </c>
      <c r="Q130">
        <v>0</v>
      </c>
      <c r="R130">
        <v>0</v>
      </c>
      <c r="S130">
        <v>0</v>
      </c>
    </row>
    <row r="131" spans="1:19" ht="15" x14ac:dyDescent="0.25">
      <c r="A131" t="s">
        <v>614</v>
      </c>
      <c r="C131" t="s">
        <v>22</v>
      </c>
      <c r="D131" t="s">
        <v>62</v>
      </c>
      <c r="E131" t="s">
        <v>34</v>
      </c>
      <c r="F131" t="s">
        <v>26</v>
      </c>
      <c r="G131">
        <v>0</v>
      </c>
      <c r="H131">
        <v>0</v>
      </c>
      <c r="I131">
        <v>0</v>
      </c>
      <c r="J131">
        <v>0</v>
      </c>
      <c r="K131">
        <v>0</v>
      </c>
      <c r="L131">
        <v>0</v>
      </c>
      <c r="M131">
        <v>0</v>
      </c>
      <c r="N131">
        <v>0.63870026724145679</v>
      </c>
      <c r="O131">
        <v>0</v>
      </c>
      <c r="P131">
        <v>0</v>
      </c>
      <c r="Q131">
        <v>0</v>
      </c>
      <c r="R131">
        <v>0</v>
      </c>
      <c r="S131">
        <v>0</v>
      </c>
    </row>
    <row r="132" spans="1:19" ht="15" x14ac:dyDescent="0.25">
      <c r="A132" t="s">
        <v>581</v>
      </c>
      <c r="C132" t="s">
        <v>22</v>
      </c>
      <c r="D132" t="s">
        <v>62</v>
      </c>
      <c r="E132" t="s">
        <v>34</v>
      </c>
      <c r="F132" t="s">
        <v>26</v>
      </c>
      <c r="G132">
        <v>0</v>
      </c>
      <c r="H132">
        <v>0</v>
      </c>
      <c r="I132">
        <v>0</v>
      </c>
      <c r="J132">
        <v>0</v>
      </c>
      <c r="K132">
        <v>0</v>
      </c>
      <c r="L132">
        <v>0</v>
      </c>
      <c r="M132">
        <v>0</v>
      </c>
      <c r="N132">
        <v>0.88267341961622703</v>
      </c>
      <c r="O132">
        <v>0</v>
      </c>
      <c r="P132">
        <v>0</v>
      </c>
      <c r="Q132">
        <v>0</v>
      </c>
      <c r="R132">
        <v>0</v>
      </c>
      <c r="S132">
        <v>0</v>
      </c>
    </row>
    <row r="133" spans="1:19" ht="15" x14ac:dyDescent="0.25">
      <c r="A133" t="s">
        <v>621</v>
      </c>
      <c r="C133" t="s">
        <v>22</v>
      </c>
      <c r="D133" t="s">
        <v>62</v>
      </c>
      <c r="E133" t="s">
        <v>34</v>
      </c>
      <c r="F133" t="s">
        <v>26</v>
      </c>
      <c r="G133">
        <v>0</v>
      </c>
      <c r="H133">
        <v>0</v>
      </c>
      <c r="I133">
        <v>0</v>
      </c>
      <c r="J133">
        <v>0</v>
      </c>
      <c r="K133">
        <v>0</v>
      </c>
      <c r="L133">
        <v>0</v>
      </c>
      <c r="M133">
        <v>0</v>
      </c>
      <c r="N133">
        <v>0.97161076718912276</v>
      </c>
      <c r="O133">
        <v>0</v>
      </c>
      <c r="P133">
        <v>0</v>
      </c>
      <c r="Q133">
        <v>0</v>
      </c>
      <c r="R133">
        <v>0</v>
      </c>
      <c r="S133">
        <v>0</v>
      </c>
    </row>
    <row r="134" spans="1:19" ht="15" x14ac:dyDescent="0.25">
      <c r="A134" t="s">
        <v>600</v>
      </c>
      <c r="C134" t="s">
        <v>22</v>
      </c>
      <c r="D134" t="s">
        <v>62</v>
      </c>
      <c r="E134" t="s">
        <v>34</v>
      </c>
      <c r="F134" t="s">
        <v>26</v>
      </c>
      <c r="G134">
        <v>0</v>
      </c>
      <c r="H134">
        <v>0</v>
      </c>
      <c r="I134">
        <v>0</v>
      </c>
      <c r="J134">
        <v>0</v>
      </c>
      <c r="K134">
        <v>0</v>
      </c>
      <c r="L134">
        <v>0</v>
      </c>
      <c r="M134">
        <v>0</v>
      </c>
      <c r="N134">
        <v>0.90846401606870619</v>
      </c>
      <c r="O134">
        <v>0</v>
      </c>
      <c r="P134">
        <v>0</v>
      </c>
      <c r="Q134">
        <v>0</v>
      </c>
      <c r="R134">
        <v>0</v>
      </c>
      <c r="S134">
        <v>0</v>
      </c>
    </row>
    <row r="135" spans="1:19" ht="15" x14ac:dyDescent="0.25">
      <c r="A135" t="s">
        <v>583</v>
      </c>
      <c r="C135" t="s">
        <v>22</v>
      </c>
      <c r="D135" t="s">
        <v>62</v>
      </c>
      <c r="E135" t="s">
        <v>34</v>
      </c>
      <c r="F135" t="s">
        <v>26</v>
      </c>
      <c r="G135">
        <v>0</v>
      </c>
      <c r="H135">
        <v>0</v>
      </c>
      <c r="I135">
        <v>0</v>
      </c>
      <c r="J135">
        <v>0</v>
      </c>
      <c r="K135">
        <v>0</v>
      </c>
      <c r="L135">
        <v>0</v>
      </c>
      <c r="M135">
        <v>0</v>
      </c>
      <c r="N135">
        <v>0.94411811390641365</v>
      </c>
      <c r="O135">
        <v>0</v>
      </c>
      <c r="P135">
        <v>0</v>
      </c>
      <c r="Q135">
        <v>0</v>
      </c>
      <c r="R135">
        <v>0</v>
      </c>
      <c r="S135">
        <v>0</v>
      </c>
    </row>
    <row r="136" spans="1:19" ht="15" x14ac:dyDescent="0.25">
      <c r="A136" t="s">
        <v>603</v>
      </c>
      <c r="C136" t="s">
        <v>22</v>
      </c>
      <c r="D136" t="s">
        <v>62</v>
      </c>
      <c r="E136" t="s">
        <v>34</v>
      </c>
      <c r="F136" t="s">
        <v>26</v>
      </c>
      <c r="G136">
        <v>0</v>
      </c>
      <c r="H136">
        <v>0</v>
      </c>
      <c r="I136">
        <v>0</v>
      </c>
      <c r="J136">
        <v>0</v>
      </c>
      <c r="K136">
        <v>0</v>
      </c>
      <c r="L136">
        <v>0</v>
      </c>
      <c r="M136">
        <v>0</v>
      </c>
      <c r="N136">
        <v>0.90846401606870619</v>
      </c>
      <c r="O136">
        <v>0</v>
      </c>
      <c r="P136">
        <v>0</v>
      </c>
      <c r="Q136">
        <v>0</v>
      </c>
      <c r="R136">
        <v>0</v>
      </c>
      <c r="S136">
        <v>0</v>
      </c>
    </row>
    <row r="137" spans="1:19" ht="15" x14ac:dyDescent="0.25">
      <c r="A137" t="s">
        <v>586</v>
      </c>
      <c r="C137" t="s">
        <v>22</v>
      </c>
      <c r="D137" t="s">
        <v>62</v>
      </c>
      <c r="E137" t="s">
        <v>34</v>
      </c>
      <c r="F137" t="s">
        <v>26</v>
      </c>
      <c r="G137">
        <v>0</v>
      </c>
      <c r="H137">
        <v>0</v>
      </c>
      <c r="I137">
        <v>0</v>
      </c>
      <c r="J137">
        <v>0</v>
      </c>
      <c r="K137">
        <v>0</v>
      </c>
      <c r="L137">
        <v>0</v>
      </c>
      <c r="M137">
        <v>0</v>
      </c>
      <c r="N137">
        <v>0.90846401606870619</v>
      </c>
      <c r="O137">
        <v>0</v>
      </c>
      <c r="P137">
        <v>0</v>
      </c>
      <c r="Q137">
        <v>0</v>
      </c>
      <c r="R137">
        <v>0</v>
      </c>
      <c r="S137">
        <v>0</v>
      </c>
    </row>
    <row r="138" spans="1:19" ht="15" x14ac:dyDescent="0.25">
      <c r="A138" t="s">
        <v>587</v>
      </c>
      <c r="C138" t="s">
        <v>22</v>
      </c>
      <c r="D138" t="s">
        <v>62</v>
      </c>
      <c r="E138" t="s">
        <v>34</v>
      </c>
      <c r="F138" t="s">
        <v>26</v>
      </c>
      <c r="G138">
        <v>0</v>
      </c>
      <c r="H138">
        <v>0</v>
      </c>
      <c r="I138">
        <v>0</v>
      </c>
      <c r="J138">
        <v>0</v>
      </c>
      <c r="K138">
        <v>0</v>
      </c>
      <c r="L138">
        <v>0</v>
      </c>
      <c r="M138">
        <v>0</v>
      </c>
      <c r="N138">
        <v>0.86588774805920499</v>
      </c>
      <c r="O138">
        <v>0</v>
      </c>
      <c r="P138">
        <v>0</v>
      </c>
      <c r="Q138">
        <v>0</v>
      </c>
      <c r="R138">
        <v>0</v>
      </c>
      <c r="S138">
        <v>0</v>
      </c>
    </row>
    <row r="139" spans="1:19" ht="15" x14ac:dyDescent="0.25">
      <c r="A139" t="s">
        <v>588</v>
      </c>
      <c r="C139" t="s">
        <v>22</v>
      </c>
      <c r="D139" t="s">
        <v>62</v>
      </c>
      <c r="E139" t="s">
        <v>34</v>
      </c>
      <c r="F139" t="s">
        <v>26</v>
      </c>
      <c r="G139">
        <v>0</v>
      </c>
      <c r="H139">
        <v>0</v>
      </c>
      <c r="I139">
        <v>0</v>
      </c>
      <c r="J139">
        <v>0</v>
      </c>
      <c r="K139">
        <v>0</v>
      </c>
      <c r="L139">
        <v>0</v>
      </c>
      <c r="M139">
        <v>0</v>
      </c>
      <c r="N139">
        <v>0.90846401606870619</v>
      </c>
      <c r="O139">
        <v>0</v>
      </c>
      <c r="P139">
        <v>0</v>
      </c>
      <c r="Q139">
        <v>0</v>
      </c>
      <c r="R139">
        <v>0</v>
      </c>
      <c r="S139">
        <v>0</v>
      </c>
    </row>
    <row r="140" spans="1:19" ht="15" x14ac:dyDescent="0.25">
      <c r="A140" t="s">
        <v>590</v>
      </c>
      <c r="C140" t="s">
        <v>22</v>
      </c>
      <c r="D140" t="s">
        <v>62</v>
      </c>
      <c r="E140" t="s">
        <v>34</v>
      </c>
      <c r="F140" t="s">
        <v>26</v>
      </c>
      <c r="G140">
        <v>0</v>
      </c>
      <c r="H140">
        <v>0</v>
      </c>
      <c r="I140">
        <v>0</v>
      </c>
      <c r="J140">
        <v>0</v>
      </c>
      <c r="K140">
        <v>0</v>
      </c>
      <c r="L140">
        <v>0</v>
      </c>
      <c r="M140">
        <v>0</v>
      </c>
      <c r="N140">
        <v>0.90846401606870619</v>
      </c>
      <c r="O140">
        <v>0</v>
      </c>
      <c r="P140">
        <v>0</v>
      </c>
      <c r="Q140">
        <v>0</v>
      </c>
      <c r="R140">
        <v>0</v>
      </c>
      <c r="S140">
        <v>0</v>
      </c>
    </row>
    <row r="141" spans="1:19" ht="15" x14ac:dyDescent="0.25">
      <c r="A141" t="s">
        <v>592</v>
      </c>
      <c r="C141" t="s">
        <v>22</v>
      </c>
      <c r="D141" t="s">
        <v>62</v>
      </c>
      <c r="E141" t="s">
        <v>34</v>
      </c>
      <c r="F141" t="s">
        <v>26</v>
      </c>
      <c r="G141">
        <v>0</v>
      </c>
      <c r="H141">
        <v>0</v>
      </c>
      <c r="I141">
        <v>0</v>
      </c>
      <c r="J141">
        <v>0</v>
      </c>
      <c r="K141">
        <v>0</v>
      </c>
      <c r="L141">
        <v>0</v>
      </c>
      <c r="M141">
        <v>0</v>
      </c>
      <c r="N141">
        <v>0.90846401606870619</v>
      </c>
      <c r="O141">
        <v>0</v>
      </c>
      <c r="P141">
        <v>0</v>
      </c>
      <c r="Q141">
        <v>0</v>
      </c>
      <c r="R141">
        <v>0</v>
      </c>
      <c r="S141">
        <v>0</v>
      </c>
    </row>
    <row r="142" spans="1:19" ht="15" x14ac:dyDescent="0.25">
      <c r="A142" t="s">
        <v>591</v>
      </c>
      <c r="C142" t="s">
        <v>22</v>
      </c>
      <c r="D142" t="s">
        <v>62</v>
      </c>
      <c r="E142" t="s">
        <v>34</v>
      </c>
      <c r="F142" t="s">
        <v>26</v>
      </c>
      <c r="G142">
        <v>0</v>
      </c>
      <c r="H142">
        <v>0</v>
      </c>
      <c r="I142">
        <v>0</v>
      </c>
      <c r="J142">
        <v>0</v>
      </c>
      <c r="K142">
        <v>0</v>
      </c>
      <c r="L142">
        <v>0</v>
      </c>
      <c r="M142">
        <v>0</v>
      </c>
      <c r="N142">
        <v>0.94402748291783567</v>
      </c>
      <c r="O142">
        <v>0</v>
      </c>
      <c r="P142">
        <v>0</v>
      </c>
      <c r="Q142">
        <v>0</v>
      </c>
      <c r="R142">
        <v>0</v>
      </c>
      <c r="S142">
        <v>0</v>
      </c>
    </row>
    <row r="143" spans="1:19" ht="15" x14ac:dyDescent="0.25">
      <c r="A143" t="s">
        <v>617</v>
      </c>
      <c r="C143" t="s">
        <v>22</v>
      </c>
      <c r="D143" t="s">
        <v>62</v>
      </c>
      <c r="E143" t="s">
        <v>34</v>
      </c>
      <c r="F143" t="s">
        <v>26</v>
      </c>
      <c r="G143">
        <v>0</v>
      </c>
      <c r="H143">
        <v>0</v>
      </c>
      <c r="I143">
        <v>0</v>
      </c>
      <c r="J143">
        <v>0</v>
      </c>
      <c r="K143">
        <v>0</v>
      </c>
      <c r="L143">
        <v>0</v>
      </c>
      <c r="M143">
        <v>0</v>
      </c>
      <c r="N143">
        <v>0.90846401606870619</v>
      </c>
      <c r="O143">
        <v>0</v>
      </c>
      <c r="P143">
        <v>0</v>
      </c>
      <c r="Q143">
        <v>0</v>
      </c>
      <c r="R143">
        <v>0</v>
      </c>
      <c r="S143">
        <v>0</v>
      </c>
    </row>
    <row r="144" spans="1:19" ht="15" x14ac:dyDescent="0.25">
      <c r="A144" t="s">
        <v>618</v>
      </c>
      <c r="C144" t="s">
        <v>22</v>
      </c>
      <c r="D144" t="s">
        <v>62</v>
      </c>
      <c r="E144" t="s">
        <v>34</v>
      </c>
      <c r="F144" t="s">
        <v>26</v>
      </c>
      <c r="G144">
        <v>0</v>
      </c>
      <c r="H144">
        <v>0</v>
      </c>
      <c r="I144">
        <v>0</v>
      </c>
      <c r="J144">
        <v>0</v>
      </c>
      <c r="K144">
        <v>0</v>
      </c>
      <c r="L144">
        <v>0</v>
      </c>
      <c r="M144">
        <v>0</v>
      </c>
      <c r="N144">
        <v>0.90846401606870619</v>
      </c>
      <c r="O144">
        <v>0</v>
      </c>
      <c r="P144">
        <v>0</v>
      </c>
      <c r="Q144">
        <v>0</v>
      </c>
      <c r="R144">
        <v>0</v>
      </c>
      <c r="S144">
        <v>0</v>
      </c>
    </row>
    <row r="145" spans="1:19" ht="15" x14ac:dyDescent="0.25">
      <c r="A145" t="s">
        <v>593</v>
      </c>
      <c r="C145" t="s">
        <v>22</v>
      </c>
      <c r="D145" t="s">
        <v>116</v>
      </c>
      <c r="E145" t="s">
        <v>34</v>
      </c>
      <c r="F145" t="s">
        <v>26</v>
      </c>
      <c r="G145">
        <v>0</v>
      </c>
      <c r="H145">
        <v>0</v>
      </c>
      <c r="I145">
        <v>0</v>
      </c>
      <c r="J145">
        <v>0</v>
      </c>
      <c r="K145">
        <v>0</v>
      </c>
      <c r="L145">
        <v>0</v>
      </c>
      <c r="M145">
        <v>0</v>
      </c>
      <c r="N145">
        <v>0.99521150159009719</v>
      </c>
      <c r="O145">
        <v>0</v>
      </c>
      <c r="P145">
        <v>0</v>
      </c>
      <c r="Q145">
        <v>0</v>
      </c>
      <c r="R145">
        <v>0</v>
      </c>
      <c r="S145">
        <v>0</v>
      </c>
    </row>
    <row r="146" spans="1:19" ht="15" x14ac:dyDescent="0.25">
      <c r="A146" t="s">
        <v>623</v>
      </c>
      <c r="C146" t="s">
        <v>22</v>
      </c>
      <c r="D146" t="s">
        <v>116</v>
      </c>
      <c r="E146" t="s">
        <v>34</v>
      </c>
      <c r="F146" t="s">
        <v>26</v>
      </c>
      <c r="G146">
        <v>0</v>
      </c>
      <c r="H146">
        <v>0</v>
      </c>
      <c r="I146">
        <v>0</v>
      </c>
      <c r="J146">
        <v>0</v>
      </c>
      <c r="K146">
        <v>0</v>
      </c>
      <c r="L146">
        <v>0</v>
      </c>
      <c r="M146">
        <v>0</v>
      </c>
      <c r="N146">
        <v>0.82530686849168233</v>
      </c>
      <c r="O146">
        <v>0</v>
      </c>
      <c r="P146">
        <v>0</v>
      </c>
      <c r="Q146">
        <v>0</v>
      </c>
      <c r="R146">
        <v>0</v>
      </c>
      <c r="S146">
        <v>0</v>
      </c>
    </row>
    <row r="147" spans="1:19" ht="15" x14ac:dyDescent="0.25">
      <c r="A147" t="s">
        <v>596</v>
      </c>
      <c r="C147" t="s">
        <v>22</v>
      </c>
      <c r="D147" t="s">
        <v>116</v>
      </c>
      <c r="E147" t="s">
        <v>34</v>
      </c>
      <c r="F147" t="s">
        <v>26</v>
      </c>
      <c r="G147">
        <v>0.27</v>
      </c>
      <c r="H147">
        <v>0</v>
      </c>
      <c r="I147">
        <v>0</v>
      </c>
      <c r="J147">
        <v>0</v>
      </c>
      <c r="K147">
        <v>0</v>
      </c>
      <c r="L147">
        <v>0</v>
      </c>
      <c r="M147">
        <v>0</v>
      </c>
      <c r="N147">
        <v>0.90846401606870619</v>
      </c>
      <c r="O147">
        <v>0</v>
      </c>
      <c r="P147">
        <v>0</v>
      </c>
      <c r="Q147">
        <v>1200.7710000000002</v>
      </c>
      <c r="R147">
        <v>1200.7710000000002</v>
      </c>
      <c r="S147">
        <v>1200.7710000000002</v>
      </c>
    </row>
    <row r="148" spans="1:19" ht="15" x14ac:dyDescent="0.25">
      <c r="A148" t="s">
        <v>624</v>
      </c>
      <c r="C148" t="s">
        <v>22</v>
      </c>
      <c r="D148" t="s">
        <v>116</v>
      </c>
      <c r="E148" t="s">
        <v>34</v>
      </c>
      <c r="F148" t="s">
        <v>26</v>
      </c>
      <c r="G148">
        <v>36.450000000000003</v>
      </c>
      <c r="H148">
        <v>0</v>
      </c>
      <c r="I148">
        <v>0</v>
      </c>
      <c r="J148">
        <v>0</v>
      </c>
      <c r="K148">
        <v>0</v>
      </c>
      <c r="L148">
        <v>0</v>
      </c>
      <c r="M148">
        <v>0</v>
      </c>
      <c r="N148">
        <v>0.86588774805920499</v>
      </c>
      <c r="O148">
        <v>0</v>
      </c>
      <c r="P148">
        <v>0</v>
      </c>
      <c r="Q148">
        <v>162104.08500000002</v>
      </c>
      <c r="R148">
        <v>162104.08500000002</v>
      </c>
      <c r="S148">
        <v>162104.08500000002</v>
      </c>
    </row>
    <row r="149" spans="1:19" ht="15" x14ac:dyDescent="0.25">
      <c r="A149" t="s">
        <v>625</v>
      </c>
      <c r="C149" t="s">
        <v>22</v>
      </c>
      <c r="D149" t="s">
        <v>116</v>
      </c>
      <c r="E149" t="s">
        <v>34</v>
      </c>
      <c r="F149" t="s">
        <v>26</v>
      </c>
      <c r="G149">
        <v>16.186499999999999</v>
      </c>
      <c r="H149">
        <v>0</v>
      </c>
      <c r="I149">
        <v>0</v>
      </c>
      <c r="J149">
        <v>0</v>
      </c>
      <c r="K149">
        <v>0</v>
      </c>
      <c r="L149">
        <v>0</v>
      </c>
      <c r="M149">
        <v>0</v>
      </c>
      <c r="N149">
        <v>0.84942128716759835</v>
      </c>
      <c r="O149">
        <v>0</v>
      </c>
      <c r="P149">
        <v>0</v>
      </c>
      <c r="Q149">
        <v>71986.221449999997</v>
      </c>
      <c r="R149">
        <v>71986.221449999997</v>
      </c>
      <c r="S149">
        <v>71986.221449999997</v>
      </c>
    </row>
    <row r="150" spans="1:19" ht="15" x14ac:dyDescent="0.25">
      <c r="A150" t="s">
        <v>621</v>
      </c>
      <c r="C150" t="s">
        <v>22</v>
      </c>
      <c r="D150" t="s">
        <v>116</v>
      </c>
      <c r="E150" t="s">
        <v>34</v>
      </c>
      <c r="F150" t="s">
        <v>26</v>
      </c>
      <c r="G150">
        <v>0</v>
      </c>
      <c r="H150">
        <v>0</v>
      </c>
      <c r="I150">
        <v>0</v>
      </c>
      <c r="J150">
        <v>0</v>
      </c>
      <c r="K150">
        <v>0</v>
      </c>
      <c r="L150">
        <v>0</v>
      </c>
      <c r="M150">
        <v>0</v>
      </c>
      <c r="N150">
        <v>0.97161076718912276</v>
      </c>
      <c r="O150">
        <v>0</v>
      </c>
      <c r="P150">
        <v>0</v>
      </c>
      <c r="Q150">
        <v>0</v>
      </c>
      <c r="R150">
        <v>0</v>
      </c>
      <c r="S150">
        <v>0</v>
      </c>
    </row>
    <row r="151" spans="1:19" ht="15" x14ac:dyDescent="0.25">
      <c r="A151" t="s">
        <v>626</v>
      </c>
      <c r="C151" t="s">
        <v>22</v>
      </c>
      <c r="D151" t="s">
        <v>116</v>
      </c>
      <c r="E151" t="s">
        <v>34</v>
      </c>
      <c r="F151" t="s">
        <v>26</v>
      </c>
      <c r="G151">
        <v>0</v>
      </c>
      <c r="H151">
        <v>0</v>
      </c>
      <c r="I151">
        <v>0</v>
      </c>
      <c r="J151">
        <v>0</v>
      </c>
      <c r="K151">
        <v>0</v>
      </c>
      <c r="L151">
        <v>0</v>
      </c>
      <c r="M151">
        <v>0</v>
      </c>
      <c r="N151">
        <v>0.90846401606870619</v>
      </c>
      <c r="O151">
        <v>0</v>
      </c>
      <c r="P151">
        <v>0</v>
      </c>
      <c r="Q151">
        <v>0</v>
      </c>
      <c r="R151">
        <v>0</v>
      </c>
      <c r="S151">
        <v>0</v>
      </c>
    </row>
    <row r="152" spans="1:19" ht="15" x14ac:dyDescent="0.25">
      <c r="A152" t="s">
        <v>600</v>
      </c>
      <c r="C152" t="s">
        <v>22</v>
      </c>
      <c r="D152" t="s">
        <v>116</v>
      </c>
      <c r="E152" t="s">
        <v>34</v>
      </c>
      <c r="F152" t="s">
        <v>26</v>
      </c>
      <c r="G152">
        <v>0.27</v>
      </c>
      <c r="H152">
        <v>0</v>
      </c>
      <c r="I152">
        <v>0</v>
      </c>
      <c r="J152">
        <v>0</v>
      </c>
      <c r="K152">
        <v>0</v>
      </c>
      <c r="L152">
        <v>0</v>
      </c>
      <c r="M152">
        <v>0</v>
      </c>
      <c r="N152">
        <v>0.90846401606870619</v>
      </c>
      <c r="O152">
        <v>0</v>
      </c>
      <c r="P152">
        <v>0</v>
      </c>
      <c r="Q152">
        <v>1200.7710000000002</v>
      </c>
      <c r="R152">
        <v>1200.7710000000002</v>
      </c>
      <c r="S152">
        <v>1200.7710000000002</v>
      </c>
    </row>
    <row r="153" spans="1:19" ht="15" x14ac:dyDescent="0.25">
      <c r="A153" t="s">
        <v>627</v>
      </c>
      <c r="C153" t="s">
        <v>22</v>
      </c>
      <c r="D153" t="s">
        <v>116</v>
      </c>
      <c r="E153" t="s">
        <v>34</v>
      </c>
      <c r="F153" t="s">
        <v>26</v>
      </c>
      <c r="G153">
        <v>67.108500000000006</v>
      </c>
      <c r="H153">
        <v>0</v>
      </c>
      <c r="I153">
        <v>0</v>
      </c>
      <c r="J153">
        <v>0</v>
      </c>
      <c r="K153">
        <v>0</v>
      </c>
      <c r="L153">
        <v>0</v>
      </c>
      <c r="M153">
        <v>0</v>
      </c>
      <c r="N153">
        <v>0.90846401606870619</v>
      </c>
      <c r="O153">
        <v>0</v>
      </c>
      <c r="P153">
        <v>0</v>
      </c>
      <c r="Q153">
        <v>298451.63205000001</v>
      </c>
      <c r="R153">
        <v>298451.63205000001</v>
      </c>
      <c r="S153">
        <v>298451.63205000001</v>
      </c>
    </row>
    <row r="154" spans="1:19" ht="15" x14ac:dyDescent="0.25">
      <c r="A154" t="s">
        <v>628</v>
      </c>
      <c r="C154" t="s">
        <v>22</v>
      </c>
      <c r="D154" t="s">
        <v>116</v>
      </c>
      <c r="E154" t="s">
        <v>34</v>
      </c>
      <c r="F154" t="s">
        <v>26</v>
      </c>
      <c r="G154">
        <v>0</v>
      </c>
      <c r="H154">
        <v>0</v>
      </c>
      <c r="I154">
        <v>0</v>
      </c>
      <c r="J154">
        <v>0</v>
      </c>
      <c r="K154">
        <v>0</v>
      </c>
      <c r="L154">
        <v>0</v>
      </c>
      <c r="M154">
        <v>0</v>
      </c>
      <c r="N154">
        <v>0.90846401606870619</v>
      </c>
      <c r="O154">
        <v>0</v>
      </c>
      <c r="P154">
        <v>0</v>
      </c>
      <c r="Q154">
        <v>0</v>
      </c>
      <c r="R154">
        <v>0</v>
      </c>
      <c r="S154">
        <v>0</v>
      </c>
    </row>
    <row r="155" spans="1:19" ht="15" x14ac:dyDescent="0.25">
      <c r="A155" t="s">
        <v>629</v>
      </c>
      <c r="C155" t="s">
        <v>22</v>
      </c>
      <c r="D155" t="s">
        <v>116</v>
      </c>
      <c r="E155" t="s">
        <v>34</v>
      </c>
      <c r="F155" t="s">
        <v>26</v>
      </c>
      <c r="G155">
        <v>0.27</v>
      </c>
      <c r="H155">
        <v>0</v>
      </c>
      <c r="I155">
        <v>0</v>
      </c>
      <c r="J155">
        <v>0</v>
      </c>
      <c r="K155">
        <v>0</v>
      </c>
      <c r="L155">
        <v>0</v>
      </c>
      <c r="M155">
        <v>0</v>
      </c>
      <c r="N155">
        <v>0.90846401606870619</v>
      </c>
      <c r="O155">
        <v>0</v>
      </c>
      <c r="P155">
        <v>0</v>
      </c>
      <c r="Q155">
        <v>1200.7710000000002</v>
      </c>
      <c r="R155">
        <v>1200.7710000000002</v>
      </c>
      <c r="S155">
        <v>1200.7710000000002</v>
      </c>
    </row>
    <row r="156" spans="1:19" ht="15" x14ac:dyDescent="0.25">
      <c r="A156" t="s">
        <v>603</v>
      </c>
      <c r="C156" t="s">
        <v>22</v>
      </c>
      <c r="D156" t="s">
        <v>116</v>
      </c>
      <c r="E156" t="s">
        <v>34</v>
      </c>
      <c r="F156" t="s">
        <v>26</v>
      </c>
      <c r="G156">
        <v>0</v>
      </c>
      <c r="H156">
        <v>0</v>
      </c>
      <c r="I156">
        <v>0</v>
      </c>
      <c r="J156">
        <v>0</v>
      </c>
      <c r="K156">
        <v>0</v>
      </c>
      <c r="L156">
        <v>0</v>
      </c>
      <c r="M156">
        <v>0</v>
      </c>
      <c r="N156">
        <v>0.90846401606870619</v>
      </c>
      <c r="O156">
        <v>0</v>
      </c>
      <c r="P156">
        <v>0</v>
      </c>
      <c r="Q156">
        <v>0</v>
      </c>
      <c r="R156">
        <v>0</v>
      </c>
      <c r="S156">
        <v>0</v>
      </c>
    </row>
    <row r="157" spans="1:19" ht="15" x14ac:dyDescent="0.25">
      <c r="A157" t="s">
        <v>586</v>
      </c>
      <c r="C157" t="s">
        <v>22</v>
      </c>
      <c r="D157" t="s">
        <v>116</v>
      </c>
      <c r="E157" t="s">
        <v>34</v>
      </c>
      <c r="F157" t="s">
        <v>26</v>
      </c>
      <c r="G157">
        <v>0.27</v>
      </c>
      <c r="H157">
        <v>0</v>
      </c>
      <c r="I157">
        <v>0</v>
      </c>
      <c r="J157">
        <v>0</v>
      </c>
      <c r="K157">
        <v>0</v>
      </c>
      <c r="L157">
        <v>0</v>
      </c>
      <c r="M157">
        <v>0</v>
      </c>
      <c r="N157">
        <v>0.90846401606870619</v>
      </c>
      <c r="O157">
        <v>0</v>
      </c>
      <c r="P157">
        <v>0</v>
      </c>
      <c r="Q157">
        <v>1200.7710000000002</v>
      </c>
      <c r="R157">
        <v>1200.7710000000002</v>
      </c>
      <c r="S157">
        <v>1200.7710000000002</v>
      </c>
    </row>
    <row r="158" spans="1:19" ht="15" x14ac:dyDescent="0.25">
      <c r="A158" t="s">
        <v>587</v>
      </c>
      <c r="C158" t="s">
        <v>22</v>
      </c>
      <c r="D158" t="s">
        <v>116</v>
      </c>
      <c r="E158" t="s">
        <v>34</v>
      </c>
      <c r="F158" t="s">
        <v>26</v>
      </c>
      <c r="G158">
        <v>0</v>
      </c>
      <c r="H158">
        <v>0</v>
      </c>
      <c r="I158">
        <v>0</v>
      </c>
      <c r="J158">
        <v>0</v>
      </c>
      <c r="K158">
        <v>0</v>
      </c>
      <c r="L158">
        <v>0</v>
      </c>
      <c r="M158">
        <v>0</v>
      </c>
      <c r="N158">
        <v>0.86588774805920499</v>
      </c>
      <c r="O158">
        <v>0</v>
      </c>
      <c r="P158">
        <v>0</v>
      </c>
      <c r="Q158">
        <v>0</v>
      </c>
      <c r="R158">
        <v>0</v>
      </c>
      <c r="S158">
        <v>0</v>
      </c>
    </row>
    <row r="159" spans="1:19" ht="15" x14ac:dyDescent="0.25">
      <c r="A159" t="s">
        <v>590</v>
      </c>
      <c r="C159" t="s">
        <v>22</v>
      </c>
      <c r="D159" t="s">
        <v>116</v>
      </c>
      <c r="E159" t="s">
        <v>34</v>
      </c>
      <c r="F159" t="s">
        <v>26</v>
      </c>
      <c r="G159">
        <v>0.27</v>
      </c>
      <c r="H159">
        <v>0</v>
      </c>
      <c r="I159">
        <v>0</v>
      </c>
      <c r="J159">
        <v>0</v>
      </c>
      <c r="K159">
        <v>0</v>
      </c>
      <c r="L159">
        <v>0</v>
      </c>
      <c r="M159">
        <v>0</v>
      </c>
      <c r="N159">
        <v>0.90846401606870619</v>
      </c>
      <c r="O159">
        <v>0</v>
      </c>
      <c r="P159">
        <v>0</v>
      </c>
      <c r="Q159">
        <v>1200.7710000000002</v>
      </c>
      <c r="R159">
        <v>1200.7710000000002</v>
      </c>
      <c r="S159">
        <v>1200.7710000000002</v>
      </c>
    </row>
    <row r="160" spans="1:19" ht="15" x14ac:dyDescent="0.25">
      <c r="A160" t="s">
        <v>591</v>
      </c>
      <c r="C160" t="s">
        <v>22</v>
      </c>
      <c r="D160" t="s">
        <v>116</v>
      </c>
      <c r="E160" t="s">
        <v>34</v>
      </c>
      <c r="F160" t="s">
        <v>26</v>
      </c>
      <c r="G160">
        <v>1.3634999999999999</v>
      </c>
      <c r="H160">
        <v>0</v>
      </c>
      <c r="I160">
        <v>0</v>
      </c>
      <c r="J160">
        <v>0</v>
      </c>
      <c r="K160">
        <v>0</v>
      </c>
      <c r="L160">
        <v>0</v>
      </c>
      <c r="M160">
        <v>0</v>
      </c>
      <c r="N160">
        <v>0.94402748291783567</v>
      </c>
      <c r="O160">
        <v>0</v>
      </c>
      <c r="P160">
        <v>0</v>
      </c>
      <c r="Q160">
        <v>6063.8935499999998</v>
      </c>
      <c r="R160">
        <v>6063.8935499999998</v>
      </c>
      <c r="S160">
        <v>6063.8935499999998</v>
      </c>
    </row>
    <row r="161" spans="1:19" ht="15" x14ac:dyDescent="0.25">
      <c r="A161" t="s">
        <v>630</v>
      </c>
      <c r="C161" t="s">
        <v>22</v>
      </c>
      <c r="D161" t="s">
        <v>116</v>
      </c>
      <c r="E161" t="s">
        <v>34</v>
      </c>
      <c r="F161" t="s">
        <v>26</v>
      </c>
      <c r="G161">
        <v>1.3634999999999999</v>
      </c>
      <c r="H161">
        <v>0</v>
      </c>
      <c r="I161">
        <v>0</v>
      </c>
      <c r="J161">
        <v>0</v>
      </c>
      <c r="K161">
        <v>0</v>
      </c>
      <c r="L161">
        <v>0</v>
      </c>
      <c r="M161">
        <v>0</v>
      </c>
      <c r="N161">
        <v>0.90846401606870619</v>
      </c>
      <c r="O161">
        <v>0</v>
      </c>
      <c r="P161">
        <v>0</v>
      </c>
      <c r="Q161">
        <v>6063.8935499999998</v>
      </c>
      <c r="R161">
        <v>6063.8935499999998</v>
      </c>
      <c r="S161">
        <v>6063.8935499999998</v>
      </c>
    </row>
    <row r="162" spans="1:19" ht="15" x14ac:dyDescent="0.25">
      <c r="A162" t="s">
        <v>631</v>
      </c>
      <c r="C162" t="s">
        <v>22</v>
      </c>
      <c r="D162" t="s">
        <v>116</v>
      </c>
      <c r="E162" t="s">
        <v>34</v>
      </c>
      <c r="F162" t="s">
        <v>26</v>
      </c>
      <c r="G162">
        <v>1.3634999999999999</v>
      </c>
      <c r="H162">
        <v>0</v>
      </c>
      <c r="I162">
        <v>0</v>
      </c>
      <c r="J162">
        <v>0</v>
      </c>
      <c r="K162">
        <v>0</v>
      </c>
      <c r="L162">
        <v>0</v>
      </c>
      <c r="M162">
        <v>0</v>
      </c>
      <c r="N162">
        <v>0.94411811390641365</v>
      </c>
      <c r="O162">
        <v>0</v>
      </c>
      <c r="P162">
        <v>0</v>
      </c>
      <c r="Q162">
        <v>6063.8935499999998</v>
      </c>
      <c r="R162">
        <v>6063.8935499999998</v>
      </c>
      <c r="S162">
        <v>6063.8935499999998</v>
      </c>
    </row>
    <row r="163" spans="1:19" ht="15" x14ac:dyDescent="0.25">
      <c r="A163" t="s">
        <v>1197</v>
      </c>
      <c r="C163" t="s">
        <v>22</v>
      </c>
      <c r="D163" t="s">
        <v>116</v>
      </c>
      <c r="E163" t="s">
        <v>34</v>
      </c>
      <c r="F163" t="s">
        <v>26</v>
      </c>
      <c r="G163">
        <v>120.54900000000001</v>
      </c>
      <c r="H163">
        <v>0</v>
      </c>
      <c r="I163">
        <v>0</v>
      </c>
      <c r="J163">
        <v>0</v>
      </c>
      <c r="K163">
        <v>0</v>
      </c>
      <c r="L163">
        <v>0</v>
      </c>
      <c r="M163">
        <v>0</v>
      </c>
      <c r="N163">
        <v>0</v>
      </c>
      <c r="O163">
        <v>0</v>
      </c>
      <c r="P163">
        <v>0</v>
      </c>
      <c r="Q163">
        <v>536117.56770000001</v>
      </c>
      <c r="R163">
        <v>536117.56770000001</v>
      </c>
      <c r="S163">
        <v>536117.56770000001</v>
      </c>
    </row>
    <row r="164" spans="1:19" ht="15" x14ac:dyDescent="0.25">
      <c r="A164" t="s">
        <v>593</v>
      </c>
      <c r="C164" t="s">
        <v>22</v>
      </c>
      <c r="D164" t="s">
        <v>33</v>
      </c>
      <c r="E164" t="s">
        <v>34</v>
      </c>
      <c r="F164" t="s">
        <v>26</v>
      </c>
      <c r="G164">
        <v>0</v>
      </c>
      <c r="H164">
        <v>0</v>
      </c>
      <c r="I164">
        <v>0</v>
      </c>
      <c r="J164">
        <v>0</v>
      </c>
      <c r="K164">
        <v>0</v>
      </c>
      <c r="L164">
        <v>0</v>
      </c>
      <c r="M164">
        <v>0</v>
      </c>
      <c r="N164">
        <v>0.99521150159009719</v>
      </c>
      <c r="O164">
        <v>0</v>
      </c>
      <c r="P164">
        <v>0</v>
      </c>
      <c r="Q164">
        <v>0</v>
      </c>
      <c r="R164">
        <v>0</v>
      </c>
      <c r="S164">
        <v>0</v>
      </c>
    </row>
    <row r="165" spans="1:19" ht="15" x14ac:dyDescent="0.25">
      <c r="A165" t="s">
        <v>81</v>
      </c>
      <c r="C165" t="s">
        <v>22</v>
      </c>
      <c r="D165" t="s">
        <v>33</v>
      </c>
      <c r="E165" t="s">
        <v>34</v>
      </c>
      <c r="F165" t="s">
        <v>26</v>
      </c>
      <c r="G165">
        <v>0</v>
      </c>
      <c r="H165">
        <v>0</v>
      </c>
      <c r="I165">
        <v>0</v>
      </c>
      <c r="J165">
        <v>0</v>
      </c>
      <c r="K165">
        <v>0</v>
      </c>
      <c r="L165">
        <v>0</v>
      </c>
      <c r="M165">
        <v>0</v>
      </c>
      <c r="N165">
        <v>0.92607505009624835</v>
      </c>
      <c r="O165">
        <v>0</v>
      </c>
      <c r="P165">
        <v>0</v>
      </c>
      <c r="Q165">
        <v>0</v>
      </c>
      <c r="R165">
        <v>0</v>
      </c>
      <c r="S165">
        <v>0</v>
      </c>
    </row>
    <row r="166" spans="1:19" ht="15" x14ac:dyDescent="0.25">
      <c r="A166" t="s">
        <v>668</v>
      </c>
      <c r="C166" t="s">
        <v>22</v>
      </c>
      <c r="D166" t="s">
        <v>33</v>
      </c>
      <c r="E166" t="s">
        <v>34</v>
      </c>
      <c r="F166" t="s">
        <v>26</v>
      </c>
      <c r="G166">
        <v>0</v>
      </c>
      <c r="H166">
        <v>0</v>
      </c>
      <c r="I166">
        <v>0</v>
      </c>
      <c r="J166">
        <v>0</v>
      </c>
      <c r="K166">
        <v>0</v>
      </c>
      <c r="L166">
        <v>0</v>
      </c>
      <c r="M166">
        <v>0</v>
      </c>
      <c r="N166">
        <v>0.99521150159009719</v>
      </c>
      <c r="O166">
        <v>0</v>
      </c>
      <c r="P166">
        <v>0</v>
      </c>
      <c r="Q166">
        <v>0</v>
      </c>
      <c r="R166">
        <v>0</v>
      </c>
      <c r="S166">
        <v>0</v>
      </c>
    </row>
    <row r="167" spans="1:19" ht="15" x14ac:dyDescent="0.25">
      <c r="A167" t="s">
        <v>620</v>
      </c>
      <c r="C167" t="s">
        <v>22</v>
      </c>
      <c r="D167" t="s">
        <v>33</v>
      </c>
      <c r="E167" t="s">
        <v>34</v>
      </c>
      <c r="F167" t="s">
        <v>26</v>
      </c>
      <c r="G167">
        <v>0</v>
      </c>
      <c r="H167">
        <v>0</v>
      </c>
      <c r="I167">
        <v>0</v>
      </c>
      <c r="J167">
        <v>0</v>
      </c>
      <c r="K167">
        <v>0</v>
      </c>
      <c r="L167">
        <v>0</v>
      </c>
      <c r="M167">
        <v>0</v>
      </c>
      <c r="N167">
        <v>0.84942128716759835</v>
      </c>
      <c r="O167">
        <v>0</v>
      </c>
      <c r="P167">
        <v>0</v>
      </c>
      <c r="Q167">
        <v>0</v>
      </c>
      <c r="R167">
        <v>0</v>
      </c>
      <c r="S167">
        <v>0</v>
      </c>
    </row>
    <row r="168" spans="1:19" ht="15" x14ac:dyDescent="0.25">
      <c r="A168" t="s">
        <v>626</v>
      </c>
      <c r="C168" t="s">
        <v>22</v>
      </c>
      <c r="D168" t="s">
        <v>33</v>
      </c>
      <c r="E168" t="s">
        <v>34</v>
      </c>
      <c r="F168" t="s">
        <v>26</v>
      </c>
      <c r="G168">
        <v>0</v>
      </c>
      <c r="H168">
        <v>0</v>
      </c>
      <c r="I168">
        <v>0</v>
      </c>
      <c r="J168">
        <v>0</v>
      </c>
      <c r="K168">
        <v>0</v>
      </c>
      <c r="L168">
        <v>0</v>
      </c>
      <c r="M168">
        <v>0</v>
      </c>
      <c r="N168">
        <v>0.90846401606870619</v>
      </c>
      <c r="O168">
        <v>0</v>
      </c>
      <c r="P168">
        <v>0</v>
      </c>
      <c r="Q168">
        <v>0</v>
      </c>
      <c r="R168">
        <v>0</v>
      </c>
      <c r="S168">
        <v>0</v>
      </c>
    </row>
    <row r="169" spans="1:19" ht="15" x14ac:dyDescent="0.25">
      <c r="A169" t="s">
        <v>600</v>
      </c>
      <c r="C169" t="s">
        <v>22</v>
      </c>
      <c r="D169" t="s">
        <v>33</v>
      </c>
      <c r="E169" t="s">
        <v>34</v>
      </c>
      <c r="F169" t="s">
        <v>26</v>
      </c>
      <c r="G169">
        <v>0</v>
      </c>
      <c r="H169">
        <v>0</v>
      </c>
      <c r="I169">
        <v>0</v>
      </c>
      <c r="J169">
        <v>0</v>
      </c>
      <c r="K169">
        <v>0</v>
      </c>
      <c r="L169">
        <v>0</v>
      </c>
      <c r="M169">
        <v>0</v>
      </c>
      <c r="N169">
        <v>0.90846401606870619</v>
      </c>
      <c r="O169">
        <v>0</v>
      </c>
      <c r="P169">
        <v>0</v>
      </c>
      <c r="Q169">
        <v>0</v>
      </c>
      <c r="R169">
        <v>0</v>
      </c>
      <c r="S169">
        <v>0</v>
      </c>
    </row>
    <row r="170" spans="1:19" ht="15" x14ac:dyDescent="0.25">
      <c r="A170" t="s">
        <v>627</v>
      </c>
      <c r="C170" t="s">
        <v>22</v>
      </c>
      <c r="D170" t="s">
        <v>33</v>
      </c>
      <c r="E170" t="s">
        <v>34</v>
      </c>
      <c r="F170" t="s">
        <v>26</v>
      </c>
      <c r="G170">
        <v>0</v>
      </c>
      <c r="H170">
        <v>0</v>
      </c>
      <c r="I170">
        <v>0</v>
      </c>
      <c r="J170">
        <v>0</v>
      </c>
      <c r="K170">
        <v>0</v>
      </c>
      <c r="L170">
        <v>0</v>
      </c>
      <c r="M170">
        <v>0</v>
      </c>
      <c r="N170">
        <v>0.90846401606870619</v>
      </c>
      <c r="O170">
        <v>0</v>
      </c>
      <c r="P170">
        <v>0</v>
      </c>
      <c r="Q170">
        <v>0</v>
      </c>
      <c r="R170">
        <v>0</v>
      </c>
      <c r="S170">
        <v>0</v>
      </c>
    </row>
    <row r="171" spans="1:19" ht="15" x14ac:dyDescent="0.25">
      <c r="A171" t="s">
        <v>629</v>
      </c>
      <c r="C171" t="s">
        <v>22</v>
      </c>
      <c r="D171" t="s">
        <v>33</v>
      </c>
      <c r="E171" t="s">
        <v>34</v>
      </c>
      <c r="F171" t="s">
        <v>26</v>
      </c>
      <c r="G171">
        <v>0</v>
      </c>
      <c r="H171">
        <v>0</v>
      </c>
      <c r="I171">
        <v>0</v>
      </c>
      <c r="J171">
        <v>0</v>
      </c>
      <c r="K171">
        <v>0</v>
      </c>
      <c r="L171">
        <v>0</v>
      </c>
      <c r="M171">
        <v>0</v>
      </c>
      <c r="N171">
        <v>0.90846401606870619</v>
      </c>
      <c r="O171">
        <v>0</v>
      </c>
      <c r="P171">
        <v>0</v>
      </c>
      <c r="Q171">
        <v>0</v>
      </c>
      <c r="R171">
        <v>0</v>
      </c>
      <c r="S171">
        <v>0</v>
      </c>
    </row>
    <row r="172" spans="1:19" ht="15" x14ac:dyDescent="0.25">
      <c r="A172" t="s">
        <v>669</v>
      </c>
      <c r="C172" t="s">
        <v>22</v>
      </c>
      <c r="D172" t="s">
        <v>33</v>
      </c>
      <c r="E172" t="s">
        <v>34</v>
      </c>
      <c r="F172" t="s">
        <v>26</v>
      </c>
      <c r="G172">
        <v>0</v>
      </c>
      <c r="H172">
        <v>0</v>
      </c>
      <c r="I172">
        <v>0</v>
      </c>
      <c r="J172">
        <v>0</v>
      </c>
      <c r="K172">
        <v>0</v>
      </c>
      <c r="L172">
        <v>0</v>
      </c>
      <c r="M172">
        <v>0</v>
      </c>
      <c r="N172">
        <v>0.99521150159009719</v>
      </c>
      <c r="O172">
        <v>0</v>
      </c>
      <c r="P172">
        <v>0</v>
      </c>
      <c r="Q172">
        <v>0</v>
      </c>
      <c r="R172">
        <v>0</v>
      </c>
      <c r="S172">
        <v>0</v>
      </c>
    </row>
    <row r="173" spans="1:19" ht="15" x14ac:dyDescent="0.25">
      <c r="A173" t="s">
        <v>603</v>
      </c>
      <c r="C173" t="s">
        <v>22</v>
      </c>
      <c r="D173" t="s">
        <v>33</v>
      </c>
      <c r="E173" t="s">
        <v>34</v>
      </c>
      <c r="F173" t="s">
        <v>26</v>
      </c>
      <c r="G173">
        <v>0</v>
      </c>
      <c r="H173">
        <v>0</v>
      </c>
      <c r="I173">
        <v>0</v>
      </c>
      <c r="J173">
        <v>0</v>
      </c>
      <c r="K173">
        <v>0</v>
      </c>
      <c r="L173">
        <v>0</v>
      </c>
      <c r="M173">
        <v>0</v>
      </c>
      <c r="N173">
        <v>0.90846401606870619</v>
      </c>
      <c r="O173">
        <v>0</v>
      </c>
      <c r="P173">
        <v>0</v>
      </c>
      <c r="Q173">
        <v>0</v>
      </c>
      <c r="R173">
        <v>0</v>
      </c>
      <c r="S173">
        <v>0</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0</v>
      </c>
      <c r="H175">
        <v>0</v>
      </c>
      <c r="I175">
        <v>0</v>
      </c>
      <c r="J175">
        <v>0</v>
      </c>
      <c r="K175">
        <v>0</v>
      </c>
      <c r="L175">
        <v>0</v>
      </c>
      <c r="M175">
        <v>0</v>
      </c>
      <c r="N175">
        <v>0.86588774805920499</v>
      </c>
      <c r="O175">
        <v>0</v>
      </c>
      <c r="P175">
        <v>0</v>
      </c>
      <c r="Q175">
        <v>0</v>
      </c>
      <c r="R175">
        <v>0</v>
      </c>
      <c r="S175">
        <v>0</v>
      </c>
    </row>
    <row r="176" spans="1:19" ht="15" x14ac:dyDescent="0.25">
      <c r="A176" t="s">
        <v>670</v>
      </c>
      <c r="C176" t="s">
        <v>22</v>
      </c>
      <c r="D176" t="s">
        <v>33</v>
      </c>
      <c r="E176" t="s">
        <v>34</v>
      </c>
      <c r="F176" t="s">
        <v>26</v>
      </c>
      <c r="G176">
        <v>7.4249999999999998</v>
      </c>
      <c r="H176">
        <v>0.01</v>
      </c>
      <c r="I176">
        <v>0</v>
      </c>
      <c r="J176">
        <v>0</v>
      </c>
      <c r="K176">
        <v>0</v>
      </c>
      <c r="L176">
        <v>0</v>
      </c>
      <c r="M176">
        <v>0</v>
      </c>
      <c r="N176">
        <v>0.82530686849168233</v>
      </c>
      <c r="O176">
        <v>0</v>
      </c>
      <c r="P176">
        <v>0</v>
      </c>
      <c r="Q176">
        <v>42605.134000000005</v>
      </c>
      <c r="R176">
        <v>42605.134000000005</v>
      </c>
      <c r="S176">
        <v>42605.134000000005</v>
      </c>
    </row>
    <row r="177" spans="1:19" ht="15" x14ac:dyDescent="0.25">
      <c r="A177" t="s">
        <v>590</v>
      </c>
      <c r="C177" t="s">
        <v>22</v>
      </c>
      <c r="D177" t="s">
        <v>33</v>
      </c>
      <c r="E177" t="s">
        <v>34</v>
      </c>
      <c r="F177" t="s">
        <v>26</v>
      </c>
      <c r="G177">
        <v>0</v>
      </c>
      <c r="H177">
        <v>0</v>
      </c>
      <c r="I177">
        <v>0</v>
      </c>
      <c r="J177">
        <v>0</v>
      </c>
      <c r="K177">
        <v>0</v>
      </c>
      <c r="L177">
        <v>0</v>
      </c>
      <c r="M177">
        <v>0</v>
      </c>
      <c r="N177">
        <v>0.90846401606870619</v>
      </c>
      <c r="O177">
        <v>0</v>
      </c>
      <c r="P177">
        <v>0</v>
      </c>
      <c r="Q177">
        <v>0</v>
      </c>
      <c r="R177">
        <v>0</v>
      </c>
      <c r="S177">
        <v>0</v>
      </c>
    </row>
    <row r="178" spans="1:19" ht="15" x14ac:dyDescent="0.25">
      <c r="A178" t="s">
        <v>618</v>
      </c>
      <c r="C178" t="s">
        <v>22</v>
      </c>
      <c r="D178" t="s">
        <v>33</v>
      </c>
      <c r="E178" t="s">
        <v>34</v>
      </c>
      <c r="F178" t="s">
        <v>26</v>
      </c>
      <c r="G178">
        <v>0</v>
      </c>
      <c r="H178">
        <v>0</v>
      </c>
      <c r="I178">
        <v>0</v>
      </c>
      <c r="J178">
        <v>0</v>
      </c>
      <c r="K178">
        <v>0</v>
      </c>
      <c r="L178">
        <v>0</v>
      </c>
      <c r="M178">
        <v>0</v>
      </c>
      <c r="N178">
        <v>0.90846401606870619</v>
      </c>
      <c r="O178">
        <v>0</v>
      </c>
      <c r="P178">
        <v>0</v>
      </c>
      <c r="Q178">
        <v>0</v>
      </c>
      <c r="R178">
        <v>0</v>
      </c>
      <c r="S178">
        <v>0</v>
      </c>
    </row>
    <row r="179" spans="1:19" ht="15" x14ac:dyDescent="0.25">
      <c r="A179" t="s">
        <v>631</v>
      </c>
      <c r="C179" t="s">
        <v>22</v>
      </c>
      <c r="D179" t="s">
        <v>33</v>
      </c>
      <c r="E179" t="s">
        <v>34</v>
      </c>
      <c r="F179" t="s">
        <v>26</v>
      </c>
      <c r="G179">
        <v>0</v>
      </c>
      <c r="H179">
        <v>0</v>
      </c>
      <c r="I179">
        <v>0</v>
      </c>
      <c r="J179">
        <v>0</v>
      </c>
      <c r="K179">
        <v>0</v>
      </c>
      <c r="L179">
        <v>0</v>
      </c>
      <c r="M179">
        <v>0</v>
      </c>
      <c r="N179">
        <v>0.94411811390641365</v>
      </c>
      <c r="O179">
        <v>0</v>
      </c>
      <c r="P179">
        <v>0</v>
      </c>
      <c r="Q179">
        <v>0</v>
      </c>
      <c r="R179">
        <v>0</v>
      </c>
      <c r="S179">
        <v>0</v>
      </c>
    </row>
    <row r="180" spans="1:19" ht="15" x14ac:dyDescent="0.25">
      <c r="A180" t="s">
        <v>593</v>
      </c>
      <c r="C180" t="s">
        <v>22</v>
      </c>
      <c r="D180" t="s">
        <v>33</v>
      </c>
      <c r="E180" t="s">
        <v>34</v>
      </c>
      <c r="F180" t="s">
        <v>26</v>
      </c>
      <c r="G180">
        <v>0</v>
      </c>
      <c r="H180">
        <v>0</v>
      </c>
      <c r="I180">
        <v>0</v>
      </c>
      <c r="J180">
        <v>0</v>
      </c>
      <c r="K180">
        <v>0</v>
      </c>
      <c r="L180">
        <v>0</v>
      </c>
      <c r="M180">
        <v>0</v>
      </c>
      <c r="N180">
        <v>0.99521150159009719</v>
      </c>
      <c r="O180">
        <v>0</v>
      </c>
      <c r="P180">
        <v>0</v>
      </c>
      <c r="Q180">
        <v>0</v>
      </c>
      <c r="R180">
        <v>0</v>
      </c>
      <c r="S180">
        <v>0</v>
      </c>
    </row>
    <row r="181" spans="1:19" ht="15" x14ac:dyDescent="0.25">
      <c r="A181" t="s">
        <v>673</v>
      </c>
      <c r="C181" t="s">
        <v>22</v>
      </c>
      <c r="D181" t="s">
        <v>33</v>
      </c>
      <c r="E181" t="s">
        <v>34</v>
      </c>
      <c r="F181" t="s">
        <v>26</v>
      </c>
      <c r="G181">
        <v>0</v>
      </c>
      <c r="H181">
        <v>0</v>
      </c>
      <c r="I181">
        <v>0</v>
      </c>
      <c r="J181">
        <v>0</v>
      </c>
      <c r="K181">
        <v>0</v>
      </c>
      <c r="L181">
        <v>0</v>
      </c>
      <c r="M181">
        <v>0</v>
      </c>
      <c r="N181">
        <v>0.78662786106655347</v>
      </c>
      <c r="O181">
        <v>0</v>
      </c>
      <c r="P181">
        <v>0</v>
      </c>
      <c r="Q181">
        <v>0</v>
      </c>
      <c r="R181">
        <v>0</v>
      </c>
      <c r="S181">
        <v>0</v>
      </c>
    </row>
    <row r="182" spans="1:19" ht="15" x14ac:dyDescent="0.25">
      <c r="A182" t="s">
        <v>596</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624</v>
      </c>
      <c r="C183" t="s">
        <v>22</v>
      </c>
      <c r="D183" t="s">
        <v>33</v>
      </c>
      <c r="E183" t="s">
        <v>34</v>
      </c>
      <c r="F183" t="s">
        <v>26</v>
      </c>
      <c r="G183">
        <v>0</v>
      </c>
      <c r="H183">
        <v>0</v>
      </c>
      <c r="I183">
        <v>0</v>
      </c>
      <c r="J183">
        <v>0</v>
      </c>
      <c r="K183">
        <v>0</v>
      </c>
      <c r="L183">
        <v>0</v>
      </c>
      <c r="M183">
        <v>0</v>
      </c>
      <c r="N183">
        <v>0.86588774805920499</v>
      </c>
      <c r="O183">
        <v>0</v>
      </c>
      <c r="P183">
        <v>0</v>
      </c>
      <c r="Q183">
        <v>0</v>
      </c>
      <c r="R183">
        <v>0</v>
      </c>
      <c r="S183">
        <v>0</v>
      </c>
    </row>
    <row r="184" spans="1:19" ht="15" x14ac:dyDescent="0.25">
      <c r="A184" t="s">
        <v>620</v>
      </c>
      <c r="C184" t="s">
        <v>22</v>
      </c>
      <c r="D184" t="s">
        <v>33</v>
      </c>
      <c r="E184" t="s">
        <v>34</v>
      </c>
      <c r="F184" t="s">
        <v>26</v>
      </c>
      <c r="G184">
        <v>0</v>
      </c>
      <c r="H184">
        <v>0</v>
      </c>
      <c r="I184">
        <v>0</v>
      </c>
      <c r="J184">
        <v>0</v>
      </c>
      <c r="K184">
        <v>0</v>
      </c>
      <c r="L184">
        <v>0</v>
      </c>
      <c r="M184">
        <v>0</v>
      </c>
      <c r="N184">
        <v>0.84942128716759835</v>
      </c>
      <c r="O184">
        <v>0</v>
      </c>
      <c r="P184">
        <v>0</v>
      </c>
      <c r="Q184">
        <v>0</v>
      </c>
      <c r="R184">
        <v>0</v>
      </c>
      <c r="S184">
        <v>0</v>
      </c>
    </row>
    <row r="185" spans="1:19" ht="15" x14ac:dyDescent="0.25">
      <c r="A185" t="s">
        <v>674</v>
      </c>
      <c r="C185" t="s">
        <v>22</v>
      </c>
      <c r="D185" t="s">
        <v>33</v>
      </c>
      <c r="E185" t="s">
        <v>34</v>
      </c>
      <c r="F185" t="s">
        <v>26</v>
      </c>
      <c r="G185">
        <v>0</v>
      </c>
      <c r="H185">
        <v>0</v>
      </c>
      <c r="I185">
        <v>0</v>
      </c>
      <c r="J185">
        <v>0</v>
      </c>
      <c r="K185">
        <v>0</v>
      </c>
      <c r="L185">
        <v>0</v>
      </c>
      <c r="M185">
        <v>0</v>
      </c>
      <c r="N185">
        <v>0.90846401606870619</v>
      </c>
      <c r="O185">
        <v>0</v>
      </c>
      <c r="P185">
        <v>0</v>
      </c>
      <c r="Q185">
        <v>0</v>
      </c>
      <c r="R185">
        <v>0</v>
      </c>
      <c r="S185">
        <v>0</v>
      </c>
    </row>
    <row r="186" spans="1:19" ht="15" x14ac:dyDescent="0.25">
      <c r="A186" t="s">
        <v>626</v>
      </c>
      <c r="C186" t="s">
        <v>22</v>
      </c>
      <c r="D186" t="s">
        <v>33</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676</v>
      </c>
      <c r="C187" t="s">
        <v>22</v>
      </c>
      <c r="D187" t="s">
        <v>33</v>
      </c>
      <c r="E187" t="s">
        <v>34</v>
      </c>
      <c r="F187" t="s">
        <v>26</v>
      </c>
      <c r="G187">
        <v>0</v>
      </c>
      <c r="H187">
        <v>0</v>
      </c>
      <c r="I187">
        <v>0</v>
      </c>
      <c r="J187">
        <v>0</v>
      </c>
      <c r="K187">
        <v>0</v>
      </c>
      <c r="L187">
        <v>0</v>
      </c>
      <c r="M187">
        <v>0</v>
      </c>
      <c r="N187">
        <v>0.90846401606870619</v>
      </c>
      <c r="O187">
        <v>0</v>
      </c>
      <c r="P187">
        <v>0</v>
      </c>
      <c r="Q187">
        <v>0</v>
      </c>
      <c r="R187">
        <v>0</v>
      </c>
      <c r="S187">
        <v>0</v>
      </c>
    </row>
    <row r="188" spans="1:19" ht="15" x14ac:dyDescent="0.25">
      <c r="A188" t="s">
        <v>677</v>
      </c>
      <c r="C188" t="s">
        <v>22</v>
      </c>
      <c r="D188" t="s">
        <v>33</v>
      </c>
      <c r="E188" t="s">
        <v>34</v>
      </c>
      <c r="F188" t="s">
        <v>26</v>
      </c>
      <c r="G188">
        <v>0</v>
      </c>
      <c r="H188">
        <v>0</v>
      </c>
      <c r="I188">
        <v>0</v>
      </c>
      <c r="J188">
        <v>0</v>
      </c>
      <c r="K188">
        <v>0</v>
      </c>
      <c r="L188">
        <v>0</v>
      </c>
      <c r="M188">
        <v>0</v>
      </c>
      <c r="N188">
        <v>0.90846401606870619</v>
      </c>
      <c r="O188">
        <v>0</v>
      </c>
      <c r="P188">
        <v>0</v>
      </c>
      <c r="Q188">
        <v>0</v>
      </c>
      <c r="R188">
        <v>0</v>
      </c>
      <c r="S188">
        <v>0</v>
      </c>
    </row>
    <row r="189" spans="1:19" ht="15" x14ac:dyDescent="0.25">
      <c r="A189" t="s">
        <v>627</v>
      </c>
      <c r="C189" t="s">
        <v>22</v>
      </c>
      <c r="D189" t="s">
        <v>33</v>
      </c>
      <c r="E189" t="s">
        <v>34</v>
      </c>
      <c r="F189" t="s">
        <v>26</v>
      </c>
      <c r="G189">
        <v>0</v>
      </c>
      <c r="H189">
        <v>0</v>
      </c>
      <c r="I189">
        <v>0</v>
      </c>
      <c r="J189">
        <v>0</v>
      </c>
      <c r="K189">
        <v>0</v>
      </c>
      <c r="L189">
        <v>0</v>
      </c>
      <c r="M189">
        <v>0</v>
      </c>
      <c r="N189">
        <v>0.90846401606870619</v>
      </c>
      <c r="O189">
        <v>0</v>
      </c>
      <c r="P189">
        <v>0</v>
      </c>
      <c r="Q189">
        <v>0</v>
      </c>
      <c r="R189">
        <v>0</v>
      </c>
      <c r="S189">
        <v>0</v>
      </c>
    </row>
    <row r="190" spans="1:19" ht="15" x14ac:dyDescent="0.25">
      <c r="A190" t="s">
        <v>629</v>
      </c>
      <c r="C190" t="s">
        <v>22</v>
      </c>
      <c r="D190" t="s">
        <v>33</v>
      </c>
      <c r="E190" t="s">
        <v>34</v>
      </c>
      <c r="F190" t="s">
        <v>26</v>
      </c>
      <c r="G190">
        <v>0</v>
      </c>
      <c r="H190">
        <v>0</v>
      </c>
      <c r="I190">
        <v>0</v>
      </c>
      <c r="J190">
        <v>0</v>
      </c>
      <c r="K190">
        <v>0</v>
      </c>
      <c r="L190">
        <v>0</v>
      </c>
      <c r="M190">
        <v>0</v>
      </c>
      <c r="N190">
        <v>0.90846401606870619</v>
      </c>
      <c r="O190">
        <v>0</v>
      </c>
      <c r="P190">
        <v>0</v>
      </c>
      <c r="Q190">
        <v>0</v>
      </c>
      <c r="R190">
        <v>0</v>
      </c>
      <c r="S190">
        <v>0</v>
      </c>
    </row>
    <row r="191" spans="1:19" ht="15" x14ac:dyDescent="0.25">
      <c r="A191" t="s">
        <v>603</v>
      </c>
      <c r="C191" t="s">
        <v>22</v>
      </c>
      <c r="D191" t="s">
        <v>33</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586</v>
      </c>
      <c r="C192" t="s">
        <v>22</v>
      </c>
      <c r="D192" t="s">
        <v>33</v>
      </c>
      <c r="E192" t="s">
        <v>34</v>
      </c>
      <c r="F192" t="s">
        <v>26</v>
      </c>
      <c r="G192">
        <v>0</v>
      </c>
      <c r="H192">
        <v>0</v>
      </c>
      <c r="I192">
        <v>0</v>
      </c>
      <c r="J192">
        <v>0</v>
      </c>
      <c r="K192">
        <v>0</v>
      </c>
      <c r="L192">
        <v>0</v>
      </c>
      <c r="M192">
        <v>0</v>
      </c>
      <c r="N192">
        <v>0.90846401606870619</v>
      </c>
      <c r="O192">
        <v>0</v>
      </c>
      <c r="P192">
        <v>0</v>
      </c>
      <c r="Q192">
        <v>0</v>
      </c>
      <c r="R192">
        <v>0</v>
      </c>
      <c r="S192">
        <v>0</v>
      </c>
    </row>
    <row r="193" spans="1:19" ht="15" x14ac:dyDescent="0.25">
      <c r="A193" t="s">
        <v>587</v>
      </c>
      <c r="C193" t="s">
        <v>22</v>
      </c>
      <c r="D193" t="s">
        <v>33</v>
      </c>
      <c r="E193" t="s">
        <v>34</v>
      </c>
      <c r="F193" t="s">
        <v>26</v>
      </c>
      <c r="G193">
        <v>0</v>
      </c>
      <c r="H193">
        <v>0</v>
      </c>
      <c r="I193">
        <v>0</v>
      </c>
      <c r="J193">
        <v>0</v>
      </c>
      <c r="K193">
        <v>0</v>
      </c>
      <c r="L193">
        <v>0</v>
      </c>
      <c r="M193">
        <v>0</v>
      </c>
      <c r="N193">
        <v>0.86588774805920499</v>
      </c>
      <c r="O193">
        <v>0</v>
      </c>
      <c r="P193">
        <v>0</v>
      </c>
      <c r="Q193">
        <v>0</v>
      </c>
      <c r="R193">
        <v>0</v>
      </c>
      <c r="S193">
        <v>0</v>
      </c>
    </row>
    <row r="194" spans="1:19" ht="15" x14ac:dyDescent="0.25">
      <c r="A194" t="s">
        <v>590</v>
      </c>
      <c r="C194" t="s">
        <v>22</v>
      </c>
      <c r="D194" t="s">
        <v>33</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618</v>
      </c>
      <c r="C195" t="s">
        <v>22</v>
      </c>
      <c r="D195" t="s">
        <v>33</v>
      </c>
      <c r="E195" t="s">
        <v>34</v>
      </c>
      <c r="F195" t="s">
        <v>26</v>
      </c>
      <c r="G195">
        <v>0</v>
      </c>
      <c r="H195">
        <v>0</v>
      </c>
      <c r="I195">
        <v>0</v>
      </c>
      <c r="J195">
        <v>0</v>
      </c>
      <c r="K195">
        <v>0</v>
      </c>
      <c r="L195">
        <v>0</v>
      </c>
      <c r="M195">
        <v>0</v>
      </c>
      <c r="N195">
        <v>0.90846401606870619</v>
      </c>
      <c r="O195">
        <v>0</v>
      </c>
      <c r="P195">
        <v>0</v>
      </c>
      <c r="Q195">
        <v>0</v>
      </c>
      <c r="R195">
        <v>0</v>
      </c>
      <c r="S195">
        <v>0</v>
      </c>
    </row>
    <row r="196" spans="1:19" ht="15" x14ac:dyDescent="0.25">
      <c r="A196" t="s">
        <v>631</v>
      </c>
      <c r="C196" t="s">
        <v>22</v>
      </c>
      <c r="D196" t="s">
        <v>33</v>
      </c>
      <c r="E196" t="s">
        <v>34</v>
      </c>
      <c r="F196" t="s">
        <v>26</v>
      </c>
      <c r="G196">
        <v>0</v>
      </c>
      <c r="H196">
        <v>0</v>
      </c>
      <c r="I196">
        <v>0</v>
      </c>
      <c r="J196">
        <v>0</v>
      </c>
      <c r="K196">
        <v>0</v>
      </c>
      <c r="L196">
        <v>0</v>
      </c>
      <c r="M196">
        <v>0</v>
      </c>
      <c r="N196">
        <v>0.94411811390641365</v>
      </c>
      <c r="O196">
        <v>0</v>
      </c>
      <c r="P196">
        <v>0</v>
      </c>
      <c r="Q196">
        <v>0</v>
      </c>
      <c r="R196">
        <v>0</v>
      </c>
      <c r="S196">
        <v>0</v>
      </c>
    </row>
    <row r="197" spans="1:19" ht="15" x14ac:dyDescent="0.25">
      <c r="A197" t="s">
        <v>1595</v>
      </c>
      <c r="B197" t="s">
        <v>1482</v>
      </c>
      <c r="C197" t="s">
        <v>22</v>
      </c>
      <c r="D197" t="s">
        <v>33</v>
      </c>
      <c r="E197" t="s">
        <v>34</v>
      </c>
      <c r="F197" t="s">
        <v>35</v>
      </c>
      <c r="G197">
        <v>466.19999999999959</v>
      </c>
      <c r="H197">
        <v>0.67240384615384552</v>
      </c>
      <c r="I197">
        <v>0</v>
      </c>
      <c r="J197">
        <v>875.02153846153772</v>
      </c>
      <c r="K197">
        <v>0</v>
      </c>
      <c r="L197">
        <v>0</v>
      </c>
      <c r="M197">
        <v>0</v>
      </c>
      <c r="N197">
        <v>0</v>
      </c>
      <c r="O197">
        <v>0</v>
      </c>
      <c r="P197">
        <v>0</v>
      </c>
      <c r="Q197">
        <v>3056317.5462434972</v>
      </c>
      <c r="R197">
        <v>3056317.5462434972</v>
      </c>
      <c r="S197">
        <v>3056317.5462434972</v>
      </c>
    </row>
    <row r="198" spans="1:19" ht="15" x14ac:dyDescent="0.25">
      <c r="A198" t="s">
        <v>1596</v>
      </c>
      <c r="B198" t="s">
        <v>1483</v>
      </c>
      <c r="C198" t="s">
        <v>22</v>
      </c>
      <c r="D198" t="s">
        <v>33</v>
      </c>
      <c r="E198" t="s">
        <v>34</v>
      </c>
      <c r="F198" t="s">
        <v>35</v>
      </c>
      <c r="G198">
        <v>115.28363942307682</v>
      </c>
      <c r="H198">
        <v>0.16557944711538447</v>
      </c>
      <c r="I198">
        <v>634.30096153846102</v>
      </c>
      <c r="J198">
        <v>1026.0882692307684</v>
      </c>
      <c r="K198">
        <v>0</v>
      </c>
      <c r="L198">
        <v>0</v>
      </c>
      <c r="M198">
        <v>0</v>
      </c>
      <c r="N198">
        <v>0</v>
      </c>
      <c r="O198">
        <v>0</v>
      </c>
      <c r="P198">
        <v>0</v>
      </c>
      <c r="Q198">
        <v>1480255.4760731708</v>
      </c>
      <c r="R198">
        <v>1480255.4760731708</v>
      </c>
      <c r="S198">
        <v>1480255.4760731708</v>
      </c>
    </row>
    <row r="199" spans="1:19" ht="15" x14ac:dyDescent="0.25">
      <c r="A199" t="s">
        <v>1601</v>
      </c>
      <c r="B199" t="s">
        <v>1489</v>
      </c>
      <c r="C199" t="s">
        <v>22</v>
      </c>
      <c r="D199" t="s">
        <v>33</v>
      </c>
      <c r="E199" t="s">
        <v>34</v>
      </c>
      <c r="F199" t="s">
        <v>35</v>
      </c>
      <c r="G199">
        <v>0</v>
      </c>
      <c r="H199">
        <v>0.46978615384615346</v>
      </c>
      <c r="I199">
        <v>0</v>
      </c>
      <c r="J199">
        <v>0</v>
      </c>
      <c r="K199">
        <v>0</v>
      </c>
      <c r="L199">
        <v>0</v>
      </c>
      <c r="M199">
        <v>0</v>
      </c>
      <c r="N199">
        <v>0.56852733609204842</v>
      </c>
      <c r="O199">
        <v>0</v>
      </c>
      <c r="P199">
        <v>0</v>
      </c>
      <c r="Q199">
        <v>450239.83181099966</v>
      </c>
      <c r="R199">
        <v>450239.83181099966</v>
      </c>
      <c r="S199">
        <v>450239.83181099966</v>
      </c>
    </row>
    <row r="200" spans="1:19" ht="15" x14ac:dyDescent="0.25">
      <c r="A200" t="s">
        <v>1508</v>
      </c>
      <c r="B200" t="s">
        <v>1507</v>
      </c>
      <c r="C200" t="s">
        <v>22</v>
      </c>
      <c r="D200" t="s">
        <v>1507</v>
      </c>
      <c r="E200" t="s">
        <v>34</v>
      </c>
      <c r="F200" t="s">
        <v>35</v>
      </c>
      <c r="G200">
        <v>1124.1249999999998</v>
      </c>
      <c r="H200">
        <v>0.83</v>
      </c>
      <c r="I200">
        <v>2448</v>
      </c>
      <c r="J200">
        <v>2937.6</v>
      </c>
      <c r="K200">
        <v>0</v>
      </c>
      <c r="L200">
        <v>0</v>
      </c>
      <c r="M200">
        <v>4</v>
      </c>
      <c r="N200">
        <v>0</v>
      </c>
      <c r="O200">
        <v>0</v>
      </c>
      <c r="P200">
        <v>21.6</v>
      </c>
      <c r="Q200">
        <v>8538679.0231599975</v>
      </c>
      <c r="R200">
        <v>8583347.7043599989</v>
      </c>
      <c r="S200">
        <v>8583347.7043599989</v>
      </c>
    </row>
    <row r="201" spans="1:19" ht="15" x14ac:dyDescent="0.25">
      <c r="A201" t="s">
        <v>1509</v>
      </c>
      <c r="B201" t="s">
        <v>1510</v>
      </c>
      <c r="C201" t="s">
        <v>22</v>
      </c>
      <c r="D201" t="s">
        <v>1511</v>
      </c>
      <c r="E201" t="s">
        <v>34</v>
      </c>
      <c r="F201" t="s">
        <v>35</v>
      </c>
      <c r="G201">
        <v>61.511053882352904</v>
      </c>
      <c r="H201">
        <v>0.23009999999999986</v>
      </c>
      <c r="I201">
        <v>315.82352941176453</v>
      </c>
      <c r="J201">
        <v>385.30470588235272</v>
      </c>
      <c r="K201">
        <v>0</v>
      </c>
      <c r="L201">
        <v>0</v>
      </c>
      <c r="M201">
        <v>0.6800709270588231</v>
      </c>
      <c r="N201">
        <v>0</v>
      </c>
      <c r="O201">
        <v>0</v>
      </c>
      <c r="P201">
        <v>1.4076735999999999</v>
      </c>
      <c r="Q201">
        <v>851255.11141036707</v>
      </c>
      <c r="R201">
        <v>854166.1726729623</v>
      </c>
      <c r="S201">
        <v>854166.1726729623</v>
      </c>
    </row>
    <row r="202" spans="1:19" ht="15" x14ac:dyDescent="0.25">
      <c r="A202" t="s">
        <v>1515</v>
      </c>
      <c r="B202" t="s">
        <v>1525</v>
      </c>
      <c r="C202" t="s">
        <v>22</v>
      </c>
      <c r="D202" t="s">
        <v>1511</v>
      </c>
      <c r="E202" t="s">
        <v>34</v>
      </c>
      <c r="F202" t="s">
        <v>35</v>
      </c>
      <c r="G202">
        <v>840.90288635294075</v>
      </c>
      <c r="H202">
        <v>7.0879823529411716</v>
      </c>
      <c r="I202">
        <v>7862.4899294117604</v>
      </c>
      <c r="J202">
        <v>9434.9879152941121</v>
      </c>
      <c r="K202">
        <v>0</v>
      </c>
      <c r="L202">
        <v>0</v>
      </c>
      <c r="M202">
        <v>11.695680773569695</v>
      </c>
      <c r="N202">
        <v>0.78662786106655347</v>
      </c>
      <c r="O202">
        <v>0</v>
      </c>
      <c r="P202">
        <v>24.2088</v>
      </c>
      <c r="Q202">
        <v>19340534.948314894</v>
      </c>
      <c r="R202">
        <v>19390598.613566492</v>
      </c>
      <c r="S202">
        <v>19390598.613566492</v>
      </c>
    </row>
    <row r="203" spans="1:19" ht="15" x14ac:dyDescent="0.25">
      <c r="A203" t="s">
        <v>1526</v>
      </c>
      <c r="B203" t="s">
        <v>1528</v>
      </c>
      <c r="C203" t="s">
        <v>22</v>
      </c>
      <c r="D203" t="s">
        <v>1511</v>
      </c>
      <c r="E203" t="s">
        <v>34</v>
      </c>
      <c r="F203" t="s">
        <v>35</v>
      </c>
      <c r="G203">
        <v>8641.6897411764658</v>
      </c>
      <c r="H203">
        <v>90.618794117647013</v>
      </c>
      <c r="I203">
        <v>82964.585294117598</v>
      </c>
      <c r="J203">
        <v>99557.502352941112</v>
      </c>
      <c r="K203">
        <v>0</v>
      </c>
      <c r="L203">
        <v>0</v>
      </c>
      <c r="M203">
        <v>123.41221595487504</v>
      </c>
      <c r="N203">
        <v>0.78662786106655347</v>
      </c>
      <c r="O203">
        <v>0</v>
      </c>
      <c r="P203">
        <v>1152.5302941176462</v>
      </c>
      <c r="Q203">
        <v>218219156.88226712</v>
      </c>
      <c r="R203">
        <v>220602583.19158581</v>
      </c>
      <c r="S203">
        <v>220602583.19158581</v>
      </c>
    </row>
    <row r="204" spans="1:19" ht="15" x14ac:dyDescent="0.25">
      <c r="A204" t="s">
        <v>1685</v>
      </c>
      <c r="B204" t="s">
        <v>1527</v>
      </c>
      <c r="C204" t="s">
        <v>22</v>
      </c>
      <c r="D204" t="s">
        <v>1511</v>
      </c>
      <c r="E204" t="s">
        <v>34</v>
      </c>
      <c r="F204" t="s">
        <v>35</v>
      </c>
      <c r="G204">
        <v>72745.301077647018</v>
      </c>
      <c r="H204">
        <v>762.82436176470537</v>
      </c>
      <c r="I204">
        <v>698391.62441176432</v>
      </c>
      <c r="J204">
        <v>838069.94929411716</v>
      </c>
      <c r="K204">
        <v>0</v>
      </c>
      <c r="L204">
        <v>0</v>
      </c>
      <c r="M204">
        <v>1038.8777050765507</v>
      </c>
      <c r="N204">
        <v>0.78662786106655347</v>
      </c>
      <c r="O204">
        <v>0</v>
      </c>
      <c r="P204">
        <v>9701.940911764701</v>
      </c>
      <c r="Q204">
        <v>1836957671.9089305</v>
      </c>
      <c r="R204">
        <v>1857021232.3537848</v>
      </c>
      <c r="S204">
        <v>1857021232.3537848</v>
      </c>
    </row>
    <row r="205" spans="1:19" ht="15" x14ac:dyDescent="0.25">
      <c r="A205" t="s">
        <v>1681</v>
      </c>
      <c r="B205" t="s">
        <v>1678</v>
      </c>
      <c r="C205" t="s">
        <v>22</v>
      </c>
      <c r="D205" t="s">
        <v>1511</v>
      </c>
      <c r="E205" t="s">
        <v>34</v>
      </c>
      <c r="F205" t="s">
        <v>35</v>
      </c>
      <c r="G205">
        <v>23731.409519999987</v>
      </c>
      <c r="H205">
        <v>248.85314999999986</v>
      </c>
      <c r="I205">
        <v>227833.51499999984</v>
      </c>
      <c r="J205">
        <v>273400.21799999982</v>
      </c>
      <c r="K205">
        <v>0</v>
      </c>
      <c r="L205">
        <v>0</v>
      </c>
      <c r="M205">
        <v>338.90893150684911</v>
      </c>
      <c r="N205">
        <v>0.78662786106655347</v>
      </c>
      <c r="O205">
        <v>0</v>
      </c>
      <c r="P205">
        <v>3165.0254999999979</v>
      </c>
      <c r="Q205">
        <v>599263376.97668743</v>
      </c>
      <c r="R205">
        <v>605808632.30304718</v>
      </c>
      <c r="S205">
        <v>605808632.30304718</v>
      </c>
    </row>
    <row r="206" spans="1:19" ht="15" x14ac:dyDescent="0.25">
      <c r="A206" t="s">
        <v>1684</v>
      </c>
      <c r="B206" t="s">
        <v>1686</v>
      </c>
      <c r="C206" t="s">
        <v>22</v>
      </c>
      <c r="D206" t="s">
        <v>1511</v>
      </c>
      <c r="E206" t="s">
        <v>34</v>
      </c>
      <c r="F206" t="s">
        <v>35</v>
      </c>
      <c r="G206">
        <v>22769.744559058814</v>
      </c>
      <c r="H206">
        <v>238.76890470588222</v>
      </c>
      <c r="I206">
        <v>218601.04576470578</v>
      </c>
      <c r="J206">
        <v>262321.25491764693</v>
      </c>
      <c r="K206">
        <v>0</v>
      </c>
      <c r="L206">
        <v>0</v>
      </c>
      <c r="M206">
        <v>325.17536696212716</v>
      </c>
      <c r="N206">
        <v>0.78662786106655347</v>
      </c>
      <c r="O206">
        <v>0</v>
      </c>
      <c r="P206">
        <v>3036.7695647058804</v>
      </c>
      <c r="Q206">
        <v>574979501.56978905</v>
      </c>
      <c r="R206">
        <v>581259524.32736814</v>
      </c>
      <c r="S206">
        <v>581259524.32736814</v>
      </c>
    </row>
    <row r="207" spans="1:19" ht="15" x14ac:dyDescent="0.25">
      <c r="A207" t="s">
        <v>1695</v>
      </c>
      <c r="B207" t="s">
        <v>1694</v>
      </c>
      <c r="C207" t="s">
        <v>22</v>
      </c>
      <c r="D207" t="s">
        <v>1511</v>
      </c>
      <c r="E207" t="s">
        <v>34</v>
      </c>
      <c r="F207" t="s">
        <v>35</v>
      </c>
      <c r="G207">
        <v>25260.323858823514</v>
      </c>
      <c r="H207">
        <v>264.8857058823528</v>
      </c>
      <c r="I207">
        <v>242511.86470588221</v>
      </c>
      <c r="J207">
        <v>291014.23764705868</v>
      </c>
      <c r="K207">
        <v>0</v>
      </c>
      <c r="L207">
        <v>0</v>
      </c>
      <c r="M207">
        <v>360.74340048348091</v>
      </c>
      <c r="N207">
        <v>0.78662786106655347</v>
      </c>
      <c r="O207">
        <v>0</v>
      </c>
      <c r="P207">
        <v>3368.9347058823505</v>
      </c>
      <c r="Q207">
        <v>637871381.6558578</v>
      </c>
      <c r="R207">
        <v>644838320.09848166</v>
      </c>
      <c r="S207">
        <v>644838320.09848166</v>
      </c>
    </row>
    <row r="208" spans="1:19" ht="15" x14ac:dyDescent="0.25">
      <c r="A208" t="s">
        <v>1693</v>
      </c>
      <c r="B208" t="s">
        <v>1692</v>
      </c>
      <c r="C208" t="s">
        <v>22</v>
      </c>
      <c r="D208" t="s">
        <v>1511</v>
      </c>
      <c r="E208" t="s">
        <v>34</v>
      </c>
      <c r="F208" t="s">
        <v>35</v>
      </c>
      <c r="G208">
        <v>50990.401108705853</v>
      </c>
      <c r="H208">
        <v>534.69735647058792</v>
      </c>
      <c r="I208">
        <v>489533.59917647031</v>
      </c>
      <c r="J208">
        <v>587440.31901176437</v>
      </c>
      <c r="K208">
        <v>0</v>
      </c>
      <c r="L208">
        <v>0</v>
      </c>
      <c r="M208">
        <v>728.19536244963695</v>
      </c>
      <c r="N208">
        <v>0.78662786106655347</v>
      </c>
      <c r="O208">
        <v>0</v>
      </c>
      <c r="P208">
        <v>6800.5197764705845</v>
      </c>
      <c r="Q208">
        <v>1287604932.8653154</v>
      </c>
      <c r="R208">
        <v>1301668370.360198</v>
      </c>
      <c r="S208">
        <v>1301668370.360198</v>
      </c>
    </row>
    <row r="209" spans="1:19" ht="15" x14ac:dyDescent="0.25">
      <c r="A209" t="s">
        <v>1709</v>
      </c>
      <c r="B209" t="s">
        <v>1710</v>
      </c>
      <c r="C209" t="s">
        <v>22</v>
      </c>
      <c r="D209" t="s">
        <v>33</v>
      </c>
      <c r="E209" t="s">
        <v>34</v>
      </c>
      <c r="F209" t="s">
        <v>35</v>
      </c>
      <c r="G209">
        <v>255.51346153846129</v>
      </c>
      <c r="H209">
        <v>0.2465480769230767</v>
      </c>
      <c r="I209">
        <v>469.56201923076884</v>
      </c>
      <c r="J209">
        <v>995.15769230769149</v>
      </c>
      <c r="K209">
        <v>0</v>
      </c>
      <c r="L209">
        <v>0</v>
      </c>
      <c r="M209">
        <v>0</v>
      </c>
      <c r="N209">
        <v>0</v>
      </c>
      <c r="O209">
        <v>0</v>
      </c>
      <c r="P209">
        <v>0</v>
      </c>
      <c r="Q209">
        <v>2062565.8861499981</v>
      </c>
      <c r="R209">
        <v>2062565.8861499981</v>
      </c>
      <c r="S209">
        <v>2062565.8861499981</v>
      </c>
    </row>
    <row r="210" spans="1:19" ht="15" x14ac:dyDescent="0.25">
      <c r="A210" t="s">
        <v>1713</v>
      </c>
      <c r="B210" t="s">
        <v>1711</v>
      </c>
      <c r="C210" t="s">
        <v>22</v>
      </c>
      <c r="D210" t="s">
        <v>1716</v>
      </c>
      <c r="E210" t="s">
        <v>34</v>
      </c>
      <c r="F210" t="s">
        <v>35</v>
      </c>
      <c r="G210">
        <v>15.625</v>
      </c>
      <c r="H210">
        <v>6.25E-2</v>
      </c>
      <c r="I210">
        <v>208</v>
      </c>
      <c r="J210">
        <v>253.76</v>
      </c>
      <c r="K210">
        <v>0</v>
      </c>
      <c r="L210">
        <v>0</v>
      </c>
      <c r="M210">
        <v>0</v>
      </c>
      <c r="N210">
        <v>0</v>
      </c>
      <c r="O210">
        <v>0</v>
      </c>
      <c r="P210">
        <v>0</v>
      </c>
      <c r="Q210">
        <v>362627.81655100005</v>
      </c>
      <c r="R210">
        <v>362627.81655100005</v>
      </c>
      <c r="S210">
        <v>362627.81655100005</v>
      </c>
    </row>
    <row r="211" spans="1:19" ht="15" x14ac:dyDescent="0.25">
      <c r="A211" t="s">
        <v>1714</v>
      </c>
      <c r="B211" t="s">
        <v>1712</v>
      </c>
      <c r="C211" t="s">
        <v>22</v>
      </c>
      <c r="D211" t="s">
        <v>1716</v>
      </c>
      <c r="E211" t="s">
        <v>34</v>
      </c>
      <c r="F211" t="s">
        <v>35</v>
      </c>
      <c r="G211">
        <v>16.875</v>
      </c>
      <c r="H211">
        <v>6.25E-2</v>
      </c>
      <c r="I211">
        <v>208</v>
      </c>
      <c r="J211">
        <v>343.2</v>
      </c>
      <c r="K211">
        <v>0</v>
      </c>
      <c r="L211">
        <v>0</v>
      </c>
      <c r="M211">
        <v>0</v>
      </c>
      <c r="N211">
        <v>0</v>
      </c>
      <c r="O211">
        <v>0</v>
      </c>
      <c r="P211">
        <v>0</v>
      </c>
      <c r="Q211">
        <v>402792.62809499999</v>
      </c>
      <c r="R211">
        <v>402792.62809499999</v>
      </c>
      <c r="S211">
        <v>402792.62809499999</v>
      </c>
    </row>
    <row r="212" spans="1:19" ht="15" x14ac:dyDescent="0.25">
      <c r="A212" t="s">
        <v>1994</v>
      </c>
      <c r="B212" t="s">
        <v>1715</v>
      </c>
      <c r="C212" t="s">
        <v>22</v>
      </c>
      <c r="D212" t="s">
        <v>1716</v>
      </c>
      <c r="E212" t="s">
        <v>34</v>
      </c>
      <c r="F212" t="s">
        <v>35</v>
      </c>
      <c r="G212">
        <v>0</v>
      </c>
      <c r="H212">
        <v>0</v>
      </c>
      <c r="I212">
        <v>0</v>
      </c>
      <c r="J212">
        <v>0</v>
      </c>
      <c r="K212">
        <v>0</v>
      </c>
      <c r="L212">
        <v>0</v>
      </c>
      <c r="M212">
        <v>0</v>
      </c>
      <c r="N212">
        <v>0</v>
      </c>
      <c r="O212">
        <v>0</v>
      </c>
      <c r="P212">
        <v>0</v>
      </c>
      <c r="Q212">
        <v>0</v>
      </c>
      <c r="R212">
        <v>0</v>
      </c>
      <c r="S212">
        <v>0</v>
      </c>
    </row>
    <row r="213" spans="1:19" ht="15" x14ac:dyDescent="0.25">
      <c r="A213" t="s">
        <v>1562</v>
      </c>
      <c r="B213" t="s">
        <v>1460</v>
      </c>
      <c r="C213" t="s">
        <v>70</v>
      </c>
      <c r="D213" t="s">
        <v>23</v>
      </c>
      <c r="E213" t="s">
        <v>34</v>
      </c>
      <c r="F213" t="s">
        <v>35</v>
      </c>
      <c r="G213">
        <v>16.900649999999999</v>
      </c>
      <c r="H213">
        <v>0.03</v>
      </c>
      <c r="I213">
        <v>175</v>
      </c>
      <c r="J213">
        <v>288.75</v>
      </c>
      <c r="K213">
        <v>0</v>
      </c>
      <c r="L213">
        <v>0</v>
      </c>
      <c r="M213">
        <v>0</v>
      </c>
      <c r="N213">
        <v>0</v>
      </c>
      <c r="O213">
        <v>0</v>
      </c>
      <c r="P213">
        <v>0</v>
      </c>
      <c r="Q213">
        <v>329264.30537000002</v>
      </c>
      <c r="R213">
        <v>329264.30537000002</v>
      </c>
      <c r="S213">
        <v>329264.30537000002</v>
      </c>
    </row>
    <row r="214" spans="1:19" ht="15" x14ac:dyDescent="0.25">
      <c r="A214" t="s">
        <v>1563</v>
      </c>
      <c r="B214" t="s">
        <v>1461</v>
      </c>
      <c r="C214" t="s">
        <v>70</v>
      </c>
      <c r="D214" t="s">
        <v>23</v>
      </c>
      <c r="E214" t="s">
        <v>24</v>
      </c>
      <c r="F214" t="s">
        <v>35</v>
      </c>
      <c r="G214">
        <v>108.6032</v>
      </c>
      <c r="H214">
        <v>7.5123999999999996E-2</v>
      </c>
      <c r="I214">
        <v>0</v>
      </c>
      <c r="J214">
        <v>0</v>
      </c>
      <c r="K214">
        <v>0</v>
      </c>
      <c r="L214">
        <v>0</v>
      </c>
      <c r="M214">
        <v>0</v>
      </c>
      <c r="N214">
        <v>0.99995200115198157</v>
      </c>
      <c r="O214">
        <v>0</v>
      </c>
      <c r="P214">
        <v>114.28708414872798</v>
      </c>
      <c r="Q214">
        <v>554989.33836060006</v>
      </c>
      <c r="R214">
        <v>791334.39980120678</v>
      </c>
      <c r="S214">
        <v>791334.39980120678</v>
      </c>
    </row>
    <row r="215" spans="1:19" ht="15" x14ac:dyDescent="0.25">
      <c r="A215" t="s">
        <v>99</v>
      </c>
      <c r="C215" t="s">
        <v>70</v>
      </c>
      <c r="D215" t="s">
        <v>23</v>
      </c>
      <c r="E215" t="s">
        <v>34</v>
      </c>
      <c r="F215" t="s">
        <v>26</v>
      </c>
      <c r="G215">
        <v>1.107</v>
      </c>
      <c r="H215">
        <v>3.398E-3</v>
      </c>
      <c r="I215">
        <v>0</v>
      </c>
      <c r="J215">
        <v>0</v>
      </c>
      <c r="K215">
        <v>0</v>
      </c>
      <c r="L215">
        <v>0</v>
      </c>
      <c r="M215">
        <v>0</v>
      </c>
      <c r="N215">
        <v>0</v>
      </c>
      <c r="O215">
        <v>0</v>
      </c>
      <c r="P215">
        <v>0</v>
      </c>
      <c r="Q215">
        <v>8179.7810236999994</v>
      </c>
      <c r="R215">
        <v>8179.7810236999994</v>
      </c>
      <c r="S215">
        <v>8179.7810236999994</v>
      </c>
    </row>
    <row r="216" spans="1:19" ht="15" x14ac:dyDescent="0.25">
      <c r="A216" t="s">
        <v>1568</v>
      </c>
      <c r="B216" t="s">
        <v>552</v>
      </c>
      <c r="C216" t="s">
        <v>70</v>
      </c>
      <c r="D216" t="s">
        <v>23</v>
      </c>
      <c r="E216" t="s">
        <v>34</v>
      </c>
      <c r="F216" t="s">
        <v>35</v>
      </c>
      <c r="G216">
        <v>86.161102222222226</v>
      </c>
      <c r="H216">
        <v>0.29875555555555555</v>
      </c>
      <c r="I216">
        <v>351.03777777777776</v>
      </c>
      <c r="J216">
        <v>393.16231111111108</v>
      </c>
      <c r="K216">
        <v>0</v>
      </c>
      <c r="L216">
        <v>0</v>
      </c>
      <c r="M216">
        <v>33.341119999999997</v>
      </c>
      <c r="N216">
        <v>0.65801942273867631</v>
      </c>
      <c r="O216">
        <v>0</v>
      </c>
      <c r="P216">
        <v>6.7220000000000004</v>
      </c>
      <c r="Q216">
        <v>1197838.8109077867</v>
      </c>
      <c r="R216">
        <v>1211739.8699367866</v>
      </c>
      <c r="S216">
        <v>1211739.8699367866</v>
      </c>
    </row>
    <row r="217" spans="1:19" ht="15" x14ac:dyDescent="0.25">
      <c r="A217" t="s">
        <v>963</v>
      </c>
      <c r="C217" t="s">
        <v>70</v>
      </c>
      <c r="D217" t="s">
        <v>23</v>
      </c>
      <c r="E217" t="s">
        <v>34</v>
      </c>
      <c r="F217" t="s">
        <v>35</v>
      </c>
      <c r="G217">
        <v>1.6823333333333335</v>
      </c>
      <c r="H217">
        <v>3.3333333333333335E-3</v>
      </c>
      <c r="I217">
        <v>10.166666666666666</v>
      </c>
      <c r="J217">
        <v>11.386666666666667</v>
      </c>
      <c r="K217">
        <v>0</v>
      </c>
      <c r="L217">
        <v>0</v>
      </c>
      <c r="M217">
        <v>0</v>
      </c>
      <c r="N217">
        <v>0</v>
      </c>
      <c r="O217">
        <v>0</v>
      </c>
      <c r="P217">
        <v>0</v>
      </c>
      <c r="Q217">
        <v>21683.433772000004</v>
      </c>
      <c r="R217">
        <v>21683.433772000004</v>
      </c>
      <c r="S217">
        <v>21683.433772000004</v>
      </c>
    </row>
    <row r="218" spans="1:19" ht="15" x14ac:dyDescent="0.25">
      <c r="A218" t="s">
        <v>2015</v>
      </c>
      <c r="C218" t="s">
        <v>70</v>
      </c>
      <c r="D218" t="s">
        <v>23</v>
      </c>
      <c r="E218" t="s">
        <v>34</v>
      </c>
      <c r="F218" t="s">
        <v>26</v>
      </c>
      <c r="G218">
        <v>250.28057777684205</v>
      </c>
      <c r="H218">
        <v>1.9224824228210522</v>
      </c>
      <c r="I218">
        <v>3332.1014643543258</v>
      </c>
      <c r="J218">
        <v>0</v>
      </c>
      <c r="K218">
        <v>0</v>
      </c>
      <c r="L218">
        <v>0</v>
      </c>
      <c r="M218">
        <v>4692.6416842105245</v>
      </c>
      <c r="N218">
        <v>0.98854610112817987</v>
      </c>
      <c r="O218">
        <v>0</v>
      </c>
      <c r="P218">
        <v>0</v>
      </c>
      <c r="Q218">
        <v>25988704.967757273</v>
      </c>
      <c r="R218">
        <v>25988704.967757273</v>
      </c>
      <c r="S218">
        <v>25988704.967757273</v>
      </c>
    </row>
    <row r="219" spans="1:19" ht="15" x14ac:dyDescent="0.25">
      <c r="A219" t="s">
        <v>2016</v>
      </c>
      <c r="C219" t="s">
        <v>70</v>
      </c>
      <c r="D219" t="s">
        <v>23</v>
      </c>
      <c r="E219" t="s">
        <v>34</v>
      </c>
      <c r="F219" t="s">
        <v>26</v>
      </c>
      <c r="G219">
        <v>346.00900168421043</v>
      </c>
      <c r="H219">
        <v>0.52792218947368408</v>
      </c>
      <c r="I219">
        <v>0</v>
      </c>
      <c r="J219">
        <v>0</v>
      </c>
      <c r="K219">
        <v>0</v>
      </c>
      <c r="L219">
        <v>0</v>
      </c>
      <c r="M219">
        <v>0</v>
      </c>
      <c r="N219">
        <v>0</v>
      </c>
      <c r="O219">
        <v>0</v>
      </c>
      <c r="P219">
        <v>0</v>
      </c>
      <c r="Q219">
        <v>2044762.8433147701</v>
      </c>
      <c r="R219">
        <v>2044762.8433147701</v>
      </c>
      <c r="S219">
        <v>2044762.8433147701</v>
      </c>
    </row>
    <row r="220" spans="1:19" ht="15" x14ac:dyDescent="0.25">
      <c r="A220" t="s">
        <v>2017</v>
      </c>
      <c r="C220" t="s">
        <v>70</v>
      </c>
      <c r="D220" t="s">
        <v>23</v>
      </c>
      <c r="E220" t="s">
        <v>34</v>
      </c>
      <c r="F220" t="s">
        <v>26</v>
      </c>
      <c r="G220">
        <v>49.179911365894732</v>
      </c>
      <c r="H220">
        <v>3.4608232421052626E-2</v>
      </c>
      <c r="I220">
        <v>0</v>
      </c>
      <c r="J220">
        <v>58.169204210526303</v>
      </c>
      <c r="K220">
        <v>0</v>
      </c>
      <c r="L220">
        <v>0</v>
      </c>
      <c r="M220">
        <v>0</v>
      </c>
      <c r="N220">
        <v>0.74688802849825997</v>
      </c>
      <c r="O220">
        <v>0</v>
      </c>
      <c r="P220">
        <v>0</v>
      </c>
      <c r="Q220">
        <v>274392.65616752463</v>
      </c>
      <c r="R220">
        <v>274392.65616752463</v>
      </c>
      <c r="S220">
        <v>274392.65616752463</v>
      </c>
    </row>
    <row r="221" spans="1:19" ht="15" x14ac:dyDescent="0.25">
      <c r="A221" t="s">
        <v>558</v>
      </c>
      <c r="C221" t="s">
        <v>70</v>
      </c>
      <c r="D221" t="s">
        <v>101</v>
      </c>
      <c r="E221" t="s">
        <v>34</v>
      </c>
      <c r="F221" t="s">
        <v>26</v>
      </c>
      <c r="G221">
        <v>1.5910974000000002</v>
      </c>
      <c r="H221">
        <v>6.3455680000000002E-3</v>
      </c>
      <c r="I221">
        <v>0</v>
      </c>
      <c r="J221">
        <v>7.8423333333333331E-3</v>
      </c>
      <c r="K221">
        <v>0</v>
      </c>
      <c r="L221">
        <v>0</v>
      </c>
      <c r="M221">
        <v>0</v>
      </c>
      <c r="N221">
        <v>0.77463757823037882</v>
      </c>
      <c r="O221">
        <v>0</v>
      </c>
      <c r="P221">
        <v>0</v>
      </c>
      <c r="Q221">
        <v>13160.670688265101</v>
      </c>
      <c r="R221">
        <v>13160.670688265101</v>
      </c>
      <c r="S221">
        <v>13160.670688265101</v>
      </c>
    </row>
    <row r="222" spans="1:19" ht="15" x14ac:dyDescent="0.25">
      <c r="A222" t="s">
        <v>559</v>
      </c>
      <c r="C222" t="s">
        <v>70</v>
      </c>
      <c r="D222" t="s">
        <v>101</v>
      </c>
      <c r="E222" t="s">
        <v>34</v>
      </c>
      <c r="F222" t="s">
        <v>26</v>
      </c>
      <c r="G222">
        <v>0.85724999999999996</v>
      </c>
      <c r="H222">
        <v>5.6599999999999999E-4</v>
      </c>
      <c r="I222">
        <v>0</v>
      </c>
      <c r="J222">
        <v>1.575E-2</v>
      </c>
      <c r="K222">
        <v>0</v>
      </c>
      <c r="L222">
        <v>0</v>
      </c>
      <c r="M222">
        <v>0</v>
      </c>
      <c r="N222">
        <v>0.99158758407673553</v>
      </c>
      <c r="O222">
        <v>0</v>
      </c>
      <c r="P222">
        <v>0</v>
      </c>
      <c r="Q222">
        <v>4360.9923607250003</v>
      </c>
      <c r="R222">
        <v>4360.9923607250003</v>
      </c>
      <c r="S222">
        <v>4360.9923607250003</v>
      </c>
    </row>
    <row r="223" spans="1:19" ht="15" x14ac:dyDescent="0.25">
      <c r="A223" t="s">
        <v>2018</v>
      </c>
      <c r="C223" t="s">
        <v>70</v>
      </c>
      <c r="D223" t="s">
        <v>23</v>
      </c>
      <c r="E223" t="s">
        <v>34</v>
      </c>
      <c r="F223" t="s">
        <v>26</v>
      </c>
      <c r="G223">
        <v>60.065324741052613</v>
      </c>
      <c r="H223">
        <v>0.2849068964210526</v>
      </c>
      <c r="I223">
        <v>22.661548799999995</v>
      </c>
      <c r="J223">
        <v>253.80934655999994</v>
      </c>
      <c r="K223">
        <v>0</v>
      </c>
      <c r="L223">
        <v>0</v>
      </c>
      <c r="M223">
        <v>0</v>
      </c>
      <c r="N223">
        <v>0.92919189563274529</v>
      </c>
      <c r="O223">
        <v>0</v>
      </c>
      <c r="P223">
        <v>0</v>
      </c>
      <c r="Q223">
        <v>653098.28041659971</v>
      </c>
      <c r="R223">
        <v>653098.28041659971</v>
      </c>
      <c r="S223">
        <v>653098.28041659971</v>
      </c>
    </row>
    <row r="224" spans="1:19" ht="15" x14ac:dyDescent="0.25">
      <c r="A224" t="s">
        <v>562</v>
      </c>
      <c r="C224" t="s">
        <v>70</v>
      </c>
      <c r="D224" t="s">
        <v>101</v>
      </c>
      <c r="E224" t="s">
        <v>34</v>
      </c>
      <c r="F224" t="s">
        <v>26</v>
      </c>
      <c r="G224">
        <v>2.2409999999999997</v>
      </c>
      <c r="H224">
        <v>5.6999999999999998E-4</v>
      </c>
      <c r="I224">
        <v>0</v>
      </c>
      <c r="J224">
        <v>0.42</v>
      </c>
      <c r="K224">
        <v>0</v>
      </c>
      <c r="L224">
        <v>0</v>
      </c>
      <c r="M224">
        <v>0</v>
      </c>
      <c r="N224">
        <v>0.99234941584726077</v>
      </c>
      <c r="O224">
        <v>0</v>
      </c>
      <c r="P224">
        <v>0</v>
      </c>
      <c r="Q224">
        <v>10675.187737499999</v>
      </c>
      <c r="R224">
        <v>10675.187737499999</v>
      </c>
      <c r="S224">
        <v>10675.187737499999</v>
      </c>
    </row>
    <row r="225" spans="1:19" ht="15" x14ac:dyDescent="0.25">
      <c r="A225" t="s">
        <v>2019</v>
      </c>
      <c r="C225" t="s">
        <v>70</v>
      </c>
      <c r="D225" t="s">
        <v>23</v>
      </c>
      <c r="E225" t="s">
        <v>34</v>
      </c>
      <c r="F225" t="s">
        <v>26</v>
      </c>
      <c r="G225">
        <v>5.4499499999999994</v>
      </c>
      <c r="H225">
        <v>1.7274999999999999E-2</v>
      </c>
      <c r="I225">
        <v>0</v>
      </c>
      <c r="J225">
        <v>14</v>
      </c>
      <c r="K225">
        <v>0</v>
      </c>
      <c r="L225">
        <v>0</v>
      </c>
      <c r="M225">
        <v>0</v>
      </c>
      <c r="N225">
        <v>0.9959283118919845</v>
      </c>
      <c r="O225">
        <v>0</v>
      </c>
      <c r="P225">
        <v>0</v>
      </c>
      <c r="Q225">
        <v>46210.615701249997</v>
      </c>
      <c r="R225">
        <v>46210.615701249997</v>
      </c>
      <c r="S225">
        <v>46210.615701249997</v>
      </c>
    </row>
    <row r="226" spans="1:19" ht="15" x14ac:dyDescent="0.25">
      <c r="A226" t="s">
        <v>567</v>
      </c>
      <c r="C226" t="s">
        <v>70</v>
      </c>
      <c r="D226" t="s">
        <v>23</v>
      </c>
      <c r="E226" t="s">
        <v>34</v>
      </c>
      <c r="F226" t="s">
        <v>26</v>
      </c>
      <c r="G226">
        <v>9.4759999999999991</v>
      </c>
      <c r="H226">
        <v>9.2999999999999992E-3</v>
      </c>
      <c r="I226">
        <v>0</v>
      </c>
      <c r="J226">
        <v>61.6</v>
      </c>
      <c r="K226">
        <v>0</v>
      </c>
      <c r="L226">
        <v>0</v>
      </c>
      <c r="M226">
        <v>0</v>
      </c>
      <c r="N226">
        <v>0.97157434341294746</v>
      </c>
      <c r="O226">
        <v>0</v>
      </c>
      <c r="P226">
        <v>0</v>
      </c>
      <c r="Q226">
        <v>74889.64125499998</v>
      </c>
      <c r="R226">
        <v>74889.64125499998</v>
      </c>
      <c r="S226">
        <v>74889.64125499998</v>
      </c>
    </row>
    <row r="227" spans="1:19" ht="15" x14ac:dyDescent="0.25">
      <c r="A227" t="s">
        <v>1594</v>
      </c>
      <c r="B227" t="s">
        <v>568</v>
      </c>
      <c r="C227" t="s">
        <v>70</v>
      </c>
      <c r="D227" t="s">
        <v>23</v>
      </c>
      <c r="E227" t="s">
        <v>34</v>
      </c>
      <c r="F227" t="s">
        <v>35</v>
      </c>
      <c r="G227">
        <v>14.728999999999999</v>
      </c>
      <c r="H227">
        <v>1.9200000000000002E-2</v>
      </c>
      <c r="I227">
        <v>0</v>
      </c>
      <c r="J227">
        <v>68.319999999999993</v>
      </c>
      <c r="K227">
        <v>0</v>
      </c>
      <c r="L227">
        <v>0</v>
      </c>
      <c r="M227">
        <v>0</v>
      </c>
      <c r="N227">
        <v>0</v>
      </c>
      <c r="O227">
        <v>0</v>
      </c>
      <c r="P227">
        <v>0</v>
      </c>
      <c r="Q227">
        <v>110339.46981199998</v>
      </c>
      <c r="R227">
        <v>110339.46981199998</v>
      </c>
      <c r="S227">
        <v>110339.46981199998</v>
      </c>
    </row>
    <row r="228" spans="1:19" ht="15" x14ac:dyDescent="0.25">
      <c r="A228" t="s">
        <v>572</v>
      </c>
      <c r="C228" t="s">
        <v>70</v>
      </c>
      <c r="D228" t="s">
        <v>23</v>
      </c>
      <c r="E228" t="s">
        <v>34</v>
      </c>
      <c r="F228" t="s">
        <v>26</v>
      </c>
      <c r="G228">
        <v>6.8849999999999998</v>
      </c>
      <c r="H228">
        <v>9.9000000000000008E-3</v>
      </c>
      <c r="I228">
        <v>0</v>
      </c>
      <c r="J228">
        <v>10.5</v>
      </c>
      <c r="K228">
        <v>0</v>
      </c>
      <c r="L228">
        <v>0</v>
      </c>
      <c r="M228">
        <v>0</v>
      </c>
      <c r="N228">
        <v>0.94413602405344621</v>
      </c>
      <c r="O228">
        <v>0</v>
      </c>
      <c r="P228">
        <v>0</v>
      </c>
      <c r="Q228">
        <v>44170.361235000004</v>
      </c>
      <c r="R228">
        <v>44170.361235000004</v>
      </c>
      <c r="S228">
        <v>44170.361235000004</v>
      </c>
    </row>
    <row r="229" spans="1:19" ht="15" x14ac:dyDescent="0.25">
      <c r="A229" t="s">
        <v>574</v>
      </c>
      <c r="C229" t="s">
        <v>70</v>
      </c>
      <c r="D229" t="s">
        <v>23</v>
      </c>
      <c r="E229" t="s">
        <v>34</v>
      </c>
      <c r="F229" t="s">
        <v>26</v>
      </c>
      <c r="G229">
        <v>34.155000000000001</v>
      </c>
      <c r="H229">
        <v>0.13020000000000001</v>
      </c>
      <c r="I229">
        <v>0</v>
      </c>
      <c r="J229">
        <v>297</v>
      </c>
      <c r="K229">
        <v>0</v>
      </c>
      <c r="L229">
        <v>0</v>
      </c>
      <c r="M229">
        <v>0</v>
      </c>
      <c r="N229">
        <v>0.97161076718912276</v>
      </c>
      <c r="O229">
        <v>0</v>
      </c>
      <c r="P229">
        <v>0</v>
      </c>
      <c r="Q229">
        <v>391594.10433</v>
      </c>
      <c r="R229">
        <v>391594.10433</v>
      </c>
      <c r="S229">
        <v>391594.10433</v>
      </c>
    </row>
    <row r="230" spans="1:19" ht="15" x14ac:dyDescent="0.25">
      <c r="A230" t="s">
        <v>2020</v>
      </c>
      <c r="C230" t="s">
        <v>70</v>
      </c>
      <c r="D230" t="s">
        <v>23</v>
      </c>
      <c r="E230" t="s">
        <v>34</v>
      </c>
      <c r="F230" t="s">
        <v>26</v>
      </c>
      <c r="G230">
        <v>3.6740249999999999</v>
      </c>
      <c r="H230">
        <v>6.1215000000000002E-3</v>
      </c>
      <c r="I230">
        <v>0</v>
      </c>
      <c r="J230">
        <v>0</v>
      </c>
      <c r="K230">
        <v>0</v>
      </c>
      <c r="L230">
        <v>0</v>
      </c>
      <c r="M230">
        <v>0</v>
      </c>
      <c r="N230">
        <v>0</v>
      </c>
      <c r="O230">
        <v>0</v>
      </c>
      <c r="P230">
        <v>0</v>
      </c>
      <c r="Q230">
        <v>22206.295050225002</v>
      </c>
      <c r="R230">
        <v>22206.295050225002</v>
      </c>
      <c r="S230">
        <v>22206.295050225002</v>
      </c>
    </row>
    <row r="231" spans="1:19" ht="15" x14ac:dyDescent="0.25">
      <c r="A231" t="s">
        <v>713</v>
      </c>
      <c r="C231" t="s">
        <v>70</v>
      </c>
      <c r="D231" t="s">
        <v>23</v>
      </c>
      <c r="E231" t="s">
        <v>34</v>
      </c>
      <c r="F231" t="s">
        <v>26</v>
      </c>
      <c r="G231">
        <v>0</v>
      </c>
      <c r="H231">
        <v>0</v>
      </c>
      <c r="I231">
        <v>0</v>
      </c>
      <c r="J231">
        <v>0</v>
      </c>
      <c r="K231">
        <v>0</v>
      </c>
      <c r="L231">
        <v>0</v>
      </c>
      <c r="M231">
        <v>0</v>
      </c>
      <c r="N231">
        <v>0</v>
      </c>
      <c r="O231">
        <v>0</v>
      </c>
      <c r="P231">
        <v>0</v>
      </c>
      <c r="Q231">
        <v>0</v>
      </c>
      <c r="R231">
        <v>0</v>
      </c>
      <c r="S231">
        <v>0</v>
      </c>
    </row>
    <row r="232" spans="1:19" ht="15" x14ac:dyDescent="0.25">
      <c r="A232" t="s">
        <v>1171</v>
      </c>
      <c r="C232" t="s">
        <v>70</v>
      </c>
      <c r="D232" t="s">
        <v>23</v>
      </c>
      <c r="E232" t="s">
        <v>24</v>
      </c>
      <c r="F232" t="s">
        <v>35</v>
      </c>
      <c r="G232">
        <v>1.5449999999999999</v>
      </c>
      <c r="H232">
        <v>2.8E-3</v>
      </c>
      <c r="I232">
        <v>1.48</v>
      </c>
      <c r="J232">
        <v>1.6576</v>
      </c>
      <c r="K232">
        <v>0</v>
      </c>
      <c r="L232">
        <v>0</v>
      </c>
      <c r="M232">
        <v>0</v>
      </c>
      <c r="N232">
        <v>0</v>
      </c>
      <c r="O232">
        <v>0</v>
      </c>
      <c r="P232">
        <v>0</v>
      </c>
      <c r="Q232">
        <v>11156.90237376</v>
      </c>
      <c r="R232">
        <v>11156.90237376</v>
      </c>
      <c r="S232">
        <v>11156.90237376</v>
      </c>
    </row>
    <row r="233" spans="1:19" ht="15" x14ac:dyDescent="0.25">
      <c r="A233" t="s">
        <v>1173</v>
      </c>
      <c r="C233" t="s">
        <v>70</v>
      </c>
      <c r="D233" t="s">
        <v>23</v>
      </c>
      <c r="E233" t="s">
        <v>24</v>
      </c>
      <c r="F233" t="s">
        <v>26</v>
      </c>
      <c r="G233">
        <v>7.0039999999999996</v>
      </c>
      <c r="H233">
        <v>4.0500000000000001E-2</v>
      </c>
      <c r="I233">
        <v>0</v>
      </c>
      <c r="J233">
        <v>0</v>
      </c>
      <c r="K233">
        <v>0</v>
      </c>
      <c r="L233">
        <v>0</v>
      </c>
      <c r="M233">
        <v>0</v>
      </c>
      <c r="N233">
        <v>0</v>
      </c>
      <c r="O233">
        <v>0</v>
      </c>
      <c r="P233">
        <v>0</v>
      </c>
      <c r="Q233">
        <v>69963.811775000009</v>
      </c>
      <c r="R233">
        <v>69963.811775000009</v>
      </c>
      <c r="S233">
        <v>69963.811775000009</v>
      </c>
    </row>
    <row r="234" spans="1:19" ht="15" x14ac:dyDescent="0.25">
      <c r="A234" t="s">
        <v>527</v>
      </c>
      <c r="C234" t="s">
        <v>528</v>
      </c>
      <c r="D234" t="s">
        <v>23</v>
      </c>
      <c r="E234" t="s">
        <v>34</v>
      </c>
      <c r="F234" t="s">
        <v>35</v>
      </c>
      <c r="G234">
        <v>390</v>
      </c>
      <c r="H234">
        <v>1</v>
      </c>
      <c r="I234">
        <v>0</v>
      </c>
      <c r="J234">
        <v>0</v>
      </c>
      <c r="K234">
        <v>0</v>
      </c>
      <c r="L234">
        <v>0</v>
      </c>
      <c r="M234">
        <v>0</v>
      </c>
      <c r="N234">
        <v>0</v>
      </c>
      <c r="O234">
        <v>0</v>
      </c>
      <c r="P234">
        <v>0</v>
      </c>
      <c r="Q234">
        <v>2692840.15</v>
      </c>
      <c r="R234">
        <v>2692840.15</v>
      </c>
      <c r="S234">
        <v>2692840.15</v>
      </c>
    </row>
    <row r="235" spans="1:19" ht="15" x14ac:dyDescent="0.25">
      <c r="A235" t="s">
        <v>529</v>
      </c>
      <c r="C235" t="s">
        <v>528</v>
      </c>
      <c r="D235" t="s">
        <v>131</v>
      </c>
      <c r="E235" t="s">
        <v>34</v>
      </c>
      <c r="F235" t="s">
        <v>26</v>
      </c>
      <c r="G235">
        <v>12.15</v>
      </c>
      <c r="H235">
        <v>0.1</v>
      </c>
      <c r="I235">
        <v>0</v>
      </c>
      <c r="J235">
        <v>0</v>
      </c>
      <c r="K235">
        <v>0</v>
      </c>
      <c r="L235">
        <v>0</v>
      </c>
      <c r="M235">
        <v>0</v>
      </c>
      <c r="N235">
        <v>0</v>
      </c>
      <c r="O235">
        <v>0</v>
      </c>
      <c r="P235">
        <v>0</v>
      </c>
      <c r="Q235">
        <v>149874.01</v>
      </c>
      <c r="R235">
        <v>149874.01</v>
      </c>
      <c r="S235">
        <v>149874.01</v>
      </c>
    </row>
    <row r="236" spans="1:19" ht="15" x14ac:dyDescent="0.25">
      <c r="A236" t="s">
        <v>681</v>
      </c>
      <c r="C236" t="s">
        <v>528</v>
      </c>
      <c r="D236" t="s">
        <v>23</v>
      </c>
      <c r="E236" t="s">
        <v>34</v>
      </c>
      <c r="F236" t="s">
        <v>26</v>
      </c>
      <c r="G236">
        <v>137.80000000000001</v>
      </c>
      <c r="H236">
        <v>0</v>
      </c>
      <c r="I236">
        <v>0</v>
      </c>
      <c r="J236">
        <v>0</v>
      </c>
      <c r="K236">
        <v>0</v>
      </c>
      <c r="L236">
        <v>0</v>
      </c>
      <c r="M236">
        <v>0</v>
      </c>
      <c r="N236">
        <v>0</v>
      </c>
      <c r="O236">
        <v>0</v>
      </c>
      <c r="P236">
        <v>0</v>
      </c>
      <c r="Q236">
        <v>612837.94000000006</v>
      </c>
      <c r="R236">
        <v>612837.94000000006</v>
      </c>
      <c r="S236">
        <v>612837.94000000006</v>
      </c>
    </row>
    <row r="237" spans="1:19" ht="15" x14ac:dyDescent="0.25">
      <c r="A237" t="s">
        <v>683</v>
      </c>
      <c r="C237" t="s">
        <v>528</v>
      </c>
      <c r="D237" t="s">
        <v>23</v>
      </c>
      <c r="E237" t="s">
        <v>34</v>
      </c>
      <c r="F237" t="s">
        <v>26</v>
      </c>
      <c r="G237">
        <v>45.9</v>
      </c>
      <c r="H237">
        <v>0</v>
      </c>
      <c r="I237">
        <v>0</v>
      </c>
      <c r="J237">
        <v>0</v>
      </c>
      <c r="K237">
        <v>0</v>
      </c>
      <c r="L237">
        <v>0</v>
      </c>
      <c r="M237">
        <v>0</v>
      </c>
      <c r="N237">
        <v>0</v>
      </c>
      <c r="O237">
        <v>0</v>
      </c>
      <c r="P237">
        <v>0</v>
      </c>
      <c r="Q237">
        <v>204131.07</v>
      </c>
      <c r="R237">
        <v>204131.07</v>
      </c>
      <c r="S237">
        <v>204131.07</v>
      </c>
    </row>
    <row r="238" spans="1:19" ht="15" x14ac:dyDescent="0.25">
      <c r="A238" t="s">
        <v>1054</v>
      </c>
      <c r="C238" t="s">
        <v>528</v>
      </c>
      <c r="D238" t="s">
        <v>23</v>
      </c>
      <c r="E238" t="s">
        <v>34</v>
      </c>
      <c r="F238" t="s">
        <v>26</v>
      </c>
      <c r="G238">
        <v>212.16</v>
      </c>
      <c r="H238">
        <v>0.59</v>
      </c>
      <c r="I238">
        <v>0</v>
      </c>
      <c r="J238">
        <v>0</v>
      </c>
      <c r="K238">
        <v>0</v>
      </c>
      <c r="L238">
        <v>0</v>
      </c>
      <c r="M238">
        <v>0</v>
      </c>
      <c r="N238">
        <v>0</v>
      </c>
      <c r="O238">
        <v>0</v>
      </c>
      <c r="P238">
        <v>0</v>
      </c>
      <c r="Q238">
        <v>1508991.1265</v>
      </c>
      <c r="R238">
        <v>1508991.1265</v>
      </c>
      <c r="S238">
        <v>1508991.1265</v>
      </c>
    </row>
    <row r="239" spans="1:19" ht="15" x14ac:dyDescent="0.25">
      <c r="A239" t="s">
        <v>185</v>
      </c>
      <c r="C239" t="s">
        <v>186</v>
      </c>
      <c r="D239" t="s">
        <v>131</v>
      </c>
      <c r="E239" t="s">
        <v>34</v>
      </c>
      <c r="F239" t="s">
        <v>26</v>
      </c>
      <c r="G239">
        <v>0</v>
      </c>
      <c r="H239">
        <v>0</v>
      </c>
      <c r="I239">
        <v>0</v>
      </c>
      <c r="J239">
        <v>0</v>
      </c>
      <c r="K239">
        <v>0</v>
      </c>
      <c r="L239">
        <v>0</v>
      </c>
      <c r="M239">
        <v>0</v>
      </c>
      <c r="N239">
        <v>0</v>
      </c>
      <c r="O239">
        <v>0</v>
      </c>
      <c r="P239">
        <v>0</v>
      </c>
      <c r="Q239">
        <v>0</v>
      </c>
      <c r="R239">
        <v>0</v>
      </c>
      <c r="S239">
        <v>0</v>
      </c>
    </row>
    <row r="240" spans="1:19" ht="15" x14ac:dyDescent="0.25">
      <c r="A240" t="s">
        <v>2006</v>
      </c>
      <c r="C240" t="s">
        <v>186</v>
      </c>
      <c r="D240" t="s">
        <v>131</v>
      </c>
      <c r="F240" t="s">
        <v>26</v>
      </c>
      <c r="G240">
        <v>0</v>
      </c>
      <c r="H240">
        <v>0</v>
      </c>
      <c r="I240">
        <v>0</v>
      </c>
      <c r="J240">
        <v>0</v>
      </c>
      <c r="K240">
        <v>0</v>
      </c>
      <c r="L240">
        <v>0</v>
      </c>
      <c r="M240">
        <v>0</v>
      </c>
      <c r="N240">
        <v>0</v>
      </c>
      <c r="O240">
        <v>0</v>
      </c>
      <c r="P240">
        <v>0</v>
      </c>
      <c r="Q240">
        <v>0</v>
      </c>
      <c r="R240">
        <v>0</v>
      </c>
      <c r="S240">
        <v>0</v>
      </c>
    </row>
    <row r="241" spans="1:19" ht="15" x14ac:dyDescent="0.25">
      <c r="A241" t="s">
        <v>974</v>
      </c>
      <c r="C241" t="s">
        <v>186</v>
      </c>
      <c r="D241" t="s">
        <v>131</v>
      </c>
      <c r="E241" t="s">
        <v>34</v>
      </c>
      <c r="F241" t="s">
        <v>26</v>
      </c>
      <c r="G241">
        <v>86.666666666666671</v>
      </c>
      <c r="H241">
        <v>0.33333333333333331</v>
      </c>
      <c r="I241">
        <v>0</v>
      </c>
      <c r="J241">
        <v>2240</v>
      </c>
      <c r="K241">
        <v>0</v>
      </c>
      <c r="L241">
        <v>0</v>
      </c>
      <c r="M241">
        <v>0</v>
      </c>
      <c r="N241">
        <v>0</v>
      </c>
      <c r="O241">
        <v>0</v>
      </c>
      <c r="P241">
        <v>0</v>
      </c>
      <c r="Q241">
        <v>1571586.8740000001</v>
      </c>
      <c r="R241">
        <v>1571586.8740000001</v>
      </c>
      <c r="S241">
        <v>1571586.8740000001</v>
      </c>
    </row>
    <row r="242" spans="1:19" ht="15" x14ac:dyDescent="0.25">
      <c r="A242" t="s">
        <v>2009</v>
      </c>
      <c r="C242" t="s">
        <v>186</v>
      </c>
      <c r="D242" t="s">
        <v>131</v>
      </c>
      <c r="F242" t="s">
        <v>26</v>
      </c>
      <c r="G242">
        <v>0</v>
      </c>
      <c r="H242">
        <v>0</v>
      </c>
      <c r="I242">
        <v>0</v>
      </c>
      <c r="J242">
        <v>0</v>
      </c>
      <c r="K242">
        <v>0</v>
      </c>
      <c r="L242">
        <v>0</v>
      </c>
      <c r="M242">
        <v>0</v>
      </c>
      <c r="N242">
        <v>0</v>
      </c>
      <c r="O242">
        <v>0</v>
      </c>
      <c r="P242">
        <v>0</v>
      </c>
      <c r="Q242">
        <v>0</v>
      </c>
      <c r="R242">
        <v>0</v>
      </c>
      <c r="S242">
        <v>0</v>
      </c>
    </row>
    <row r="243" spans="1:19" ht="15" x14ac:dyDescent="0.25">
      <c r="A243" t="s">
        <v>2010</v>
      </c>
      <c r="C243" t="s">
        <v>186</v>
      </c>
      <c r="D243" t="s">
        <v>131</v>
      </c>
      <c r="F243" t="s">
        <v>26</v>
      </c>
      <c r="G243">
        <v>0</v>
      </c>
      <c r="H243">
        <v>0</v>
      </c>
      <c r="I243">
        <v>0</v>
      </c>
      <c r="J243">
        <v>0</v>
      </c>
      <c r="K243">
        <v>0</v>
      </c>
      <c r="L243">
        <v>0</v>
      </c>
      <c r="M243">
        <v>0</v>
      </c>
      <c r="N243">
        <v>0</v>
      </c>
      <c r="O243">
        <v>0</v>
      </c>
      <c r="P243">
        <v>0</v>
      </c>
      <c r="Q243">
        <v>0</v>
      </c>
      <c r="R243">
        <v>0</v>
      </c>
      <c r="S243">
        <v>0</v>
      </c>
    </row>
    <row r="244" spans="1:19" ht="15" x14ac:dyDescent="0.25">
      <c r="A244" t="s">
        <v>328</v>
      </c>
      <c r="C244" t="s">
        <v>186</v>
      </c>
      <c r="D244" t="s">
        <v>131</v>
      </c>
      <c r="F244" t="s">
        <v>26</v>
      </c>
      <c r="G244">
        <v>0</v>
      </c>
      <c r="H244">
        <v>0</v>
      </c>
      <c r="I244">
        <v>0</v>
      </c>
      <c r="J244">
        <v>0</v>
      </c>
      <c r="K244">
        <v>0</v>
      </c>
      <c r="L244">
        <v>0</v>
      </c>
      <c r="M244">
        <v>0</v>
      </c>
      <c r="N244">
        <v>0</v>
      </c>
      <c r="O244">
        <v>0</v>
      </c>
      <c r="P244">
        <v>0</v>
      </c>
      <c r="Q244">
        <v>0</v>
      </c>
      <c r="R244">
        <v>0</v>
      </c>
      <c r="S244">
        <v>0</v>
      </c>
    </row>
    <row r="245" spans="1:19" ht="15" x14ac:dyDescent="0.25">
      <c r="A245" t="s">
        <v>970</v>
      </c>
      <c r="C245" t="s">
        <v>186</v>
      </c>
      <c r="D245" t="s">
        <v>23</v>
      </c>
      <c r="E245" t="s">
        <v>34</v>
      </c>
      <c r="F245" t="s">
        <v>26</v>
      </c>
      <c r="G245">
        <v>49.004999999999995</v>
      </c>
      <c r="H245">
        <v>0.09</v>
      </c>
      <c r="I245">
        <v>0</v>
      </c>
      <c r="J245">
        <v>1536</v>
      </c>
      <c r="K245">
        <v>0</v>
      </c>
      <c r="L245">
        <v>0</v>
      </c>
      <c r="M245">
        <v>0</v>
      </c>
      <c r="N245">
        <v>0</v>
      </c>
      <c r="O245">
        <v>0</v>
      </c>
      <c r="P245">
        <v>0</v>
      </c>
      <c r="Q245">
        <v>898496.91359999997</v>
      </c>
      <c r="R245">
        <v>898496.91359999997</v>
      </c>
      <c r="S245">
        <v>898496.91359999997</v>
      </c>
    </row>
    <row r="246" spans="1:19" ht="15" x14ac:dyDescent="0.25">
      <c r="A246" t="s">
        <v>505</v>
      </c>
      <c r="C246" t="s">
        <v>186</v>
      </c>
      <c r="D246" t="s">
        <v>131</v>
      </c>
      <c r="E246" t="s">
        <v>24</v>
      </c>
      <c r="F246" t="s">
        <v>26</v>
      </c>
      <c r="G246">
        <v>0</v>
      </c>
      <c r="H246">
        <v>0</v>
      </c>
      <c r="I246">
        <v>0</v>
      </c>
      <c r="J246">
        <v>0</v>
      </c>
      <c r="K246">
        <v>0</v>
      </c>
      <c r="L246">
        <v>0</v>
      </c>
      <c r="M246">
        <v>0</v>
      </c>
      <c r="N246">
        <v>0</v>
      </c>
      <c r="O246">
        <v>0</v>
      </c>
      <c r="P246">
        <v>0</v>
      </c>
      <c r="Q246">
        <v>0</v>
      </c>
      <c r="R246">
        <v>0</v>
      </c>
      <c r="S246">
        <v>0</v>
      </c>
    </row>
    <row r="247" spans="1:19" ht="15" x14ac:dyDescent="0.25">
      <c r="A247" t="s">
        <v>508</v>
      </c>
      <c r="C247" t="s">
        <v>186</v>
      </c>
      <c r="D247" t="s">
        <v>23</v>
      </c>
      <c r="E247" t="s">
        <v>34</v>
      </c>
      <c r="F247" t="s">
        <v>26</v>
      </c>
      <c r="G247">
        <v>50</v>
      </c>
      <c r="H247">
        <v>0.25</v>
      </c>
      <c r="I247">
        <v>0</v>
      </c>
      <c r="J247">
        <v>2500</v>
      </c>
      <c r="K247">
        <v>0</v>
      </c>
      <c r="L247">
        <v>0</v>
      </c>
      <c r="M247">
        <v>0</v>
      </c>
      <c r="N247">
        <v>0</v>
      </c>
      <c r="O247">
        <v>0</v>
      </c>
      <c r="P247">
        <v>0</v>
      </c>
      <c r="Q247">
        <v>1429251.0375000001</v>
      </c>
      <c r="R247">
        <v>1429251.0375000001</v>
      </c>
      <c r="S247">
        <v>1429251.0375000001</v>
      </c>
    </row>
    <row r="248" spans="1:19" ht="15" x14ac:dyDescent="0.25">
      <c r="A248" t="s">
        <v>509</v>
      </c>
      <c r="C248" t="s">
        <v>186</v>
      </c>
      <c r="D248" t="s">
        <v>23</v>
      </c>
      <c r="E248" t="s">
        <v>34</v>
      </c>
      <c r="F248" t="s">
        <v>26</v>
      </c>
      <c r="G248">
        <v>91</v>
      </c>
      <c r="H248">
        <v>0.3</v>
      </c>
      <c r="I248">
        <v>0</v>
      </c>
      <c r="J248">
        <v>2880</v>
      </c>
      <c r="K248">
        <v>0</v>
      </c>
      <c r="L248">
        <v>0</v>
      </c>
      <c r="M248">
        <v>0</v>
      </c>
      <c r="N248">
        <v>0</v>
      </c>
      <c r="O248">
        <v>0</v>
      </c>
      <c r="P248">
        <v>0</v>
      </c>
      <c r="Q248">
        <v>1806537.733</v>
      </c>
      <c r="R248">
        <v>1806537.733</v>
      </c>
      <c r="S248">
        <v>1806537.733</v>
      </c>
    </row>
    <row r="249" spans="1:19" ht="15" x14ac:dyDescent="0.25">
      <c r="A249" t="s">
        <v>2014</v>
      </c>
      <c r="C249" t="s">
        <v>186</v>
      </c>
      <c r="D249" t="s">
        <v>131</v>
      </c>
      <c r="E249" t="s">
        <v>24</v>
      </c>
      <c r="F249" t="s">
        <v>26</v>
      </c>
      <c r="G249">
        <v>130</v>
      </c>
      <c r="H249">
        <v>0.54</v>
      </c>
      <c r="I249">
        <v>0</v>
      </c>
      <c r="J249">
        <v>0</v>
      </c>
      <c r="K249">
        <v>0</v>
      </c>
      <c r="L249">
        <v>0</v>
      </c>
      <c r="M249">
        <v>0</v>
      </c>
      <c r="N249">
        <v>0</v>
      </c>
      <c r="O249">
        <v>0</v>
      </c>
      <c r="P249">
        <v>0</v>
      </c>
      <c r="Q249">
        <v>1095681.301</v>
      </c>
      <c r="R249">
        <v>1095681.301</v>
      </c>
      <c r="S249">
        <v>1095681.301</v>
      </c>
    </row>
    <row r="250" spans="1:19" ht="15" x14ac:dyDescent="0.25">
      <c r="A250" t="s">
        <v>980</v>
      </c>
      <c r="C250" t="s">
        <v>139</v>
      </c>
      <c r="D250" t="s">
        <v>23</v>
      </c>
      <c r="E250" t="s">
        <v>34</v>
      </c>
      <c r="F250" t="s">
        <v>26</v>
      </c>
      <c r="G250">
        <v>0</v>
      </c>
      <c r="H250">
        <v>0</v>
      </c>
      <c r="I250">
        <v>0</v>
      </c>
      <c r="J250">
        <v>0</v>
      </c>
      <c r="K250">
        <v>0</v>
      </c>
      <c r="L250">
        <v>0</v>
      </c>
      <c r="M250">
        <v>0</v>
      </c>
      <c r="N250">
        <v>0</v>
      </c>
      <c r="O250">
        <v>0</v>
      </c>
      <c r="P250">
        <v>0</v>
      </c>
      <c r="Q250">
        <v>0</v>
      </c>
      <c r="R250">
        <v>0</v>
      </c>
      <c r="S250">
        <v>0</v>
      </c>
    </row>
    <row r="251" spans="1:19" ht="15" x14ac:dyDescent="0.25">
      <c r="A251" t="s">
        <v>984</v>
      </c>
      <c r="C251" t="s">
        <v>139</v>
      </c>
      <c r="D251" t="s">
        <v>23</v>
      </c>
      <c r="E251" t="s">
        <v>34</v>
      </c>
      <c r="F251" t="s">
        <v>26</v>
      </c>
      <c r="G251">
        <v>0</v>
      </c>
      <c r="H251">
        <v>0</v>
      </c>
      <c r="I251">
        <v>0</v>
      </c>
      <c r="J251">
        <v>0</v>
      </c>
      <c r="K251">
        <v>0</v>
      </c>
      <c r="L251">
        <v>0</v>
      </c>
      <c r="M251">
        <v>0</v>
      </c>
      <c r="N251">
        <v>0</v>
      </c>
      <c r="O251">
        <v>0</v>
      </c>
      <c r="P251">
        <v>0</v>
      </c>
      <c r="Q251">
        <v>0</v>
      </c>
      <c r="R251">
        <v>0</v>
      </c>
      <c r="S251">
        <v>0</v>
      </c>
    </row>
    <row r="252" spans="1:19" ht="15" x14ac:dyDescent="0.25">
      <c r="A252" t="s">
        <v>977</v>
      </c>
      <c r="C252" t="s">
        <v>139</v>
      </c>
      <c r="D252" t="s">
        <v>131</v>
      </c>
      <c r="F252" t="s">
        <v>26</v>
      </c>
      <c r="G252">
        <v>0</v>
      </c>
      <c r="H252">
        <v>0</v>
      </c>
      <c r="I252">
        <v>0</v>
      </c>
      <c r="J252">
        <v>0</v>
      </c>
      <c r="K252">
        <v>0</v>
      </c>
      <c r="L252">
        <v>0</v>
      </c>
      <c r="M252">
        <v>0</v>
      </c>
      <c r="N252">
        <v>0</v>
      </c>
      <c r="O252">
        <v>0</v>
      </c>
      <c r="P252">
        <v>0</v>
      </c>
      <c r="Q252">
        <v>0</v>
      </c>
      <c r="R252">
        <v>0</v>
      </c>
      <c r="S252">
        <v>0</v>
      </c>
    </row>
    <row r="253" spans="1:19" ht="15" x14ac:dyDescent="0.25">
      <c r="A253" t="s">
        <v>1584</v>
      </c>
      <c r="B253" t="s">
        <v>1471</v>
      </c>
      <c r="C253" t="s">
        <v>139</v>
      </c>
      <c r="D253" t="s">
        <v>23</v>
      </c>
      <c r="E253" t="s">
        <v>34</v>
      </c>
      <c r="F253" t="s">
        <v>35</v>
      </c>
      <c r="G253">
        <v>0</v>
      </c>
      <c r="H253">
        <v>0</v>
      </c>
      <c r="I253">
        <v>0</v>
      </c>
      <c r="J253">
        <v>0</v>
      </c>
      <c r="K253">
        <v>0</v>
      </c>
      <c r="L253">
        <v>0</v>
      </c>
      <c r="M253">
        <v>0</v>
      </c>
      <c r="N253">
        <v>0</v>
      </c>
      <c r="O253">
        <v>0</v>
      </c>
      <c r="P253">
        <v>0</v>
      </c>
      <c r="Q253">
        <v>0</v>
      </c>
      <c r="R253">
        <v>0</v>
      </c>
      <c r="S253">
        <v>0</v>
      </c>
    </row>
    <row r="254" spans="1:19" ht="15" x14ac:dyDescent="0.25">
      <c r="A254" t="s">
        <v>1586</v>
      </c>
      <c r="B254" t="s">
        <v>1474</v>
      </c>
      <c r="C254" t="s">
        <v>139</v>
      </c>
      <c r="D254" t="s">
        <v>23</v>
      </c>
      <c r="E254" t="s">
        <v>34</v>
      </c>
      <c r="F254" t="s">
        <v>35</v>
      </c>
      <c r="G254">
        <v>0</v>
      </c>
      <c r="H254">
        <v>0</v>
      </c>
      <c r="I254">
        <v>0</v>
      </c>
      <c r="J254">
        <v>0</v>
      </c>
      <c r="K254">
        <v>0</v>
      </c>
      <c r="L254">
        <v>0</v>
      </c>
      <c r="M254">
        <v>0</v>
      </c>
      <c r="N254">
        <v>0</v>
      </c>
      <c r="O254">
        <v>0</v>
      </c>
      <c r="P254">
        <v>0</v>
      </c>
      <c r="Q254">
        <v>0</v>
      </c>
      <c r="R254">
        <v>0</v>
      </c>
      <c r="S254">
        <v>0</v>
      </c>
    </row>
    <row r="255" spans="1:19" ht="15" x14ac:dyDescent="0.25">
      <c r="A255" t="s">
        <v>965</v>
      </c>
      <c r="C255" t="s">
        <v>139</v>
      </c>
      <c r="D255" t="s">
        <v>23</v>
      </c>
      <c r="E255" t="s">
        <v>34</v>
      </c>
      <c r="F255" t="s">
        <v>35</v>
      </c>
      <c r="G255">
        <v>0</v>
      </c>
      <c r="H255">
        <v>0</v>
      </c>
      <c r="I255">
        <v>0</v>
      </c>
      <c r="J255">
        <v>0</v>
      </c>
      <c r="K255">
        <v>0</v>
      </c>
      <c r="L255">
        <v>0</v>
      </c>
      <c r="M255">
        <v>0</v>
      </c>
      <c r="N255">
        <v>0</v>
      </c>
      <c r="O255">
        <v>0</v>
      </c>
      <c r="P255">
        <v>0</v>
      </c>
      <c r="Q255">
        <v>0</v>
      </c>
      <c r="R255">
        <v>0</v>
      </c>
      <c r="S255">
        <v>0</v>
      </c>
    </row>
    <row r="256" spans="1:19" ht="15" x14ac:dyDescent="0.25">
      <c r="A256" t="s">
        <v>512</v>
      </c>
      <c r="C256" t="s">
        <v>139</v>
      </c>
      <c r="D256" t="s">
        <v>23</v>
      </c>
      <c r="E256" t="s">
        <v>34</v>
      </c>
      <c r="F256" t="s">
        <v>26</v>
      </c>
      <c r="G256">
        <v>117</v>
      </c>
      <c r="H256">
        <v>4.3600000000000003</v>
      </c>
      <c r="I256">
        <v>0</v>
      </c>
      <c r="J256">
        <v>297</v>
      </c>
      <c r="K256">
        <v>0</v>
      </c>
      <c r="L256">
        <v>0</v>
      </c>
      <c r="M256">
        <v>0</v>
      </c>
      <c r="N256">
        <v>0</v>
      </c>
      <c r="O256">
        <v>0</v>
      </c>
      <c r="P256">
        <v>0</v>
      </c>
      <c r="Q256">
        <v>4813842.0186999999</v>
      </c>
      <c r="R256">
        <v>4813842.0186999999</v>
      </c>
      <c r="S256">
        <v>4813842.0186999999</v>
      </c>
    </row>
    <row r="257" spans="1:19" ht="15" x14ac:dyDescent="0.25">
      <c r="A257" t="s">
        <v>522</v>
      </c>
      <c r="C257" t="s">
        <v>139</v>
      </c>
      <c r="D257" t="s">
        <v>131</v>
      </c>
      <c r="E257" t="s">
        <v>34</v>
      </c>
      <c r="F257" t="s">
        <v>26</v>
      </c>
      <c r="G257">
        <v>840.25</v>
      </c>
      <c r="H257">
        <v>1.3444</v>
      </c>
      <c r="I257">
        <v>0</v>
      </c>
      <c r="J257">
        <v>5142.33</v>
      </c>
      <c r="K257">
        <v>0</v>
      </c>
      <c r="L257">
        <v>0</v>
      </c>
      <c r="M257">
        <v>0</v>
      </c>
      <c r="N257">
        <v>0</v>
      </c>
      <c r="O257">
        <v>0</v>
      </c>
      <c r="P257">
        <v>0</v>
      </c>
      <c r="Q257">
        <v>7014952.7020430006</v>
      </c>
      <c r="R257">
        <v>7014952.7020430006</v>
      </c>
      <c r="S257">
        <v>7014952.7020430006</v>
      </c>
    </row>
    <row r="258" spans="1:19" ht="15" x14ac:dyDescent="0.25">
      <c r="A258" t="s">
        <v>678</v>
      </c>
      <c r="C258" t="s">
        <v>139</v>
      </c>
      <c r="D258" t="s">
        <v>23</v>
      </c>
      <c r="E258" t="s">
        <v>34</v>
      </c>
      <c r="F258" t="s">
        <v>35</v>
      </c>
      <c r="G258">
        <v>862.65666666666675</v>
      </c>
      <c r="H258">
        <v>3.5850666666666671</v>
      </c>
      <c r="I258">
        <v>441.14245333333338</v>
      </c>
      <c r="J258">
        <v>3216.091605333334</v>
      </c>
      <c r="K258">
        <v>0</v>
      </c>
      <c r="L258">
        <v>0</v>
      </c>
      <c r="M258">
        <v>0</v>
      </c>
      <c r="N258">
        <v>0</v>
      </c>
      <c r="O258">
        <v>0</v>
      </c>
      <c r="P258">
        <v>0</v>
      </c>
      <c r="Q258">
        <v>8803187.0879556052</v>
      </c>
      <c r="R258">
        <v>8803187.0879556052</v>
      </c>
      <c r="S258">
        <v>8803187.0879556052</v>
      </c>
    </row>
    <row r="259" spans="1:19" ht="15" x14ac:dyDescent="0.25">
      <c r="A259" t="s">
        <v>81</v>
      </c>
      <c r="C259" t="s">
        <v>139</v>
      </c>
      <c r="D259" t="s">
        <v>23</v>
      </c>
      <c r="E259" t="s">
        <v>34</v>
      </c>
      <c r="F259" t="s">
        <v>26</v>
      </c>
      <c r="G259">
        <v>0</v>
      </c>
      <c r="H259">
        <v>0</v>
      </c>
      <c r="I259">
        <v>0</v>
      </c>
      <c r="J259">
        <v>0</v>
      </c>
      <c r="K259">
        <v>0</v>
      </c>
      <c r="L259">
        <v>0</v>
      </c>
      <c r="M259">
        <v>0</v>
      </c>
      <c r="N259">
        <v>0.92607505009624835</v>
      </c>
      <c r="O259">
        <v>0</v>
      </c>
      <c r="P259">
        <v>0</v>
      </c>
      <c r="Q259">
        <v>0</v>
      </c>
      <c r="R259">
        <v>0</v>
      </c>
      <c r="S259">
        <v>0</v>
      </c>
    </row>
    <row r="260" spans="1:19" ht="15" x14ac:dyDescent="0.25">
      <c r="A260" t="s">
        <v>668</v>
      </c>
      <c r="C260" t="s">
        <v>139</v>
      </c>
      <c r="D260" t="s">
        <v>23</v>
      </c>
      <c r="E260" t="s">
        <v>34</v>
      </c>
      <c r="F260" t="s">
        <v>26</v>
      </c>
      <c r="G260">
        <v>0</v>
      </c>
      <c r="H260">
        <v>0</v>
      </c>
      <c r="I260">
        <v>0</v>
      </c>
      <c r="J260">
        <v>0</v>
      </c>
      <c r="K260">
        <v>0</v>
      </c>
      <c r="L260">
        <v>0</v>
      </c>
      <c r="M260">
        <v>0</v>
      </c>
      <c r="N260">
        <v>0.99521150159009719</v>
      </c>
      <c r="O260">
        <v>0</v>
      </c>
      <c r="P260">
        <v>0</v>
      </c>
      <c r="Q260">
        <v>0</v>
      </c>
      <c r="R260">
        <v>0</v>
      </c>
      <c r="S260">
        <v>0</v>
      </c>
    </row>
    <row r="261" spans="1:19" ht="15" x14ac:dyDescent="0.25">
      <c r="A261" t="s">
        <v>680</v>
      </c>
      <c r="C261" t="s">
        <v>139</v>
      </c>
      <c r="D261" t="s">
        <v>23</v>
      </c>
      <c r="E261" t="s">
        <v>34</v>
      </c>
      <c r="F261" t="s">
        <v>26</v>
      </c>
      <c r="G261">
        <v>0</v>
      </c>
      <c r="H261">
        <v>0</v>
      </c>
      <c r="I261">
        <v>0</v>
      </c>
      <c r="J261">
        <v>0</v>
      </c>
      <c r="K261">
        <v>0</v>
      </c>
      <c r="L261">
        <v>0</v>
      </c>
      <c r="M261">
        <v>0</v>
      </c>
      <c r="N261">
        <v>0.78662786106655347</v>
      </c>
      <c r="O261">
        <v>0</v>
      </c>
      <c r="P261">
        <v>0</v>
      </c>
      <c r="Q261">
        <v>0</v>
      </c>
      <c r="R261">
        <v>0</v>
      </c>
      <c r="S261">
        <v>0</v>
      </c>
    </row>
    <row r="262" spans="1:19" ht="15" x14ac:dyDescent="0.25">
      <c r="A262" t="s">
        <v>596</v>
      </c>
      <c r="C262" t="s">
        <v>139</v>
      </c>
      <c r="D262" t="s">
        <v>23</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626</v>
      </c>
      <c r="C263" t="s">
        <v>139</v>
      </c>
      <c r="D263" t="s">
        <v>23</v>
      </c>
      <c r="E263" t="s">
        <v>34</v>
      </c>
      <c r="F263" t="s">
        <v>26</v>
      </c>
      <c r="G263">
        <v>0</v>
      </c>
      <c r="H263">
        <v>0</v>
      </c>
      <c r="I263">
        <v>0</v>
      </c>
      <c r="J263">
        <v>0</v>
      </c>
      <c r="K263">
        <v>0</v>
      </c>
      <c r="L263">
        <v>0</v>
      </c>
      <c r="M263">
        <v>0</v>
      </c>
      <c r="N263">
        <v>0.90846401606870619</v>
      </c>
      <c r="O263">
        <v>0</v>
      </c>
      <c r="P263">
        <v>0</v>
      </c>
      <c r="Q263">
        <v>0</v>
      </c>
      <c r="R263">
        <v>0</v>
      </c>
      <c r="S263">
        <v>0</v>
      </c>
    </row>
    <row r="264" spans="1:19" ht="15" x14ac:dyDescent="0.25">
      <c r="A264" t="s">
        <v>600</v>
      </c>
      <c r="C264" t="s">
        <v>139</v>
      </c>
      <c r="D264" t="s">
        <v>23</v>
      </c>
      <c r="E264" t="s">
        <v>34</v>
      </c>
      <c r="F264" t="s">
        <v>26</v>
      </c>
      <c r="G264">
        <v>0</v>
      </c>
      <c r="H264">
        <v>0</v>
      </c>
      <c r="I264">
        <v>0</v>
      </c>
      <c r="J264">
        <v>0</v>
      </c>
      <c r="K264">
        <v>0</v>
      </c>
      <c r="L264">
        <v>0</v>
      </c>
      <c r="M264">
        <v>0</v>
      </c>
      <c r="N264">
        <v>0.90846401606870619</v>
      </c>
      <c r="O264">
        <v>0</v>
      </c>
      <c r="P264">
        <v>0</v>
      </c>
      <c r="Q264">
        <v>0</v>
      </c>
      <c r="R264">
        <v>0</v>
      </c>
      <c r="S264">
        <v>0</v>
      </c>
    </row>
    <row r="265" spans="1:19" ht="15" x14ac:dyDescent="0.25">
      <c r="A265" t="s">
        <v>627</v>
      </c>
      <c r="C265" t="s">
        <v>139</v>
      </c>
      <c r="D265" t="s">
        <v>23</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586</v>
      </c>
      <c r="C266" t="s">
        <v>139</v>
      </c>
      <c r="D266" t="s">
        <v>23</v>
      </c>
      <c r="E266" t="s">
        <v>34</v>
      </c>
      <c r="F266" t="s">
        <v>26</v>
      </c>
      <c r="G266">
        <v>0</v>
      </c>
      <c r="H266">
        <v>0</v>
      </c>
      <c r="I266">
        <v>0</v>
      </c>
      <c r="J266">
        <v>0</v>
      </c>
      <c r="K266">
        <v>0</v>
      </c>
      <c r="L266">
        <v>0</v>
      </c>
      <c r="M266">
        <v>0</v>
      </c>
      <c r="N266">
        <v>0.90846401606870619</v>
      </c>
      <c r="O266">
        <v>0</v>
      </c>
      <c r="P266">
        <v>0</v>
      </c>
      <c r="Q266">
        <v>0</v>
      </c>
      <c r="R266">
        <v>0</v>
      </c>
      <c r="S266">
        <v>0</v>
      </c>
    </row>
    <row r="267" spans="1:19" ht="15" x14ac:dyDescent="0.25">
      <c r="A267" t="s">
        <v>590</v>
      </c>
      <c r="C267" t="s">
        <v>139</v>
      </c>
      <c r="D267" t="s">
        <v>23</v>
      </c>
      <c r="E267" t="s">
        <v>34</v>
      </c>
      <c r="F267" t="s">
        <v>26</v>
      </c>
      <c r="G267">
        <v>0</v>
      </c>
      <c r="H267">
        <v>0</v>
      </c>
      <c r="I267">
        <v>0</v>
      </c>
      <c r="J267">
        <v>0</v>
      </c>
      <c r="K267">
        <v>0</v>
      </c>
      <c r="L267">
        <v>0</v>
      </c>
      <c r="M267">
        <v>0</v>
      </c>
      <c r="N267">
        <v>0.90846401606870619</v>
      </c>
      <c r="O267">
        <v>0</v>
      </c>
      <c r="P267">
        <v>0</v>
      </c>
      <c r="Q267">
        <v>0</v>
      </c>
      <c r="R267">
        <v>0</v>
      </c>
      <c r="S267">
        <v>0</v>
      </c>
    </row>
    <row r="268" spans="1:19" ht="15" x14ac:dyDescent="0.25">
      <c r="A268" t="s">
        <v>591</v>
      </c>
      <c r="C268" t="s">
        <v>139</v>
      </c>
      <c r="D268" t="s">
        <v>23</v>
      </c>
      <c r="E268" t="s">
        <v>34</v>
      </c>
      <c r="F268" t="s">
        <v>26</v>
      </c>
      <c r="G268">
        <v>0</v>
      </c>
      <c r="H268">
        <v>0</v>
      </c>
      <c r="I268">
        <v>0</v>
      </c>
      <c r="J268">
        <v>0</v>
      </c>
      <c r="K268">
        <v>0</v>
      </c>
      <c r="L268">
        <v>0</v>
      </c>
      <c r="M268">
        <v>0</v>
      </c>
      <c r="N268">
        <v>0.94402748291783567</v>
      </c>
      <c r="O268">
        <v>0</v>
      </c>
      <c r="P268">
        <v>0</v>
      </c>
      <c r="Q268">
        <v>0</v>
      </c>
      <c r="R268">
        <v>0</v>
      </c>
      <c r="S268">
        <v>0</v>
      </c>
    </row>
    <row r="269" spans="1:19" ht="15" x14ac:dyDescent="0.25">
      <c r="A269" t="s">
        <v>618</v>
      </c>
      <c r="C269" t="s">
        <v>139</v>
      </c>
      <c r="D269" t="s">
        <v>23</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699</v>
      </c>
      <c r="B270" t="s">
        <v>1484</v>
      </c>
      <c r="C270" t="s">
        <v>139</v>
      </c>
      <c r="D270" t="s">
        <v>23</v>
      </c>
      <c r="E270" t="s">
        <v>34</v>
      </c>
      <c r="F270" t="s">
        <v>35</v>
      </c>
      <c r="G270">
        <v>268.88000000000005</v>
      </c>
      <c r="H270">
        <v>0.89626666666666677</v>
      </c>
      <c r="I270">
        <v>0</v>
      </c>
      <c r="J270">
        <v>4302.0800000000008</v>
      </c>
      <c r="K270">
        <v>0</v>
      </c>
      <c r="L270">
        <v>0</v>
      </c>
      <c r="M270">
        <v>0</v>
      </c>
      <c r="N270">
        <v>0</v>
      </c>
      <c r="O270">
        <v>0</v>
      </c>
      <c r="P270">
        <v>0</v>
      </c>
      <c r="Q270">
        <v>3719305.5713146674</v>
      </c>
      <c r="R270">
        <v>3719305.5713146674</v>
      </c>
      <c r="S270">
        <v>3719305.5713146674</v>
      </c>
    </row>
    <row r="271" spans="1:19" ht="15" x14ac:dyDescent="0.25">
      <c r="A271" t="s">
        <v>1600</v>
      </c>
      <c r="B271" t="s">
        <v>1488</v>
      </c>
      <c r="C271" t="s">
        <v>139</v>
      </c>
      <c r="D271" t="s">
        <v>23</v>
      </c>
      <c r="E271" t="s">
        <v>34</v>
      </c>
      <c r="F271" t="s">
        <v>35</v>
      </c>
      <c r="G271">
        <v>0</v>
      </c>
      <c r="H271">
        <v>0</v>
      </c>
      <c r="I271">
        <v>0</v>
      </c>
      <c r="J271">
        <v>0</v>
      </c>
      <c r="K271">
        <v>0</v>
      </c>
      <c r="L271">
        <v>0</v>
      </c>
      <c r="M271">
        <v>0</v>
      </c>
      <c r="N271">
        <v>0</v>
      </c>
      <c r="O271">
        <v>0</v>
      </c>
      <c r="P271">
        <v>0</v>
      </c>
      <c r="Q271">
        <v>0</v>
      </c>
      <c r="R271">
        <v>0</v>
      </c>
      <c r="S271">
        <v>0</v>
      </c>
    </row>
    <row r="272" spans="1:19" ht="15" x14ac:dyDescent="0.25">
      <c r="A272" t="s">
        <v>1561</v>
      </c>
      <c r="B272" t="s">
        <v>657</v>
      </c>
      <c r="C272" t="s">
        <v>46</v>
      </c>
      <c r="D272" t="s">
        <v>1152</v>
      </c>
      <c r="E272" t="s">
        <v>24</v>
      </c>
      <c r="F272" t="s">
        <v>35</v>
      </c>
      <c r="G272">
        <v>114.18104544502617</v>
      </c>
      <c r="H272">
        <v>0.31506910994764398</v>
      </c>
      <c r="I272">
        <v>1211.9658429319372</v>
      </c>
      <c r="J272">
        <v>1456.8795643979056</v>
      </c>
      <c r="K272">
        <v>0</v>
      </c>
      <c r="L272">
        <v>0</v>
      </c>
      <c r="M272">
        <v>59.653084816753918</v>
      </c>
      <c r="N272">
        <v>0.61878339180614084</v>
      </c>
      <c r="O272">
        <v>0</v>
      </c>
      <c r="P272">
        <v>73.599999999999994</v>
      </c>
      <c r="Q272">
        <v>2425677.7578282016</v>
      </c>
      <c r="R272">
        <v>2577882.1530282018</v>
      </c>
      <c r="S272">
        <v>2577882.1530282018</v>
      </c>
    </row>
    <row r="273" spans="1:19" ht="15" x14ac:dyDescent="0.25">
      <c r="A273" t="s">
        <v>1570</v>
      </c>
      <c r="B273" t="s">
        <v>1463</v>
      </c>
      <c r="C273" t="s">
        <v>46</v>
      </c>
      <c r="D273" t="s">
        <v>165</v>
      </c>
      <c r="E273" t="s">
        <v>34</v>
      </c>
      <c r="F273" t="s">
        <v>35</v>
      </c>
      <c r="G273">
        <v>0</v>
      </c>
      <c r="H273">
        <v>0</v>
      </c>
      <c r="I273">
        <v>0</v>
      </c>
      <c r="J273">
        <v>0</v>
      </c>
      <c r="K273">
        <v>0</v>
      </c>
      <c r="L273">
        <v>0</v>
      </c>
      <c r="M273">
        <v>0</v>
      </c>
      <c r="N273">
        <v>0.99904046065257934</v>
      </c>
      <c r="O273">
        <v>0</v>
      </c>
      <c r="P273">
        <v>0</v>
      </c>
      <c r="Q273">
        <v>0</v>
      </c>
      <c r="R273">
        <v>0</v>
      </c>
      <c r="S273">
        <v>0</v>
      </c>
    </row>
    <row r="274" spans="1:19" ht="15" x14ac:dyDescent="0.25">
      <c r="A274" t="s">
        <v>1580</v>
      </c>
      <c r="B274" t="s">
        <v>1469</v>
      </c>
      <c r="C274" t="s">
        <v>46</v>
      </c>
      <c r="D274" t="s">
        <v>165</v>
      </c>
      <c r="E274" t="s">
        <v>34</v>
      </c>
      <c r="F274" t="s">
        <v>35</v>
      </c>
      <c r="G274">
        <v>0</v>
      </c>
      <c r="H274">
        <v>0</v>
      </c>
      <c r="I274">
        <v>0</v>
      </c>
      <c r="J274">
        <v>0</v>
      </c>
      <c r="K274">
        <v>0</v>
      </c>
      <c r="L274">
        <v>0</v>
      </c>
      <c r="M274">
        <v>0</v>
      </c>
      <c r="N274">
        <v>0.67032004603563933</v>
      </c>
      <c r="O274">
        <v>0</v>
      </c>
      <c r="P274">
        <v>19.911111111111111</v>
      </c>
      <c r="Q274">
        <v>0</v>
      </c>
      <c r="R274">
        <v>41176.068266666669</v>
      </c>
      <c r="S274">
        <v>41176.068266666669</v>
      </c>
    </row>
    <row r="275" spans="1:19" ht="15" x14ac:dyDescent="0.25">
      <c r="A275" t="s">
        <v>1382</v>
      </c>
      <c r="B275" t="s">
        <v>640</v>
      </c>
      <c r="C275" t="s">
        <v>46</v>
      </c>
      <c r="D275" t="s">
        <v>1152</v>
      </c>
      <c r="E275" t="s">
        <v>34</v>
      </c>
      <c r="F275" t="s">
        <v>35</v>
      </c>
      <c r="G275">
        <v>27.172827172827173</v>
      </c>
      <c r="H275">
        <v>7.3526473526473526E-2</v>
      </c>
      <c r="I275">
        <v>54.345654345654346</v>
      </c>
      <c r="J275">
        <v>66.301698301698295</v>
      </c>
      <c r="K275">
        <v>0</v>
      </c>
      <c r="L275">
        <v>0</v>
      </c>
      <c r="M275">
        <v>6.3936063936063938</v>
      </c>
      <c r="N275">
        <v>0.51102913674747164</v>
      </c>
      <c r="O275">
        <v>0</v>
      </c>
      <c r="P275">
        <v>12.8</v>
      </c>
      <c r="Q275">
        <v>280687.34537142859</v>
      </c>
      <c r="R275">
        <v>307157.67497142853</v>
      </c>
      <c r="S275">
        <v>307157.67497142853</v>
      </c>
    </row>
    <row r="276" spans="1:19" ht="15" x14ac:dyDescent="0.25">
      <c r="A276" t="s">
        <v>1587</v>
      </c>
      <c r="B276" t="s">
        <v>1475</v>
      </c>
      <c r="C276" t="s">
        <v>46</v>
      </c>
      <c r="D276" t="s">
        <v>165</v>
      </c>
      <c r="E276" t="s">
        <v>34</v>
      </c>
      <c r="F276" t="s">
        <v>35</v>
      </c>
      <c r="G276">
        <v>0</v>
      </c>
      <c r="H276">
        <v>0</v>
      </c>
      <c r="I276">
        <v>0</v>
      </c>
      <c r="J276">
        <v>0</v>
      </c>
      <c r="K276">
        <v>0</v>
      </c>
      <c r="L276">
        <v>0</v>
      </c>
      <c r="M276">
        <v>0</v>
      </c>
      <c r="N276">
        <v>0</v>
      </c>
      <c r="O276">
        <v>0</v>
      </c>
      <c r="P276">
        <v>0</v>
      </c>
      <c r="Q276">
        <v>0</v>
      </c>
      <c r="R276">
        <v>0</v>
      </c>
      <c r="S276">
        <v>0</v>
      </c>
    </row>
    <row r="277" spans="1:19" ht="15" x14ac:dyDescent="0.25">
      <c r="A277" t="s">
        <v>1588</v>
      </c>
      <c r="B277" t="s">
        <v>1491</v>
      </c>
      <c r="C277" t="s">
        <v>46</v>
      </c>
      <c r="D277" t="s">
        <v>1152</v>
      </c>
      <c r="E277" t="s">
        <v>34</v>
      </c>
      <c r="F277" t="s">
        <v>35</v>
      </c>
      <c r="G277">
        <v>341.64644247787612</v>
      </c>
      <c r="H277">
        <v>0.93876106194690268</v>
      </c>
      <c r="I277">
        <v>888.69380530973456</v>
      </c>
      <c r="J277">
        <v>995.33706194690274</v>
      </c>
      <c r="K277">
        <v>0</v>
      </c>
      <c r="L277">
        <v>0</v>
      </c>
      <c r="M277">
        <v>435.20000000000005</v>
      </c>
      <c r="N277">
        <v>0</v>
      </c>
      <c r="O277">
        <v>0</v>
      </c>
      <c r="P277">
        <v>56</v>
      </c>
      <c r="Q277">
        <v>5316716.3359570699</v>
      </c>
      <c r="R277">
        <v>5432524.0279570697</v>
      </c>
      <c r="S277">
        <v>5432524.0279570697</v>
      </c>
    </row>
    <row r="278" spans="1:19" ht="15" x14ac:dyDescent="0.25">
      <c r="A278" t="s">
        <v>1589</v>
      </c>
      <c r="B278" t="s">
        <v>1476</v>
      </c>
      <c r="C278" t="s">
        <v>46</v>
      </c>
      <c r="D278" t="s">
        <v>1152</v>
      </c>
      <c r="E278" t="s">
        <v>34</v>
      </c>
      <c r="F278" t="s">
        <v>35</v>
      </c>
      <c r="G278">
        <v>312.43333333333334</v>
      </c>
      <c r="H278">
        <v>0.52366666666666661</v>
      </c>
      <c r="I278">
        <v>140.93333333333334</v>
      </c>
      <c r="J278">
        <v>157.84533333333334</v>
      </c>
      <c r="K278">
        <v>0</v>
      </c>
      <c r="L278">
        <v>0</v>
      </c>
      <c r="M278">
        <v>274.17600000000004</v>
      </c>
      <c r="N278">
        <v>3.6420284262733131E-2</v>
      </c>
      <c r="O278">
        <v>0</v>
      </c>
      <c r="P278">
        <v>59.786999999999999</v>
      </c>
      <c r="Q278">
        <v>3263287.8080278668</v>
      </c>
      <c r="R278">
        <v>3386926.9951993674</v>
      </c>
      <c r="S278">
        <v>3386926.9951993674</v>
      </c>
    </row>
    <row r="279" spans="1:19" ht="15" x14ac:dyDescent="0.25">
      <c r="A279" t="s">
        <v>1383</v>
      </c>
      <c r="B279" t="s">
        <v>1477</v>
      </c>
      <c r="C279" t="s">
        <v>46</v>
      </c>
      <c r="D279" t="s">
        <v>165</v>
      </c>
      <c r="E279" t="s">
        <v>34</v>
      </c>
      <c r="F279" t="s">
        <v>35</v>
      </c>
      <c r="G279">
        <v>704.00982285714269</v>
      </c>
      <c r="H279">
        <v>1.766207971428571</v>
      </c>
      <c r="I279">
        <v>206.18875999999997</v>
      </c>
      <c r="J279">
        <v>230.93141119999996</v>
      </c>
      <c r="K279">
        <v>0</v>
      </c>
      <c r="L279">
        <v>0</v>
      </c>
      <c r="M279">
        <v>241.760256</v>
      </c>
      <c r="N279">
        <v>5.0441946826710882E-2</v>
      </c>
      <c r="O279">
        <v>0</v>
      </c>
      <c r="P279">
        <v>11.949504319999999</v>
      </c>
      <c r="Q279">
        <v>6122075.3008143073</v>
      </c>
      <c r="R279">
        <v>6146786.8100257935</v>
      </c>
      <c r="S279">
        <v>6146786.8100257935</v>
      </c>
    </row>
    <row r="280" spans="1:19" ht="15" x14ac:dyDescent="0.25">
      <c r="A280" t="s">
        <v>1384</v>
      </c>
      <c r="B280" t="s">
        <v>648</v>
      </c>
      <c r="C280" t="s">
        <v>46</v>
      </c>
      <c r="D280" t="s">
        <v>1152</v>
      </c>
      <c r="E280" t="s">
        <v>34</v>
      </c>
      <c r="F280" t="s">
        <v>35</v>
      </c>
      <c r="G280">
        <v>280.12762278978386</v>
      </c>
      <c r="H280">
        <v>1.0363850687622791</v>
      </c>
      <c r="I280">
        <v>1571.0805500982319</v>
      </c>
      <c r="J280">
        <v>1759.6102161100198</v>
      </c>
      <c r="K280">
        <v>0</v>
      </c>
      <c r="L280">
        <v>0</v>
      </c>
      <c r="M280">
        <v>1.3202357563850688</v>
      </c>
      <c r="N280">
        <v>0</v>
      </c>
      <c r="O280">
        <v>0</v>
      </c>
      <c r="P280">
        <v>0</v>
      </c>
      <c r="Q280">
        <v>3945878.8881496266</v>
      </c>
      <c r="R280">
        <v>3945878.8881496266</v>
      </c>
      <c r="S280">
        <v>3945878.8881496266</v>
      </c>
    </row>
    <row r="281" spans="1:19" ht="15" x14ac:dyDescent="0.25">
      <c r="A281" t="s">
        <v>961</v>
      </c>
      <c r="C281" t="s">
        <v>46</v>
      </c>
      <c r="D281" t="s">
        <v>101</v>
      </c>
      <c r="E281" t="s">
        <v>24</v>
      </c>
      <c r="F281" t="s">
        <v>35</v>
      </c>
      <c r="G281">
        <v>39.14</v>
      </c>
      <c r="H281">
        <v>5.0999999999999997E-2</v>
      </c>
      <c r="I281">
        <v>30</v>
      </c>
      <c r="J281">
        <v>33.6</v>
      </c>
      <c r="K281">
        <v>0</v>
      </c>
      <c r="L281">
        <v>0</v>
      </c>
      <c r="M281">
        <v>0</v>
      </c>
      <c r="N281">
        <v>0.88074765260767418</v>
      </c>
      <c r="O281">
        <v>0</v>
      </c>
      <c r="P281">
        <v>0</v>
      </c>
      <c r="Q281">
        <v>255424.89401000002</v>
      </c>
      <c r="R281">
        <v>255424.89401000002</v>
      </c>
      <c r="S281">
        <v>255424.89401000002</v>
      </c>
    </row>
    <row r="282" spans="1:19" ht="15" x14ac:dyDescent="0.25">
      <c r="A282" t="s">
        <v>1241</v>
      </c>
      <c r="B282" t="s">
        <v>1498</v>
      </c>
      <c r="C282" t="s">
        <v>46</v>
      </c>
      <c r="D282" t="s">
        <v>23</v>
      </c>
      <c r="E282" t="s">
        <v>34</v>
      </c>
      <c r="F282" t="s">
        <v>35</v>
      </c>
      <c r="G282">
        <v>0</v>
      </c>
      <c r="H282">
        <v>0</v>
      </c>
      <c r="I282">
        <v>0</v>
      </c>
      <c r="J282">
        <v>0</v>
      </c>
      <c r="K282">
        <v>0</v>
      </c>
      <c r="L282">
        <v>0</v>
      </c>
      <c r="M282">
        <v>0</v>
      </c>
      <c r="N282">
        <v>0</v>
      </c>
      <c r="O282">
        <v>0</v>
      </c>
      <c r="P282">
        <v>0.49315068493150682</v>
      </c>
      <c r="Q282">
        <v>0</v>
      </c>
      <c r="R282">
        <v>1019.8329041095891</v>
      </c>
      <c r="S282">
        <v>1019.8329041095891</v>
      </c>
    </row>
    <row r="283" spans="1:19" ht="15" x14ac:dyDescent="0.25">
      <c r="A283" t="s">
        <v>503</v>
      </c>
      <c r="C283" t="s">
        <v>46</v>
      </c>
      <c r="D283" t="s">
        <v>101</v>
      </c>
      <c r="E283" t="s">
        <v>34</v>
      </c>
      <c r="F283" t="s">
        <v>26</v>
      </c>
      <c r="G283">
        <v>1.4883500000000001</v>
      </c>
      <c r="H283">
        <v>3.3333333333333335E-3</v>
      </c>
      <c r="I283">
        <v>0</v>
      </c>
      <c r="J283">
        <v>0</v>
      </c>
      <c r="K283">
        <v>0</v>
      </c>
      <c r="L283">
        <v>0</v>
      </c>
      <c r="M283">
        <v>0</v>
      </c>
      <c r="N283">
        <v>0.93527750213567629</v>
      </c>
      <c r="O283">
        <v>0</v>
      </c>
      <c r="P283">
        <v>0</v>
      </c>
      <c r="Q283">
        <v>9813.7827883333339</v>
      </c>
      <c r="R283">
        <v>9813.7827883333339</v>
      </c>
      <c r="S283">
        <v>9813.7827883333339</v>
      </c>
    </row>
    <row r="284" spans="1:19" ht="15" x14ac:dyDescent="0.25">
      <c r="A284" t="s">
        <v>511</v>
      </c>
      <c r="C284" t="s">
        <v>46</v>
      </c>
      <c r="D284" t="s">
        <v>23</v>
      </c>
      <c r="E284" t="s">
        <v>34</v>
      </c>
      <c r="F284" t="s">
        <v>26</v>
      </c>
      <c r="G284">
        <v>54</v>
      </c>
      <c r="H284">
        <v>0</v>
      </c>
      <c r="I284">
        <v>0</v>
      </c>
      <c r="J284">
        <v>1920</v>
      </c>
      <c r="K284">
        <v>0</v>
      </c>
      <c r="L284">
        <v>0</v>
      </c>
      <c r="M284">
        <v>0</v>
      </c>
      <c r="N284">
        <v>0</v>
      </c>
      <c r="O284">
        <v>0</v>
      </c>
      <c r="P284">
        <v>0</v>
      </c>
      <c r="Q284">
        <v>983031.19200000004</v>
      </c>
      <c r="R284">
        <v>983031.19200000004</v>
      </c>
      <c r="S284">
        <v>983031.19200000004</v>
      </c>
    </row>
    <row r="285" spans="1:19" ht="15" x14ac:dyDescent="0.25">
      <c r="A285" t="s">
        <v>517</v>
      </c>
      <c r="C285" t="s">
        <v>46</v>
      </c>
      <c r="D285" t="s">
        <v>23</v>
      </c>
      <c r="E285" t="s">
        <v>34</v>
      </c>
      <c r="F285" t="s">
        <v>26</v>
      </c>
      <c r="G285">
        <v>97.5</v>
      </c>
      <c r="H285">
        <v>1.41</v>
      </c>
      <c r="I285">
        <v>0</v>
      </c>
      <c r="J285">
        <v>165</v>
      </c>
      <c r="K285">
        <v>0</v>
      </c>
      <c r="L285">
        <v>0</v>
      </c>
      <c r="M285">
        <v>0</v>
      </c>
      <c r="N285">
        <v>0</v>
      </c>
      <c r="O285">
        <v>0</v>
      </c>
      <c r="P285">
        <v>0</v>
      </c>
      <c r="Q285">
        <v>1848787.0830000001</v>
      </c>
      <c r="R285">
        <v>1848787.0830000001</v>
      </c>
      <c r="S285">
        <v>1848787.0830000001</v>
      </c>
    </row>
    <row r="286" spans="1:19" ht="15" x14ac:dyDescent="0.25">
      <c r="A286" t="s">
        <v>1015</v>
      </c>
      <c r="C286" t="s">
        <v>46</v>
      </c>
      <c r="D286" t="s">
        <v>23</v>
      </c>
      <c r="E286" t="s">
        <v>34</v>
      </c>
      <c r="F286" t="s">
        <v>26</v>
      </c>
      <c r="G286">
        <v>0</v>
      </c>
      <c r="H286">
        <v>0</v>
      </c>
      <c r="I286">
        <v>0</v>
      </c>
      <c r="J286">
        <v>0</v>
      </c>
      <c r="K286">
        <v>0</v>
      </c>
      <c r="L286">
        <v>0</v>
      </c>
      <c r="M286">
        <v>0</v>
      </c>
      <c r="N286">
        <v>0</v>
      </c>
      <c r="O286">
        <v>0</v>
      </c>
      <c r="P286">
        <v>0</v>
      </c>
      <c r="Q286">
        <v>0</v>
      </c>
      <c r="R286">
        <v>0</v>
      </c>
      <c r="S286">
        <v>0</v>
      </c>
    </row>
    <row r="287" spans="1:19" ht="15" x14ac:dyDescent="0.25">
      <c r="A287" t="s">
        <v>520</v>
      </c>
      <c r="C287" t="s">
        <v>46</v>
      </c>
      <c r="D287" t="s">
        <v>23</v>
      </c>
      <c r="E287" t="s">
        <v>34</v>
      </c>
      <c r="F287" t="s">
        <v>26</v>
      </c>
      <c r="G287">
        <v>130</v>
      </c>
      <c r="H287">
        <v>0.75</v>
      </c>
      <c r="I287">
        <v>0</v>
      </c>
      <c r="J287">
        <v>2400</v>
      </c>
      <c r="K287">
        <v>0</v>
      </c>
      <c r="L287">
        <v>0</v>
      </c>
      <c r="M287">
        <v>0</v>
      </c>
      <c r="N287">
        <v>0</v>
      </c>
      <c r="O287">
        <v>0</v>
      </c>
      <c r="P287">
        <v>0</v>
      </c>
      <c r="Q287">
        <v>2225540.1025</v>
      </c>
      <c r="R287">
        <v>2225540.1025</v>
      </c>
      <c r="S287">
        <v>2225540.1025</v>
      </c>
    </row>
    <row r="288" spans="1:19" ht="15" x14ac:dyDescent="0.25">
      <c r="A288" t="s">
        <v>521</v>
      </c>
      <c r="C288" t="s">
        <v>46</v>
      </c>
      <c r="D288" t="s">
        <v>23</v>
      </c>
      <c r="E288" t="s">
        <v>34</v>
      </c>
      <c r="F288" t="s">
        <v>26</v>
      </c>
      <c r="G288">
        <v>78</v>
      </c>
      <c r="H288">
        <v>0.75</v>
      </c>
      <c r="I288">
        <v>0</v>
      </c>
      <c r="J288">
        <v>2500</v>
      </c>
      <c r="K288">
        <v>0</v>
      </c>
      <c r="L288">
        <v>0</v>
      </c>
      <c r="M288">
        <v>0</v>
      </c>
      <c r="N288">
        <v>0</v>
      </c>
      <c r="O288">
        <v>0</v>
      </c>
      <c r="P288">
        <v>0</v>
      </c>
      <c r="Q288">
        <v>2032972.0125000002</v>
      </c>
      <c r="R288">
        <v>2032972.0125000002</v>
      </c>
      <c r="S288">
        <v>2032972.0125000002</v>
      </c>
    </row>
    <row r="289" spans="1:19" ht="15" x14ac:dyDescent="0.25">
      <c r="A289" t="s">
        <v>1264</v>
      </c>
      <c r="B289" t="s">
        <v>1264</v>
      </c>
      <c r="C289" t="s">
        <v>46</v>
      </c>
      <c r="D289" t="s">
        <v>131</v>
      </c>
      <c r="E289" t="s">
        <v>24</v>
      </c>
      <c r="F289" t="s">
        <v>35</v>
      </c>
      <c r="G289">
        <v>96.693249400900839</v>
      </c>
      <c r="H289">
        <v>26.982045036207516</v>
      </c>
      <c r="I289">
        <v>0</v>
      </c>
      <c r="J289">
        <v>0</v>
      </c>
      <c r="K289">
        <v>0</v>
      </c>
      <c r="L289">
        <v>0</v>
      </c>
      <c r="M289">
        <v>9791999.9999999981</v>
      </c>
      <c r="N289">
        <v>0.8618305705469439</v>
      </c>
      <c r="O289">
        <v>0</v>
      </c>
      <c r="P289">
        <v>0</v>
      </c>
      <c r="Q289">
        <v>43574251031.023743</v>
      </c>
      <c r="R289">
        <v>43574251031.023743</v>
      </c>
      <c r="S289">
        <v>43574251031.023743</v>
      </c>
    </row>
    <row r="290" spans="1:19" ht="15" x14ac:dyDescent="0.25">
      <c r="A290" t="s">
        <v>620</v>
      </c>
      <c r="C290" t="s">
        <v>46</v>
      </c>
      <c r="D290" t="s">
        <v>47</v>
      </c>
      <c r="E290" t="s">
        <v>34</v>
      </c>
      <c r="F290" t="s">
        <v>26</v>
      </c>
      <c r="G290">
        <v>0</v>
      </c>
      <c r="H290">
        <v>0</v>
      </c>
      <c r="I290">
        <v>0</v>
      </c>
      <c r="J290">
        <v>0</v>
      </c>
      <c r="K290">
        <v>0</v>
      </c>
      <c r="L290">
        <v>0</v>
      </c>
      <c r="M290">
        <v>0</v>
      </c>
      <c r="N290">
        <v>0.84942128716759835</v>
      </c>
      <c r="O290">
        <v>0</v>
      </c>
      <c r="P290">
        <v>0</v>
      </c>
      <c r="Q290">
        <v>0</v>
      </c>
      <c r="R290">
        <v>0</v>
      </c>
      <c r="S290">
        <v>0</v>
      </c>
    </row>
    <row r="291" spans="1:19" ht="15" x14ac:dyDescent="0.25">
      <c r="A291" t="s">
        <v>614</v>
      </c>
      <c r="C291" t="s">
        <v>46</v>
      </c>
      <c r="D291" t="s">
        <v>47</v>
      </c>
      <c r="E291" t="s">
        <v>34</v>
      </c>
      <c r="F291" t="s">
        <v>26</v>
      </c>
      <c r="G291">
        <v>0</v>
      </c>
      <c r="H291">
        <v>0</v>
      </c>
      <c r="I291">
        <v>0</v>
      </c>
      <c r="J291">
        <v>0</v>
      </c>
      <c r="K291">
        <v>0</v>
      </c>
      <c r="L291">
        <v>0</v>
      </c>
      <c r="M291">
        <v>0</v>
      </c>
      <c r="N291">
        <v>0.63870026724145679</v>
      </c>
      <c r="O291">
        <v>0</v>
      </c>
      <c r="P291">
        <v>0</v>
      </c>
      <c r="Q291">
        <v>0</v>
      </c>
      <c r="R291">
        <v>0</v>
      </c>
      <c r="S291">
        <v>0</v>
      </c>
    </row>
    <row r="292" spans="1:19" ht="15" x14ac:dyDescent="0.25">
      <c r="A292" t="s">
        <v>634</v>
      </c>
      <c r="C292" t="s">
        <v>46</v>
      </c>
      <c r="D292" t="s">
        <v>47</v>
      </c>
      <c r="E292" t="s">
        <v>34</v>
      </c>
      <c r="F292" t="s">
        <v>26</v>
      </c>
      <c r="G292">
        <v>0</v>
      </c>
      <c r="H292">
        <v>0</v>
      </c>
      <c r="I292">
        <v>0</v>
      </c>
      <c r="J292">
        <v>0</v>
      </c>
      <c r="K292">
        <v>0</v>
      </c>
      <c r="L292">
        <v>0</v>
      </c>
      <c r="M292">
        <v>0</v>
      </c>
      <c r="N292">
        <v>0.93482867666138236</v>
      </c>
      <c r="O292">
        <v>0</v>
      </c>
      <c r="P292">
        <v>0</v>
      </c>
      <c r="Q292">
        <v>0</v>
      </c>
      <c r="R292">
        <v>0</v>
      </c>
      <c r="S292">
        <v>0</v>
      </c>
    </row>
    <row r="293" spans="1:19" ht="15" x14ac:dyDescent="0.25">
      <c r="A293" t="s">
        <v>629</v>
      </c>
      <c r="C293" t="s">
        <v>46</v>
      </c>
      <c r="D293" t="s">
        <v>47</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603</v>
      </c>
      <c r="C294" t="s">
        <v>46</v>
      </c>
      <c r="D294" t="s">
        <v>47</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586</v>
      </c>
      <c r="C295" t="s">
        <v>46</v>
      </c>
      <c r="D295" t="s">
        <v>47</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587</v>
      </c>
      <c r="C296" t="s">
        <v>46</v>
      </c>
      <c r="D296" t="s">
        <v>47</v>
      </c>
      <c r="E296" t="s">
        <v>34</v>
      </c>
      <c r="F296" t="s">
        <v>26</v>
      </c>
      <c r="G296">
        <v>0</v>
      </c>
      <c r="H296">
        <v>0</v>
      </c>
      <c r="I296">
        <v>0</v>
      </c>
      <c r="J296">
        <v>0</v>
      </c>
      <c r="K296">
        <v>0</v>
      </c>
      <c r="L296">
        <v>0</v>
      </c>
      <c r="M296">
        <v>0</v>
      </c>
      <c r="N296">
        <v>0.86588774805920499</v>
      </c>
      <c r="O296">
        <v>0</v>
      </c>
      <c r="P296">
        <v>0</v>
      </c>
      <c r="Q296">
        <v>0</v>
      </c>
      <c r="R296">
        <v>0</v>
      </c>
      <c r="S296">
        <v>0</v>
      </c>
    </row>
    <row r="297" spans="1:19" ht="15" x14ac:dyDescent="0.25">
      <c r="A297" t="s">
        <v>636</v>
      </c>
      <c r="C297" t="s">
        <v>46</v>
      </c>
      <c r="D297" t="s">
        <v>47</v>
      </c>
      <c r="E297" t="s">
        <v>34</v>
      </c>
      <c r="F297" t="s">
        <v>26</v>
      </c>
      <c r="G297">
        <v>0</v>
      </c>
      <c r="H297">
        <v>0</v>
      </c>
      <c r="I297">
        <v>0</v>
      </c>
      <c r="J297">
        <v>0</v>
      </c>
      <c r="K297">
        <v>0</v>
      </c>
      <c r="L297">
        <v>0</v>
      </c>
      <c r="M297">
        <v>0</v>
      </c>
      <c r="N297">
        <v>0.99990400460785256</v>
      </c>
      <c r="O297">
        <v>0</v>
      </c>
      <c r="P297">
        <v>0</v>
      </c>
      <c r="Q297">
        <v>0</v>
      </c>
      <c r="R297">
        <v>0</v>
      </c>
      <c r="S297">
        <v>0</v>
      </c>
    </row>
    <row r="298" spans="1:19" ht="15" x14ac:dyDescent="0.25">
      <c r="A298" t="s">
        <v>590</v>
      </c>
      <c r="C298" t="s">
        <v>46</v>
      </c>
      <c r="D298" t="s">
        <v>47</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592</v>
      </c>
      <c r="C299" t="s">
        <v>46</v>
      </c>
      <c r="D299" t="s">
        <v>47</v>
      </c>
      <c r="E299" t="s">
        <v>34</v>
      </c>
      <c r="F299" t="s">
        <v>26</v>
      </c>
      <c r="G299">
        <v>0</v>
      </c>
      <c r="H299">
        <v>0</v>
      </c>
      <c r="I299">
        <v>0</v>
      </c>
      <c r="J299">
        <v>0</v>
      </c>
      <c r="K299">
        <v>0</v>
      </c>
      <c r="L299">
        <v>0</v>
      </c>
      <c r="M299">
        <v>0</v>
      </c>
      <c r="N299">
        <v>0.90846401606870619</v>
      </c>
      <c r="O299">
        <v>0</v>
      </c>
      <c r="P299">
        <v>0</v>
      </c>
      <c r="Q299">
        <v>0</v>
      </c>
      <c r="R299">
        <v>0</v>
      </c>
      <c r="S299">
        <v>0</v>
      </c>
    </row>
    <row r="300" spans="1:19" ht="15" x14ac:dyDescent="0.25">
      <c r="A300" t="s">
        <v>591</v>
      </c>
      <c r="C300" t="s">
        <v>46</v>
      </c>
      <c r="D300" t="s">
        <v>47</v>
      </c>
      <c r="E300" t="s">
        <v>34</v>
      </c>
      <c r="F300" t="s">
        <v>26</v>
      </c>
      <c r="G300">
        <v>0</v>
      </c>
      <c r="H300">
        <v>0</v>
      </c>
      <c r="I300">
        <v>0</v>
      </c>
      <c r="J300">
        <v>0</v>
      </c>
      <c r="K300">
        <v>0</v>
      </c>
      <c r="L300">
        <v>0</v>
      </c>
      <c r="M300">
        <v>0</v>
      </c>
      <c r="N300">
        <v>0.94402748291783567</v>
      </c>
      <c r="O300">
        <v>0</v>
      </c>
      <c r="P300">
        <v>0</v>
      </c>
      <c r="Q300">
        <v>0</v>
      </c>
      <c r="R300">
        <v>0</v>
      </c>
      <c r="S300">
        <v>0</v>
      </c>
    </row>
    <row r="301" spans="1:19" ht="15" x14ac:dyDescent="0.25">
      <c r="A301" t="s">
        <v>617</v>
      </c>
      <c r="C301" t="s">
        <v>46</v>
      </c>
      <c r="D301" t="s">
        <v>47</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46</v>
      </c>
      <c r="D302" t="s">
        <v>47</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46</v>
      </c>
      <c r="D303" t="s">
        <v>47</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81</v>
      </c>
      <c r="C304" t="s">
        <v>46</v>
      </c>
      <c r="D304" t="s">
        <v>47</v>
      </c>
      <c r="E304" t="s">
        <v>34</v>
      </c>
      <c r="F304" t="s">
        <v>26</v>
      </c>
      <c r="G304">
        <v>0</v>
      </c>
      <c r="H304">
        <v>0</v>
      </c>
      <c r="I304">
        <v>0</v>
      </c>
      <c r="J304">
        <v>0</v>
      </c>
      <c r="K304">
        <v>0</v>
      </c>
      <c r="L304">
        <v>0</v>
      </c>
      <c r="M304">
        <v>0</v>
      </c>
      <c r="N304">
        <v>0.92607505009624835</v>
      </c>
      <c r="O304">
        <v>0</v>
      </c>
      <c r="P304">
        <v>0</v>
      </c>
      <c r="Q304">
        <v>0</v>
      </c>
      <c r="R304">
        <v>0</v>
      </c>
      <c r="S304">
        <v>0</v>
      </c>
    </row>
    <row r="305" spans="1:19" ht="15" x14ac:dyDescent="0.25">
      <c r="A305" t="s">
        <v>641</v>
      </c>
      <c r="C305" t="s">
        <v>46</v>
      </c>
      <c r="D305" t="s">
        <v>47</v>
      </c>
      <c r="E305" t="s">
        <v>34</v>
      </c>
      <c r="F305" t="s">
        <v>26</v>
      </c>
      <c r="G305">
        <v>0</v>
      </c>
      <c r="H305">
        <v>0</v>
      </c>
      <c r="I305">
        <v>0</v>
      </c>
      <c r="J305">
        <v>0</v>
      </c>
      <c r="K305">
        <v>0</v>
      </c>
      <c r="L305">
        <v>0</v>
      </c>
      <c r="M305">
        <v>0</v>
      </c>
      <c r="N305">
        <v>0.84942128716759835</v>
      </c>
      <c r="O305">
        <v>0</v>
      </c>
      <c r="P305">
        <v>0</v>
      </c>
      <c r="Q305">
        <v>0</v>
      </c>
      <c r="R305">
        <v>0</v>
      </c>
      <c r="S305">
        <v>0</v>
      </c>
    </row>
    <row r="306" spans="1:19" ht="15" x14ac:dyDescent="0.25">
      <c r="A306" t="s">
        <v>614</v>
      </c>
      <c r="C306" t="s">
        <v>46</v>
      </c>
      <c r="D306" t="s">
        <v>47</v>
      </c>
      <c r="E306" t="s">
        <v>34</v>
      </c>
      <c r="F306" t="s">
        <v>26</v>
      </c>
      <c r="G306">
        <v>0</v>
      </c>
      <c r="H306">
        <v>0</v>
      </c>
      <c r="I306">
        <v>0</v>
      </c>
      <c r="J306">
        <v>0</v>
      </c>
      <c r="K306">
        <v>0</v>
      </c>
      <c r="L306">
        <v>0</v>
      </c>
      <c r="M306">
        <v>0</v>
      </c>
      <c r="N306">
        <v>0.63870026724145679</v>
      </c>
      <c r="O306">
        <v>0</v>
      </c>
      <c r="P306">
        <v>0</v>
      </c>
      <c r="Q306">
        <v>0</v>
      </c>
      <c r="R306">
        <v>0</v>
      </c>
      <c r="S306">
        <v>0</v>
      </c>
    </row>
    <row r="307" spans="1:19" ht="15" x14ac:dyDescent="0.25">
      <c r="A307" t="s">
        <v>599</v>
      </c>
      <c r="C307" t="s">
        <v>46</v>
      </c>
      <c r="D307" t="s">
        <v>47</v>
      </c>
      <c r="E307" t="s">
        <v>34</v>
      </c>
      <c r="F307" t="s">
        <v>26</v>
      </c>
      <c r="G307">
        <v>0</v>
      </c>
      <c r="H307">
        <v>0</v>
      </c>
      <c r="I307">
        <v>0</v>
      </c>
      <c r="J307">
        <v>0</v>
      </c>
      <c r="K307">
        <v>0</v>
      </c>
      <c r="L307">
        <v>0</v>
      </c>
      <c r="M307">
        <v>0</v>
      </c>
      <c r="N307">
        <v>0.95313378707750473</v>
      </c>
      <c r="O307">
        <v>0</v>
      </c>
      <c r="P307">
        <v>0</v>
      </c>
      <c r="Q307">
        <v>0</v>
      </c>
      <c r="R307">
        <v>0</v>
      </c>
      <c r="S307">
        <v>0</v>
      </c>
    </row>
    <row r="308" spans="1:19" ht="15" x14ac:dyDescent="0.25">
      <c r="A308" t="s">
        <v>583</v>
      </c>
      <c r="C308" t="s">
        <v>46</v>
      </c>
      <c r="D308" t="s">
        <v>47</v>
      </c>
      <c r="E308" t="s">
        <v>34</v>
      </c>
      <c r="F308" t="s">
        <v>26</v>
      </c>
      <c r="G308">
        <v>0</v>
      </c>
      <c r="H308">
        <v>0</v>
      </c>
      <c r="I308">
        <v>0</v>
      </c>
      <c r="J308">
        <v>0</v>
      </c>
      <c r="K308">
        <v>0</v>
      </c>
      <c r="L308">
        <v>0</v>
      </c>
      <c r="M308">
        <v>0</v>
      </c>
      <c r="N308">
        <v>0.94411811390641365</v>
      </c>
      <c r="O308">
        <v>0</v>
      </c>
      <c r="P308">
        <v>0</v>
      </c>
      <c r="Q308">
        <v>0</v>
      </c>
      <c r="R308">
        <v>0</v>
      </c>
      <c r="S308">
        <v>0</v>
      </c>
    </row>
    <row r="309" spans="1:19" ht="15" x14ac:dyDescent="0.25">
      <c r="A309" t="s">
        <v>586</v>
      </c>
      <c r="C309" t="s">
        <v>46</v>
      </c>
      <c r="D309" t="s">
        <v>47</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587</v>
      </c>
      <c r="C310" t="s">
        <v>46</v>
      </c>
      <c r="D310" t="s">
        <v>47</v>
      </c>
      <c r="E310" t="s">
        <v>34</v>
      </c>
      <c r="F310" t="s">
        <v>26</v>
      </c>
      <c r="G310">
        <v>0</v>
      </c>
      <c r="H310">
        <v>0</v>
      </c>
      <c r="I310">
        <v>0</v>
      </c>
      <c r="J310">
        <v>0</v>
      </c>
      <c r="K310">
        <v>0</v>
      </c>
      <c r="L310">
        <v>0</v>
      </c>
      <c r="M310">
        <v>0</v>
      </c>
      <c r="N310">
        <v>0.86588774805920499</v>
      </c>
      <c r="O310">
        <v>0</v>
      </c>
      <c r="P310">
        <v>0</v>
      </c>
      <c r="Q310">
        <v>0</v>
      </c>
      <c r="R310">
        <v>0</v>
      </c>
      <c r="S310">
        <v>0</v>
      </c>
    </row>
    <row r="311" spans="1:19" ht="15" x14ac:dyDescent="0.25">
      <c r="A311" t="s">
        <v>588</v>
      </c>
      <c r="C311" t="s">
        <v>46</v>
      </c>
      <c r="D311" t="s">
        <v>47</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590</v>
      </c>
      <c r="C312" t="s">
        <v>46</v>
      </c>
      <c r="D312" t="s">
        <v>47</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646</v>
      </c>
      <c r="C313" t="s">
        <v>46</v>
      </c>
      <c r="D313" t="s">
        <v>47</v>
      </c>
      <c r="E313" t="s">
        <v>34</v>
      </c>
      <c r="F313" t="s">
        <v>26</v>
      </c>
      <c r="G313">
        <v>0</v>
      </c>
      <c r="H313">
        <v>0</v>
      </c>
      <c r="I313">
        <v>0</v>
      </c>
      <c r="J313">
        <v>0</v>
      </c>
      <c r="K313">
        <v>0</v>
      </c>
      <c r="L313">
        <v>0</v>
      </c>
      <c r="M313">
        <v>0</v>
      </c>
      <c r="N313">
        <v>0</v>
      </c>
      <c r="O313">
        <v>0</v>
      </c>
      <c r="P313">
        <v>0</v>
      </c>
      <c r="Q313">
        <v>0</v>
      </c>
      <c r="R313">
        <v>0</v>
      </c>
      <c r="S313">
        <v>0</v>
      </c>
    </row>
    <row r="314" spans="1:19" ht="15" x14ac:dyDescent="0.25">
      <c r="A314" t="s">
        <v>592</v>
      </c>
      <c r="C314" t="s">
        <v>46</v>
      </c>
      <c r="D314" t="s">
        <v>47</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591</v>
      </c>
      <c r="C315" t="s">
        <v>46</v>
      </c>
      <c r="D315" t="s">
        <v>47</v>
      </c>
      <c r="E315" t="s">
        <v>34</v>
      </c>
      <c r="F315" t="s">
        <v>26</v>
      </c>
      <c r="G315">
        <v>0</v>
      </c>
      <c r="H315">
        <v>0</v>
      </c>
      <c r="I315">
        <v>0</v>
      </c>
      <c r="J315">
        <v>0</v>
      </c>
      <c r="K315">
        <v>0</v>
      </c>
      <c r="L315">
        <v>0</v>
      </c>
      <c r="M315">
        <v>0</v>
      </c>
      <c r="N315">
        <v>0.94402748291783567</v>
      </c>
      <c r="O315">
        <v>0</v>
      </c>
      <c r="P315">
        <v>0</v>
      </c>
      <c r="Q315">
        <v>0</v>
      </c>
      <c r="R315">
        <v>0</v>
      </c>
      <c r="S315">
        <v>0</v>
      </c>
    </row>
    <row r="316" spans="1:19" ht="15" x14ac:dyDescent="0.25">
      <c r="A316" t="s">
        <v>617</v>
      </c>
      <c r="C316" t="s">
        <v>46</v>
      </c>
      <c r="D316" t="s">
        <v>47</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618</v>
      </c>
      <c r="C317" t="s">
        <v>46</v>
      </c>
      <c r="D317" t="s">
        <v>47</v>
      </c>
      <c r="E317" t="s">
        <v>34</v>
      </c>
      <c r="F317" t="s">
        <v>26</v>
      </c>
      <c r="G317">
        <v>0</v>
      </c>
      <c r="H317">
        <v>0</v>
      </c>
      <c r="I317">
        <v>0</v>
      </c>
      <c r="J317">
        <v>0</v>
      </c>
      <c r="K317">
        <v>0</v>
      </c>
      <c r="L317">
        <v>0</v>
      </c>
      <c r="M317">
        <v>0</v>
      </c>
      <c r="N317">
        <v>0.90846401606870619</v>
      </c>
      <c r="O317">
        <v>0</v>
      </c>
      <c r="P317">
        <v>0</v>
      </c>
      <c r="Q317">
        <v>0</v>
      </c>
      <c r="R317">
        <v>0</v>
      </c>
      <c r="S317">
        <v>0</v>
      </c>
    </row>
    <row r="318" spans="1:19" ht="15" x14ac:dyDescent="0.25">
      <c r="A318" t="s">
        <v>647</v>
      </c>
      <c r="C318" t="s">
        <v>46</v>
      </c>
      <c r="D318" t="s">
        <v>47</v>
      </c>
      <c r="E318" t="s">
        <v>34</v>
      </c>
      <c r="F318" t="s">
        <v>26</v>
      </c>
      <c r="G318">
        <v>0</v>
      </c>
      <c r="H318">
        <v>0</v>
      </c>
      <c r="I318">
        <v>0</v>
      </c>
      <c r="J318">
        <v>0</v>
      </c>
      <c r="K318">
        <v>0</v>
      </c>
      <c r="L318">
        <v>0</v>
      </c>
      <c r="M318">
        <v>0</v>
      </c>
      <c r="N318">
        <v>0.92919189563274529</v>
      </c>
      <c r="O318">
        <v>0</v>
      </c>
      <c r="P318">
        <v>0</v>
      </c>
      <c r="Q318">
        <v>0</v>
      </c>
      <c r="R318">
        <v>0</v>
      </c>
      <c r="S318">
        <v>0</v>
      </c>
    </row>
    <row r="319" spans="1:19" ht="15" x14ac:dyDescent="0.25">
      <c r="A319" t="s">
        <v>633</v>
      </c>
      <c r="C319" t="s">
        <v>46</v>
      </c>
      <c r="D319" t="s">
        <v>47</v>
      </c>
      <c r="E319" t="s">
        <v>34</v>
      </c>
      <c r="F319" t="s">
        <v>26</v>
      </c>
      <c r="G319">
        <v>0</v>
      </c>
      <c r="H319">
        <v>0</v>
      </c>
      <c r="I319">
        <v>0</v>
      </c>
      <c r="J319">
        <v>0</v>
      </c>
      <c r="K319">
        <v>0</v>
      </c>
      <c r="L319">
        <v>0</v>
      </c>
      <c r="M319">
        <v>0</v>
      </c>
      <c r="N319">
        <v>0.63870026724145679</v>
      </c>
      <c r="O319">
        <v>0</v>
      </c>
      <c r="P319">
        <v>0</v>
      </c>
      <c r="Q319">
        <v>0</v>
      </c>
      <c r="R319">
        <v>0</v>
      </c>
      <c r="S319">
        <v>0</v>
      </c>
    </row>
    <row r="320" spans="1:19" ht="15" x14ac:dyDescent="0.25">
      <c r="A320" t="s">
        <v>599</v>
      </c>
      <c r="C320" t="s">
        <v>46</v>
      </c>
      <c r="D320" t="s">
        <v>47</v>
      </c>
      <c r="E320" t="s">
        <v>34</v>
      </c>
      <c r="F320" t="s">
        <v>26</v>
      </c>
      <c r="G320">
        <v>0</v>
      </c>
      <c r="H320">
        <v>0</v>
      </c>
      <c r="I320">
        <v>0</v>
      </c>
      <c r="J320">
        <v>0</v>
      </c>
      <c r="K320">
        <v>0</v>
      </c>
      <c r="L320">
        <v>0</v>
      </c>
      <c r="M320">
        <v>0</v>
      </c>
      <c r="N320">
        <v>0.95313378707750473</v>
      </c>
      <c r="O320">
        <v>0</v>
      </c>
      <c r="P320">
        <v>0</v>
      </c>
      <c r="Q320">
        <v>0</v>
      </c>
      <c r="R320">
        <v>0</v>
      </c>
      <c r="S320">
        <v>0</v>
      </c>
    </row>
    <row r="321" spans="1:19" ht="15" x14ac:dyDescent="0.25">
      <c r="A321" t="s">
        <v>583</v>
      </c>
      <c r="C321" t="s">
        <v>46</v>
      </c>
      <c r="D321" t="s">
        <v>47</v>
      </c>
      <c r="E321" t="s">
        <v>34</v>
      </c>
      <c r="F321" t="s">
        <v>26</v>
      </c>
      <c r="G321">
        <v>0</v>
      </c>
      <c r="H321">
        <v>0</v>
      </c>
      <c r="I321">
        <v>0</v>
      </c>
      <c r="J321">
        <v>0</v>
      </c>
      <c r="K321">
        <v>0</v>
      </c>
      <c r="L321">
        <v>0</v>
      </c>
      <c r="M321">
        <v>0</v>
      </c>
      <c r="N321">
        <v>0.94411811390641365</v>
      </c>
      <c r="O321">
        <v>0</v>
      </c>
      <c r="P321">
        <v>0</v>
      </c>
      <c r="Q321">
        <v>0</v>
      </c>
      <c r="R321">
        <v>0</v>
      </c>
      <c r="S321">
        <v>0</v>
      </c>
    </row>
    <row r="322" spans="1:19" ht="15" x14ac:dyDescent="0.25">
      <c r="A322" t="s">
        <v>627</v>
      </c>
      <c r="C322" t="s">
        <v>46</v>
      </c>
      <c r="D322" t="s">
        <v>47</v>
      </c>
      <c r="E322" t="s">
        <v>34</v>
      </c>
      <c r="F322" t="s">
        <v>26</v>
      </c>
      <c r="G322">
        <v>0</v>
      </c>
      <c r="H322">
        <v>0</v>
      </c>
      <c r="I322">
        <v>0</v>
      </c>
      <c r="J322">
        <v>0</v>
      </c>
      <c r="K322">
        <v>0</v>
      </c>
      <c r="L322">
        <v>0</v>
      </c>
      <c r="M322">
        <v>0</v>
      </c>
      <c r="N322">
        <v>0.90846401606870619</v>
      </c>
      <c r="O322">
        <v>0</v>
      </c>
      <c r="P322">
        <v>0</v>
      </c>
      <c r="Q322">
        <v>0</v>
      </c>
      <c r="R322">
        <v>0</v>
      </c>
      <c r="S322">
        <v>0</v>
      </c>
    </row>
    <row r="323" spans="1:19" ht="15" x14ac:dyDescent="0.25">
      <c r="A323" t="s">
        <v>649</v>
      </c>
      <c r="C323" t="s">
        <v>46</v>
      </c>
      <c r="D323" t="s">
        <v>47</v>
      </c>
      <c r="E323" t="s">
        <v>34</v>
      </c>
      <c r="F323" t="s">
        <v>26</v>
      </c>
      <c r="G323">
        <v>0</v>
      </c>
      <c r="H323">
        <v>0</v>
      </c>
      <c r="I323">
        <v>0</v>
      </c>
      <c r="J323">
        <v>0</v>
      </c>
      <c r="K323">
        <v>0</v>
      </c>
      <c r="L323">
        <v>0</v>
      </c>
      <c r="M323">
        <v>0</v>
      </c>
      <c r="N323">
        <v>0.98978057681499143</v>
      </c>
      <c r="O323">
        <v>0</v>
      </c>
      <c r="P323">
        <v>0</v>
      </c>
      <c r="Q323">
        <v>0</v>
      </c>
      <c r="R323">
        <v>0</v>
      </c>
      <c r="S323">
        <v>0</v>
      </c>
    </row>
    <row r="324" spans="1:19" ht="15" x14ac:dyDescent="0.25">
      <c r="A324" t="s">
        <v>650</v>
      </c>
      <c r="C324" t="s">
        <v>46</v>
      </c>
      <c r="D324" t="s">
        <v>47</v>
      </c>
      <c r="E324" t="s">
        <v>34</v>
      </c>
      <c r="F324" t="s">
        <v>26</v>
      </c>
      <c r="G324">
        <v>0</v>
      </c>
      <c r="H324">
        <v>0</v>
      </c>
      <c r="I324">
        <v>0</v>
      </c>
      <c r="J324">
        <v>0</v>
      </c>
      <c r="K324">
        <v>0</v>
      </c>
      <c r="L324">
        <v>0</v>
      </c>
      <c r="M324">
        <v>0</v>
      </c>
      <c r="N324">
        <v>0.90846401606870619</v>
      </c>
      <c r="O324">
        <v>0</v>
      </c>
      <c r="P324">
        <v>0</v>
      </c>
      <c r="Q324">
        <v>0</v>
      </c>
      <c r="R324">
        <v>0</v>
      </c>
      <c r="S324">
        <v>0</v>
      </c>
    </row>
    <row r="325" spans="1:19" ht="15" x14ac:dyDescent="0.25">
      <c r="A325" t="s">
        <v>586</v>
      </c>
      <c r="C325" t="s">
        <v>46</v>
      </c>
      <c r="D325" t="s">
        <v>47</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587</v>
      </c>
      <c r="C326" t="s">
        <v>46</v>
      </c>
      <c r="D326" t="s">
        <v>47</v>
      </c>
      <c r="E326" t="s">
        <v>34</v>
      </c>
      <c r="F326" t="s">
        <v>26</v>
      </c>
      <c r="G326">
        <v>0</v>
      </c>
      <c r="H326">
        <v>0</v>
      </c>
      <c r="I326">
        <v>0</v>
      </c>
      <c r="J326">
        <v>0</v>
      </c>
      <c r="K326">
        <v>0</v>
      </c>
      <c r="L326">
        <v>0</v>
      </c>
      <c r="M326">
        <v>0</v>
      </c>
      <c r="N326">
        <v>0.86588774805920499</v>
      </c>
      <c r="O326">
        <v>0</v>
      </c>
      <c r="P326">
        <v>0</v>
      </c>
      <c r="Q326">
        <v>0</v>
      </c>
      <c r="R326">
        <v>0</v>
      </c>
      <c r="S326">
        <v>0</v>
      </c>
    </row>
    <row r="327" spans="1:19" ht="15" x14ac:dyDescent="0.25">
      <c r="A327" t="s">
        <v>590</v>
      </c>
      <c r="C327" t="s">
        <v>46</v>
      </c>
      <c r="D327" t="s">
        <v>47</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653</v>
      </c>
      <c r="C328" t="s">
        <v>46</v>
      </c>
      <c r="D328" t="s">
        <v>47</v>
      </c>
      <c r="E328" t="s">
        <v>34</v>
      </c>
      <c r="F328" t="s">
        <v>26</v>
      </c>
      <c r="G328">
        <v>0</v>
      </c>
      <c r="H328">
        <v>0</v>
      </c>
      <c r="I328">
        <v>0</v>
      </c>
      <c r="J328">
        <v>0</v>
      </c>
      <c r="K328">
        <v>0</v>
      </c>
      <c r="L328">
        <v>0</v>
      </c>
      <c r="M328">
        <v>0</v>
      </c>
      <c r="N328">
        <v>0.84535383468465874</v>
      </c>
      <c r="O328">
        <v>0</v>
      </c>
      <c r="P328">
        <v>0</v>
      </c>
      <c r="Q328">
        <v>0</v>
      </c>
      <c r="R328">
        <v>0</v>
      </c>
      <c r="S328">
        <v>0</v>
      </c>
    </row>
    <row r="329" spans="1:19" ht="15" x14ac:dyDescent="0.25">
      <c r="A329" t="s">
        <v>592</v>
      </c>
      <c r="C329" t="s">
        <v>46</v>
      </c>
      <c r="D329" t="s">
        <v>47</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591</v>
      </c>
      <c r="C330" t="s">
        <v>46</v>
      </c>
      <c r="D330" t="s">
        <v>47</v>
      </c>
      <c r="E330" t="s">
        <v>34</v>
      </c>
      <c r="F330" t="s">
        <v>26</v>
      </c>
      <c r="G330">
        <v>0</v>
      </c>
      <c r="H330">
        <v>0</v>
      </c>
      <c r="I330">
        <v>0</v>
      </c>
      <c r="J330">
        <v>0</v>
      </c>
      <c r="K330">
        <v>0</v>
      </c>
      <c r="L330">
        <v>0</v>
      </c>
      <c r="M330">
        <v>0</v>
      </c>
      <c r="N330">
        <v>0.94402748291783567</v>
      </c>
      <c r="O330">
        <v>0</v>
      </c>
      <c r="P330">
        <v>0</v>
      </c>
      <c r="Q330">
        <v>0</v>
      </c>
      <c r="R330">
        <v>0</v>
      </c>
      <c r="S330">
        <v>0</v>
      </c>
    </row>
    <row r="331" spans="1:19" ht="15" x14ac:dyDescent="0.25">
      <c r="A331" t="s">
        <v>618</v>
      </c>
      <c r="C331" t="s">
        <v>46</v>
      </c>
      <c r="D331" t="s">
        <v>47</v>
      </c>
      <c r="E331" t="s">
        <v>34</v>
      </c>
      <c r="F331" t="s">
        <v>26</v>
      </c>
      <c r="G331">
        <v>0</v>
      </c>
      <c r="H331">
        <v>0</v>
      </c>
      <c r="I331">
        <v>0</v>
      </c>
      <c r="J331">
        <v>0</v>
      </c>
      <c r="K331">
        <v>0</v>
      </c>
      <c r="L331">
        <v>0</v>
      </c>
      <c r="M331">
        <v>0</v>
      </c>
      <c r="N331">
        <v>0.90846401606870619</v>
      </c>
      <c r="O331">
        <v>0</v>
      </c>
      <c r="P331">
        <v>0</v>
      </c>
      <c r="Q331">
        <v>0</v>
      </c>
      <c r="R331">
        <v>0</v>
      </c>
      <c r="S331">
        <v>0</v>
      </c>
    </row>
    <row r="332" spans="1:19" ht="15" x14ac:dyDescent="0.25">
      <c r="A332" t="s">
        <v>631</v>
      </c>
      <c r="C332" t="s">
        <v>46</v>
      </c>
      <c r="D332" t="s">
        <v>47</v>
      </c>
      <c r="E332" t="s">
        <v>34</v>
      </c>
      <c r="F332" t="s">
        <v>26</v>
      </c>
      <c r="G332">
        <v>0</v>
      </c>
      <c r="H332">
        <v>0</v>
      </c>
      <c r="I332">
        <v>0</v>
      </c>
      <c r="J332">
        <v>0</v>
      </c>
      <c r="K332">
        <v>0</v>
      </c>
      <c r="L332">
        <v>0</v>
      </c>
      <c r="M332">
        <v>0</v>
      </c>
      <c r="N332">
        <v>0.94411811390641365</v>
      </c>
      <c r="O332">
        <v>0</v>
      </c>
      <c r="P332">
        <v>0</v>
      </c>
      <c r="Q332">
        <v>0</v>
      </c>
      <c r="R332">
        <v>0</v>
      </c>
      <c r="S332">
        <v>0</v>
      </c>
    </row>
    <row r="333" spans="1:19" ht="15" x14ac:dyDescent="0.25">
      <c r="A333" t="s">
        <v>655</v>
      </c>
      <c r="C333" t="s">
        <v>46</v>
      </c>
      <c r="D333" t="s">
        <v>47</v>
      </c>
      <c r="E333" t="s">
        <v>34</v>
      </c>
      <c r="F333" t="s">
        <v>26</v>
      </c>
      <c r="G333">
        <v>0</v>
      </c>
      <c r="H333">
        <v>0</v>
      </c>
      <c r="I333">
        <v>0</v>
      </c>
      <c r="J333">
        <v>0</v>
      </c>
      <c r="K333">
        <v>0</v>
      </c>
      <c r="L333">
        <v>0</v>
      </c>
      <c r="M333">
        <v>0</v>
      </c>
      <c r="N333">
        <v>0.91943125609512466</v>
      </c>
      <c r="O333">
        <v>0</v>
      </c>
      <c r="P333">
        <v>0</v>
      </c>
      <c r="Q333">
        <v>0</v>
      </c>
      <c r="R333">
        <v>0</v>
      </c>
      <c r="S333">
        <v>0</v>
      </c>
    </row>
    <row r="334" spans="1:19" ht="15" x14ac:dyDescent="0.25">
      <c r="A334" t="s">
        <v>656</v>
      </c>
      <c r="C334" t="s">
        <v>46</v>
      </c>
      <c r="D334" t="s">
        <v>47</v>
      </c>
      <c r="E334" t="s">
        <v>34</v>
      </c>
      <c r="F334" t="s">
        <v>26</v>
      </c>
      <c r="G334">
        <v>0</v>
      </c>
      <c r="H334">
        <v>0</v>
      </c>
      <c r="I334">
        <v>0</v>
      </c>
      <c r="J334">
        <v>0</v>
      </c>
      <c r="K334">
        <v>0</v>
      </c>
      <c r="L334">
        <v>0</v>
      </c>
      <c r="M334">
        <v>0</v>
      </c>
      <c r="N334">
        <v>0.90846401606870619</v>
      </c>
      <c r="O334">
        <v>0</v>
      </c>
      <c r="P334">
        <v>0</v>
      </c>
      <c r="Q334">
        <v>0</v>
      </c>
      <c r="R334">
        <v>0</v>
      </c>
      <c r="S334">
        <v>0</v>
      </c>
    </row>
    <row r="335" spans="1:19" ht="15" x14ac:dyDescent="0.25">
      <c r="A335" t="s">
        <v>81</v>
      </c>
      <c r="C335" t="s">
        <v>46</v>
      </c>
      <c r="D335" t="s">
        <v>47</v>
      </c>
      <c r="E335" t="s">
        <v>34</v>
      </c>
      <c r="F335" t="s">
        <v>26</v>
      </c>
      <c r="G335">
        <v>0</v>
      </c>
      <c r="H335">
        <v>0</v>
      </c>
      <c r="I335">
        <v>0</v>
      </c>
      <c r="J335">
        <v>0</v>
      </c>
      <c r="K335">
        <v>0</v>
      </c>
      <c r="L335">
        <v>0</v>
      </c>
      <c r="M335">
        <v>0</v>
      </c>
      <c r="N335">
        <v>0.92607505009624835</v>
      </c>
      <c r="O335">
        <v>0</v>
      </c>
      <c r="P335">
        <v>0</v>
      </c>
      <c r="Q335">
        <v>0</v>
      </c>
      <c r="R335">
        <v>0</v>
      </c>
      <c r="S335">
        <v>0</v>
      </c>
    </row>
    <row r="336" spans="1:19" ht="15" x14ac:dyDescent="0.25">
      <c r="A336" t="s">
        <v>641</v>
      </c>
      <c r="C336" t="s">
        <v>46</v>
      </c>
      <c r="D336" t="s">
        <v>47</v>
      </c>
      <c r="E336" t="s">
        <v>34</v>
      </c>
      <c r="F336" t="s">
        <v>26</v>
      </c>
      <c r="G336">
        <v>0</v>
      </c>
      <c r="H336">
        <v>0</v>
      </c>
      <c r="I336">
        <v>0</v>
      </c>
      <c r="J336">
        <v>0</v>
      </c>
      <c r="K336">
        <v>0</v>
      </c>
      <c r="L336">
        <v>0</v>
      </c>
      <c r="M336">
        <v>0</v>
      </c>
      <c r="N336">
        <v>0.84942128716759835</v>
      </c>
      <c r="O336">
        <v>0</v>
      </c>
      <c r="P336">
        <v>0</v>
      </c>
      <c r="Q336">
        <v>0</v>
      </c>
      <c r="R336">
        <v>0</v>
      </c>
      <c r="S336">
        <v>0</v>
      </c>
    </row>
    <row r="337" spans="1:19" ht="15" x14ac:dyDescent="0.25">
      <c r="A337" t="s">
        <v>658</v>
      </c>
      <c r="C337" t="s">
        <v>46</v>
      </c>
      <c r="D337" t="s">
        <v>47</v>
      </c>
      <c r="E337" t="s">
        <v>34</v>
      </c>
      <c r="F337" t="s">
        <v>26</v>
      </c>
      <c r="G337">
        <v>0</v>
      </c>
      <c r="H337">
        <v>0</v>
      </c>
      <c r="I337">
        <v>0</v>
      </c>
      <c r="J337">
        <v>0</v>
      </c>
      <c r="K337">
        <v>0</v>
      </c>
      <c r="L337">
        <v>0</v>
      </c>
      <c r="M337">
        <v>0</v>
      </c>
      <c r="N337">
        <v>0.90846401606870619</v>
      </c>
      <c r="O337">
        <v>0</v>
      </c>
      <c r="P337">
        <v>0</v>
      </c>
      <c r="Q337">
        <v>0</v>
      </c>
      <c r="R337">
        <v>0</v>
      </c>
      <c r="S337">
        <v>0</v>
      </c>
    </row>
    <row r="338" spans="1:19" ht="15" x14ac:dyDescent="0.25">
      <c r="A338" t="s">
        <v>627</v>
      </c>
      <c r="C338" t="s">
        <v>46</v>
      </c>
      <c r="D338" t="s">
        <v>47</v>
      </c>
      <c r="E338" t="s">
        <v>34</v>
      </c>
      <c r="F338" t="s">
        <v>26</v>
      </c>
      <c r="G338">
        <v>0</v>
      </c>
      <c r="H338">
        <v>0</v>
      </c>
      <c r="I338">
        <v>0</v>
      </c>
      <c r="J338">
        <v>0</v>
      </c>
      <c r="K338">
        <v>0</v>
      </c>
      <c r="L338">
        <v>0</v>
      </c>
      <c r="M338">
        <v>0</v>
      </c>
      <c r="N338">
        <v>0.90846401606870619</v>
      </c>
      <c r="O338">
        <v>0</v>
      </c>
      <c r="P338">
        <v>0</v>
      </c>
      <c r="Q338">
        <v>0</v>
      </c>
      <c r="R338">
        <v>0</v>
      </c>
      <c r="S338">
        <v>0</v>
      </c>
    </row>
    <row r="339" spans="1:19" ht="15" x14ac:dyDescent="0.25">
      <c r="A339" t="s">
        <v>659</v>
      </c>
      <c r="C339" t="s">
        <v>46</v>
      </c>
      <c r="D339" t="s">
        <v>47</v>
      </c>
      <c r="E339" t="s">
        <v>34</v>
      </c>
      <c r="F339" t="s">
        <v>26</v>
      </c>
      <c r="G339">
        <v>0</v>
      </c>
      <c r="H339">
        <v>0</v>
      </c>
      <c r="I339">
        <v>0</v>
      </c>
      <c r="J339">
        <v>0</v>
      </c>
      <c r="K339">
        <v>0</v>
      </c>
      <c r="L339">
        <v>0</v>
      </c>
      <c r="M339">
        <v>0</v>
      </c>
      <c r="N339">
        <v>0.90846401606870619</v>
      </c>
      <c r="O339">
        <v>0</v>
      </c>
      <c r="P339">
        <v>0</v>
      </c>
      <c r="Q339">
        <v>0</v>
      </c>
      <c r="R339">
        <v>0</v>
      </c>
      <c r="S339">
        <v>0</v>
      </c>
    </row>
    <row r="340" spans="1:19" ht="15" x14ac:dyDescent="0.25">
      <c r="A340" t="s">
        <v>590</v>
      </c>
      <c r="C340" t="s">
        <v>46</v>
      </c>
      <c r="D340" t="s">
        <v>47</v>
      </c>
      <c r="E340" t="s">
        <v>34</v>
      </c>
      <c r="F340" t="s">
        <v>26</v>
      </c>
      <c r="G340">
        <v>0</v>
      </c>
      <c r="H340">
        <v>0</v>
      </c>
      <c r="I340">
        <v>0</v>
      </c>
      <c r="J340">
        <v>0</v>
      </c>
      <c r="K340">
        <v>0</v>
      </c>
      <c r="L340">
        <v>0</v>
      </c>
      <c r="M340">
        <v>0</v>
      </c>
      <c r="N340">
        <v>0.90846401606870619</v>
      </c>
      <c r="O340">
        <v>0</v>
      </c>
      <c r="P340">
        <v>0</v>
      </c>
      <c r="Q340">
        <v>0</v>
      </c>
      <c r="R340">
        <v>0</v>
      </c>
      <c r="S340">
        <v>0</v>
      </c>
    </row>
    <row r="341" spans="1:19" ht="15" x14ac:dyDescent="0.25">
      <c r="A341" t="s">
        <v>591</v>
      </c>
      <c r="C341" t="s">
        <v>46</v>
      </c>
      <c r="D341" t="s">
        <v>47</v>
      </c>
      <c r="E341" t="s">
        <v>34</v>
      </c>
      <c r="F341" t="s">
        <v>26</v>
      </c>
      <c r="G341">
        <v>0</v>
      </c>
      <c r="H341">
        <v>0</v>
      </c>
      <c r="I341">
        <v>0</v>
      </c>
      <c r="J341">
        <v>0</v>
      </c>
      <c r="K341">
        <v>0</v>
      </c>
      <c r="L341">
        <v>0</v>
      </c>
      <c r="M341">
        <v>0</v>
      </c>
      <c r="N341">
        <v>0.94402748291783567</v>
      </c>
      <c r="O341">
        <v>0</v>
      </c>
      <c r="P341">
        <v>0</v>
      </c>
      <c r="Q341">
        <v>0</v>
      </c>
      <c r="R341">
        <v>0</v>
      </c>
      <c r="S341">
        <v>0</v>
      </c>
    </row>
    <row r="342" spans="1:19" ht="15" x14ac:dyDescent="0.25">
      <c r="A342" t="s">
        <v>618</v>
      </c>
      <c r="C342" t="s">
        <v>46</v>
      </c>
      <c r="D342" t="s">
        <v>47</v>
      </c>
      <c r="E342" t="s">
        <v>34</v>
      </c>
      <c r="F342" t="s">
        <v>26</v>
      </c>
      <c r="G342">
        <v>0</v>
      </c>
      <c r="H342">
        <v>0</v>
      </c>
      <c r="I342">
        <v>0</v>
      </c>
      <c r="J342">
        <v>0</v>
      </c>
      <c r="K342">
        <v>0</v>
      </c>
      <c r="L342">
        <v>0</v>
      </c>
      <c r="M342">
        <v>0</v>
      </c>
      <c r="N342">
        <v>0.90846401606870619</v>
      </c>
      <c r="O342">
        <v>0</v>
      </c>
      <c r="P342">
        <v>0</v>
      </c>
      <c r="Q342">
        <v>0</v>
      </c>
      <c r="R342">
        <v>0</v>
      </c>
      <c r="S342">
        <v>0</v>
      </c>
    </row>
    <row r="343" spans="1:19" ht="15" x14ac:dyDescent="0.25">
      <c r="A343" t="s">
        <v>660</v>
      </c>
      <c r="C343" t="s">
        <v>46</v>
      </c>
      <c r="D343" t="s">
        <v>47</v>
      </c>
      <c r="E343" t="s">
        <v>34</v>
      </c>
      <c r="F343" t="s">
        <v>26</v>
      </c>
      <c r="G343">
        <v>0</v>
      </c>
      <c r="H343">
        <v>0</v>
      </c>
      <c r="I343">
        <v>0</v>
      </c>
      <c r="J343">
        <v>0</v>
      </c>
      <c r="K343">
        <v>0</v>
      </c>
      <c r="L343">
        <v>0</v>
      </c>
      <c r="M343">
        <v>0</v>
      </c>
      <c r="N343">
        <v>0.90846401606870619</v>
      </c>
      <c r="O343">
        <v>0</v>
      </c>
      <c r="P343">
        <v>0</v>
      </c>
      <c r="Q343">
        <v>0</v>
      </c>
      <c r="R343">
        <v>0</v>
      </c>
      <c r="S343">
        <v>0</v>
      </c>
    </row>
    <row r="344" spans="1:19" ht="15" x14ac:dyDescent="0.25">
      <c r="A344" t="s">
        <v>593</v>
      </c>
      <c r="C344" t="s">
        <v>46</v>
      </c>
      <c r="D344" t="s">
        <v>165</v>
      </c>
      <c r="E344" t="s">
        <v>34</v>
      </c>
      <c r="F344" t="s">
        <v>26</v>
      </c>
      <c r="G344">
        <v>0</v>
      </c>
      <c r="H344">
        <v>0</v>
      </c>
      <c r="I344">
        <v>0</v>
      </c>
      <c r="J344">
        <v>0</v>
      </c>
      <c r="K344">
        <v>0</v>
      </c>
      <c r="L344">
        <v>0</v>
      </c>
      <c r="M344">
        <v>0</v>
      </c>
      <c r="N344">
        <v>0.99521150159009719</v>
      </c>
      <c r="O344">
        <v>0</v>
      </c>
      <c r="P344">
        <v>0</v>
      </c>
      <c r="Q344">
        <v>0</v>
      </c>
      <c r="R344">
        <v>0</v>
      </c>
      <c r="S344">
        <v>0</v>
      </c>
    </row>
    <row r="345" spans="1:19" ht="15" x14ac:dyDescent="0.25">
      <c r="A345" t="s">
        <v>614</v>
      </c>
      <c r="C345" t="s">
        <v>46</v>
      </c>
      <c r="D345" t="s">
        <v>165</v>
      </c>
      <c r="E345" t="s">
        <v>34</v>
      </c>
      <c r="F345" t="s">
        <v>26</v>
      </c>
      <c r="G345">
        <v>0</v>
      </c>
      <c r="H345">
        <v>0</v>
      </c>
      <c r="I345">
        <v>0</v>
      </c>
      <c r="J345">
        <v>0</v>
      </c>
      <c r="K345">
        <v>0</v>
      </c>
      <c r="L345">
        <v>0</v>
      </c>
      <c r="M345">
        <v>0</v>
      </c>
      <c r="N345">
        <v>0.63870026724145679</v>
      </c>
      <c r="O345">
        <v>0</v>
      </c>
      <c r="P345">
        <v>0</v>
      </c>
      <c r="Q345">
        <v>0</v>
      </c>
      <c r="R345">
        <v>0</v>
      </c>
      <c r="S345">
        <v>0</v>
      </c>
    </row>
    <row r="346" spans="1:19" ht="15" x14ac:dyDescent="0.25">
      <c r="A346" t="s">
        <v>583</v>
      </c>
      <c r="C346" t="s">
        <v>46</v>
      </c>
      <c r="D346" t="s">
        <v>165</v>
      </c>
      <c r="E346" t="s">
        <v>34</v>
      </c>
      <c r="F346" t="s">
        <v>26</v>
      </c>
      <c r="G346">
        <v>0</v>
      </c>
      <c r="H346">
        <v>0</v>
      </c>
      <c r="I346">
        <v>0</v>
      </c>
      <c r="J346">
        <v>0</v>
      </c>
      <c r="K346">
        <v>0</v>
      </c>
      <c r="L346">
        <v>0</v>
      </c>
      <c r="M346">
        <v>0</v>
      </c>
      <c r="N346">
        <v>0.94411811390641365</v>
      </c>
      <c r="O346">
        <v>0</v>
      </c>
      <c r="P346">
        <v>0</v>
      </c>
      <c r="Q346">
        <v>0</v>
      </c>
      <c r="R346">
        <v>0</v>
      </c>
      <c r="S346">
        <v>0</v>
      </c>
    </row>
    <row r="347" spans="1:19" ht="15" x14ac:dyDescent="0.25">
      <c r="A347" t="s">
        <v>627</v>
      </c>
      <c r="C347" t="s">
        <v>46</v>
      </c>
      <c r="D347" t="s">
        <v>165</v>
      </c>
      <c r="E347" t="s">
        <v>34</v>
      </c>
      <c r="F347" t="s">
        <v>26</v>
      </c>
      <c r="G347">
        <v>0</v>
      </c>
      <c r="H347">
        <v>0</v>
      </c>
      <c r="I347">
        <v>0</v>
      </c>
      <c r="J347">
        <v>0</v>
      </c>
      <c r="K347">
        <v>0</v>
      </c>
      <c r="L347">
        <v>0</v>
      </c>
      <c r="M347">
        <v>0</v>
      </c>
      <c r="N347">
        <v>0.90846401606870619</v>
      </c>
      <c r="O347">
        <v>0</v>
      </c>
      <c r="P347">
        <v>0</v>
      </c>
      <c r="Q347">
        <v>0</v>
      </c>
      <c r="R347">
        <v>0</v>
      </c>
      <c r="S347">
        <v>0</v>
      </c>
    </row>
    <row r="348" spans="1:19" ht="15" x14ac:dyDescent="0.25">
      <c r="A348" t="s">
        <v>662</v>
      </c>
      <c r="C348" t="s">
        <v>46</v>
      </c>
      <c r="D348" t="s">
        <v>165</v>
      </c>
      <c r="E348" t="s">
        <v>34</v>
      </c>
      <c r="F348" t="s">
        <v>26</v>
      </c>
      <c r="G348">
        <v>0</v>
      </c>
      <c r="H348">
        <v>0</v>
      </c>
      <c r="I348">
        <v>0</v>
      </c>
      <c r="J348">
        <v>0</v>
      </c>
      <c r="K348">
        <v>0</v>
      </c>
      <c r="L348">
        <v>0</v>
      </c>
      <c r="M348">
        <v>0</v>
      </c>
      <c r="N348">
        <v>0.96816572775618603</v>
      </c>
      <c r="O348">
        <v>0</v>
      </c>
      <c r="P348">
        <v>0</v>
      </c>
      <c r="Q348">
        <v>0</v>
      </c>
      <c r="R348">
        <v>0</v>
      </c>
      <c r="S348">
        <v>0</v>
      </c>
    </row>
    <row r="349" spans="1:19" ht="15" x14ac:dyDescent="0.25">
      <c r="A349" t="s">
        <v>663</v>
      </c>
      <c r="C349" t="s">
        <v>46</v>
      </c>
      <c r="D349" t="s">
        <v>165</v>
      </c>
      <c r="E349" t="s">
        <v>34</v>
      </c>
      <c r="F349" t="s">
        <v>26</v>
      </c>
      <c r="G349">
        <v>0</v>
      </c>
      <c r="H349">
        <v>0</v>
      </c>
      <c r="I349">
        <v>0</v>
      </c>
      <c r="J349">
        <v>0</v>
      </c>
      <c r="K349">
        <v>0</v>
      </c>
      <c r="L349">
        <v>0</v>
      </c>
      <c r="M349">
        <v>0</v>
      </c>
      <c r="N349">
        <v>0.96816572775618603</v>
      </c>
      <c r="O349">
        <v>0</v>
      </c>
      <c r="P349">
        <v>0</v>
      </c>
      <c r="Q349">
        <v>0</v>
      </c>
      <c r="R349">
        <v>0</v>
      </c>
      <c r="S349">
        <v>0</v>
      </c>
    </row>
    <row r="350" spans="1:19" ht="15" x14ac:dyDescent="0.25">
      <c r="A350" t="s">
        <v>664</v>
      </c>
      <c r="C350" t="s">
        <v>46</v>
      </c>
      <c r="D350" t="s">
        <v>165</v>
      </c>
      <c r="E350" t="s">
        <v>34</v>
      </c>
      <c r="F350" t="s">
        <v>26</v>
      </c>
      <c r="G350">
        <v>0</v>
      </c>
      <c r="H350">
        <v>0</v>
      </c>
      <c r="I350">
        <v>0</v>
      </c>
      <c r="J350">
        <v>0</v>
      </c>
      <c r="K350">
        <v>0</v>
      </c>
      <c r="L350">
        <v>0</v>
      </c>
      <c r="M350">
        <v>0</v>
      </c>
      <c r="N350">
        <v>0.98674463647493826</v>
      </c>
      <c r="O350">
        <v>0</v>
      </c>
      <c r="P350">
        <v>0</v>
      </c>
      <c r="Q350">
        <v>0</v>
      </c>
      <c r="R350">
        <v>0</v>
      </c>
      <c r="S350">
        <v>0</v>
      </c>
    </row>
    <row r="351" spans="1:19" ht="15" x14ac:dyDescent="0.25">
      <c r="A351" t="s">
        <v>665</v>
      </c>
      <c r="C351" t="s">
        <v>46</v>
      </c>
      <c r="D351" t="s">
        <v>165</v>
      </c>
      <c r="E351" t="s">
        <v>34</v>
      </c>
      <c r="F351" t="s">
        <v>26</v>
      </c>
      <c r="G351">
        <v>0</v>
      </c>
      <c r="H351">
        <v>0</v>
      </c>
      <c r="I351">
        <v>0</v>
      </c>
      <c r="J351">
        <v>0</v>
      </c>
      <c r="K351">
        <v>0</v>
      </c>
      <c r="L351">
        <v>0</v>
      </c>
      <c r="M351">
        <v>0</v>
      </c>
      <c r="N351">
        <v>0.9324087383264138</v>
      </c>
      <c r="O351">
        <v>0</v>
      </c>
      <c r="P351">
        <v>0</v>
      </c>
      <c r="Q351">
        <v>0</v>
      </c>
      <c r="R351">
        <v>0</v>
      </c>
      <c r="S351">
        <v>0</v>
      </c>
    </row>
    <row r="352" spans="1:19" ht="15" x14ac:dyDescent="0.25">
      <c r="A352" t="s">
        <v>603</v>
      </c>
      <c r="C352" t="s">
        <v>46</v>
      </c>
      <c r="D352" t="s">
        <v>165</v>
      </c>
      <c r="E352" t="s">
        <v>34</v>
      </c>
      <c r="F352" t="s">
        <v>26</v>
      </c>
      <c r="G352">
        <v>0</v>
      </c>
      <c r="H352">
        <v>0</v>
      </c>
      <c r="I352">
        <v>0</v>
      </c>
      <c r="J352">
        <v>0</v>
      </c>
      <c r="K352">
        <v>0</v>
      </c>
      <c r="L352">
        <v>0</v>
      </c>
      <c r="M352">
        <v>0</v>
      </c>
      <c r="N352">
        <v>0.90846401606870619</v>
      </c>
      <c r="O352">
        <v>0</v>
      </c>
      <c r="P352">
        <v>0</v>
      </c>
      <c r="Q352">
        <v>0</v>
      </c>
      <c r="R352">
        <v>0</v>
      </c>
      <c r="S352">
        <v>0</v>
      </c>
    </row>
    <row r="353" spans="1:19" ht="15" x14ac:dyDescent="0.25">
      <c r="A353" t="s">
        <v>586</v>
      </c>
      <c r="C353" t="s">
        <v>46</v>
      </c>
      <c r="D353" t="s">
        <v>165</v>
      </c>
      <c r="E353" t="s">
        <v>34</v>
      </c>
      <c r="F353" t="s">
        <v>26</v>
      </c>
      <c r="G353">
        <v>0</v>
      </c>
      <c r="H353">
        <v>0</v>
      </c>
      <c r="I353">
        <v>0</v>
      </c>
      <c r="J353">
        <v>0</v>
      </c>
      <c r="K353">
        <v>0</v>
      </c>
      <c r="L353">
        <v>0</v>
      </c>
      <c r="M353">
        <v>0</v>
      </c>
      <c r="N353">
        <v>0.90846401606870619</v>
      </c>
      <c r="O353">
        <v>0</v>
      </c>
      <c r="P353">
        <v>0</v>
      </c>
      <c r="Q353">
        <v>0</v>
      </c>
      <c r="R353">
        <v>0</v>
      </c>
      <c r="S353">
        <v>0</v>
      </c>
    </row>
    <row r="354" spans="1:19" ht="15" x14ac:dyDescent="0.25">
      <c r="A354" t="s">
        <v>587</v>
      </c>
      <c r="C354" t="s">
        <v>46</v>
      </c>
      <c r="D354" t="s">
        <v>165</v>
      </c>
      <c r="E354" t="s">
        <v>34</v>
      </c>
      <c r="F354" t="s">
        <v>26</v>
      </c>
      <c r="G354">
        <v>0</v>
      </c>
      <c r="H354">
        <v>0</v>
      </c>
      <c r="I354">
        <v>0</v>
      </c>
      <c r="J354">
        <v>0</v>
      </c>
      <c r="K354">
        <v>0</v>
      </c>
      <c r="L354">
        <v>0</v>
      </c>
      <c r="M354">
        <v>0</v>
      </c>
      <c r="N354">
        <v>0.86588774805920499</v>
      </c>
      <c r="O354">
        <v>0</v>
      </c>
      <c r="P354">
        <v>0</v>
      </c>
      <c r="Q354">
        <v>0</v>
      </c>
      <c r="R354">
        <v>0</v>
      </c>
      <c r="S354">
        <v>0</v>
      </c>
    </row>
    <row r="355" spans="1:19" ht="15" x14ac:dyDescent="0.25">
      <c r="A355" t="s">
        <v>590</v>
      </c>
      <c r="C355" t="s">
        <v>46</v>
      </c>
      <c r="D355" t="s">
        <v>165</v>
      </c>
      <c r="E355" t="s">
        <v>34</v>
      </c>
      <c r="F355" t="s">
        <v>26</v>
      </c>
      <c r="G355">
        <v>0</v>
      </c>
      <c r="H355">
        <v>0</v>
      </c>
      <c r="I355">
        <v>0</v>
      </c>
      <c r="J355">
        <v>0</v>
      </c>
      <c r="K355">
        <v>0</v>
      </c>
      <c r="L355">
        <v>0</v>
      </c>
      <c r="M355">
        <v>0</v>
      </c>
      <c r="N355">
        <v>0.90846401606870619</v>
      </c>
      <c r="O355">
        <v>0</v>
      </c>
      <c r="P355">
        <v>0</v>
      </c>
      <c r="Q355">
        <v>0</v>
      </c>
      <c r="R355">
        <v>0</v>
      </c>
      <c r="S355">
        <v>0</v>
      </c>
    </row>
    <row r="356" spans="1:19" ht="14.1" customHeight="1" x14ac:dyDescent="0.25">
      <c r="A356" t="s">
        <v>618</v>
      </c>
      <c r="C356" t="s">
        <v>46</v>
      </c>
      <c r="D356" t="s">
        <v>165</v>
      </c>
      <c r="E356" t="s">
        <v>34</v>
      </c>
      <c r="F356" t="s">
        <v>26</v>
      </c>
      <c r="G356">
        <v>0</v>
      </c>
      <c r="H356">
        <v>0</v>
      </c>
      <c r="I356">
        <v>0</v>
      </c>
      <c r="J356">
        <v>0</v>
      </c>
      <c r="K356">
        <v>0</v>
      </c>
      <c r="L356">
        <v>0</v>
      </c>
      <c r="M356">
        <v>0</v>
      </c>
      <c r="N356">
        <v>0.90846401606870619</v>
      </c>
      <c r="O356">
        <v>0</v>
      </c>
      <c r="P356">
        <v>0</v>
      </c>
      <c r="Q356">
        <v>0</v>
      </c>
      <c r="R356">
        <v>0</v>
      </c>
      <c r="S356">
        <v>0</v>
      </c>
    </row>
    <row r="357" spans="1:19" ht="14.1" customHeight="1" x14ac:dyDescent="0.25">
      <c r="A357" t="s">
        <v>1597</v>
      </c>
      <c r="B357" t="s">
        <v>1485</v>
      </c>
      <c r="C357" t="s">
        <v>46</v>
      </c>
      <c r="D357" t="s">
        <v>47</v>
      </c>
      <c r="E357" t="s">
        <v>34</v>
      </c>
      <c r="F357" t="s">
        <v>35</v>
      </c>
      <c r="G357">
        <v>0</v>
      </c>
      <c r="H357">
        <v>0</v>
      </c>
      <c r="I357">
        <v>0</v>
      </c>
      <c r="J357">
        <v>0</v>
      </c>
      <c r="K357">
        <v>0</v>
      </c>
      <c r="L357">
        <v>0</v>
      </c>
      <c r="M357">
        <v>0</v>
      </c>
      <c r="N357">
        <v>0</v>
      </c>
      <c r="O357">
        <v>0</v>
      </c>
      <c r="P357">
        <v>0</v>
      </c>
      <c r="Q357">
        <v>0</v>
      </c>
      <c r="R357">
        <v>0</v>
      </c>
      <c r="S357">
        <v>0</v>
      </c>
    </row>
    <row r="358" spans="1:19" ht="14.1" customHeight="1" x14ac:dyDescent="0.25">
      <c r="A358" t="s">
        <v>1598</v>
      </c>
      <c r="B358" t="s">
        <v>1486</v>
      </c>
      <c r="C358" t="s">
        <v>46</v>
      </c>
      <c r="D358" t="s">
        <v>165</v>
      </c>
      <c r="E358" t="s">
        <v>34</v>
      </c>
      <c r="F358" t="s">
        <v>35</v>
      </c>
      <c r="G358">
        <v>0</v>
      </c>
      <c r="H358">
        <v>0</v>
      </c>
      <c r="I358">
        <v>0</v>
      </c>
      <c r="J358">
        <v>0</v>
      </c>
      <c r="K358">
        <v>0</v>
      </c>
      <c r="L358">
        <v>0</v>
      </c>
      <c r="M358">
        <v>0</v>
      </c>
      <c r="N358">
        <v>0</v>
      </c>
      <c r="O358">
        <v>0</v>
      </c>
      <c r="P358">
        <v>0</v>
      </c>
      <c r="Q358">
        <v>0</v>
      </c>
      <c r="R358">
        <v>0</v>
      </c>
      <c r="S358">
        <v>0</v>
      </c>
    </row>
    <row r="359" spans="1:19" ht="14.1" customHeight="1" x14ac:dyDescent="0.25">
      <c r="A359" t="s">
        <v>1599</v>
      </c>
      <c r="B359" t="s">
        <v>1487</v>
      </c>
      <c r="C359" t="s">
        <v>46</v>
      </c>
      <c r="D359" t="s">
        <v>165</v>
      </c>
      <c r="E359" t="s">
        <v>24</v>
      </c>
      <c r="F359" t="s">
        <v>35</v>
      </c>
      <c r="G359">
        <v>0</v>
      </c>
      <c r="H359">
        <v>0</v>
      </c>
      <c r="I359">
        <v>0</v>
      </c>
      <c r="J359">
        <v>0</v>
      </c>
      <c r="K359">
        <v>0</v>
      </c>
      <c r="L359">
        <v>0</v>
      </c>
      <c r="M359">
        <v>0</v>
      </c>
      <c r="N359">
        <v>0</v>
      </c>
      <c r="O359">
        <v>0</v>
      </c>
      <c r="P359">
        <v>0</v>
      </c>
      <c r="Q359">
        <v>0</v>
      </c>
      <c r="R359">
        <v>0</v>
      </c>
      <c r="S359">
        <v>0</v>
      </c>
    </row>
    <row r="360" spans="1:19" ht="14.1" customHeight="1" x14ac:dyDescent="0.25">
      <c r="A360" t="s">
        <v>1508</v>
      </c>
      <c r="B360" t="s">
        <v>1708</v>
      </c>
      <c r="C360" t="s">
        <v>46</v>
      </c>
      <c r="D360" t="s">
        <v>1152</v>
      </c>
      <c r="E360" t="s">
        <v>34</v>
      </c>
      <c r="F360" t="s">
        <v>35</v>
      </c>
      <c r="G360">
        <v>0</v>
      </c>
      <c r="H360">
        <v>0</v>
      </c>
      <c r="I360">
        <v>0</v>
      </c>
      <c r="J360">
        <v>0</v>
      </c>
      <c r="K360">
        <v>0</v>
      </c>
      <c r="L360">
        <v>0</v>
      </c>
      <c r="M360">
        <v>0</v>
      </c>
      <c r="N360">
        <v>0</v>
      </c>
      <c r="O360">
        <v>0</v>
      </c>
      <c r="P360">
        <v>21.6</v>
      </c>
      <c r="Q360">
        <v>0</v>
      </c>
      <c r="R360">
        <v>44668.681200000006</v>
      </c>
      <c r="S360">
        <v>44668.681200000006</v>
      </c>
    </row>
    <row r="361" spans="1:19" ht="14.1" customHeight="1" x14ac:dyDescent="0.25">
      <c r="A361" t="s">
        <v>685</v>
      </c>
      <c r="D361" t="s">
        <v>23</v>
      </c>
      <c r="E361" t="s">
        <v>34</v>
      </c>
      <c r="F361" t="s">
        <v>26</v>
      </c>
      <c r="G361">
        <v>0</v>
      </c>
      <c r="H361">
        <v>0</v>
      </c>
      <c r="I361">
        <v>0</v>
      </c>
      <c r="J361">
        <v>0</v>
      </c>
      <c r="K361">
        <v>0</v>
      </c>
      <c r="L361">
        <v>0</v>
      </c>
      <c r="M361">
        <v>0</v>
      </c>
      <c r="N361">
        <v>0</v>
      </c>
      <c r="O361">
        <v>0</v>
      </c>
      <c r="P361">
        <v>0</v>
      </c>
      <c r="Q361">
        <v>0</v>
      </c>
      <c r="R361">
        <v>0</v>
      </c>
      <c r="S361">
        <v>0</v>
      </c>
    </row>
    <row r="362" spans="1:19" ht="14.1" customHeight="1" x14ac:dyDescent="0.25">
      <c r="A362" t="s">
        <v>686</v>
      </c>
      <c r="D362" t="s">
        <v>23</v>
      </c>
      <c r="E362" t="s">
        <v>34</v>
      </c>
      <c r="F362" t="s">
        <v>26</v>
      </c>
      <c r="G362">
        <v>0</v>
      </c>
      <c r="H362">
        <v>0</v>
      </c>
      <c r="I362">
        <v>0</v>
      </c>
      <c r="J362">
        <v>0</v>
      </c>
      <c r="K362">
        <v>0</v>
      </c>
      <c r="L362">
        <v>0</v>
      </c>
      <c r="M362">
        <v>0</v>
      </c>
      <c r="N362">
        <v>0</v>
      </c>
      <c r="O362">
        <v>0</v>
      </c>
      <c r="P362">
        <v>0</v>
      </c>
      <c r="Q362">
        <v>0</v>
      </c>
      <c r="R362">
        <v>0</v>
      </c>
      <c r="S362">
        <v>0</v>
      </c>
    </row>
    <row r="363" spans="1:19" ht="14.1" customHeight="1" x14ac:dyDescent="0.25">
      <c r="A363" t="s">
        <v>2049</v>
      </c>
      <c r="B363" t="s">
        <v>2049</v>
      </c>
      <c r="F363" t="s">
        <v>35</v>
      </c>
      <c r="G363">
        <v>4.6157733333333333</v>
      </c>
      <c r="H363">
        <v>0</v>
      </c>
      <c r="I363">
        <v>0</v>
      </c>
      <c r="J363">
        <v>0</v>
      </c>
      <c r="K363">
        <v>0</v>
      </c>
      <c r="L363">
        <v>0</v>
      </c>
      <c r="M363">
        <v>0</v>
      </c>
      <c r="N363">
        <v>0</v>
      </c>
      <c r="O363">
        <v>0</v>
      </c>
      <c r="P363">
        <v>0</v>
      </c>
      <c r="Q363">
        <v>20527.728745333334</v>
      </c>
      <c r="R363">
        <v>20527.728745333334</v>
      </c>
      <c r="S363">
        <v>20527.728745333334</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abSelected="1" zoomScale="80" zoomScaleNormal="80" workbookViewId="0">
      <pane xSplit="1" topLeftCell="B1" activePane="topRight" state="frozen"/>
      <selection pane="topRight" activeCell="C9" sqref="C9"/>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948</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2048</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1244</v>
      </c>
      <c r="F4" s="270" t="s">
        <v>1245</v>
      </c>
      <c r="G4" s="270" t="s">
        <v>1246</v>
      </c>
      <c r="H4" s="270" t="s">
        <v>1247</v>
      </c>
      <c r="I4" s="270" t="s">
        <v>1248</v>
      </c>
      <c r="J4" s="269" t="s">
        <v>840</v>
      </c>
      <c r="K4" s="269" t="s">
        <v>1</v>
      </c>
      <c r="L4" s="270" t="s">
        <v>841</v>
      </c>
      <c r="M4" s="270" t="s">
        <v>842</v>
      </c>
      <c r="N4" s="270" t="s">
        <v>843</v>
      </c>
      <c r="O4" s="270" t="s">
        <v>844</v>
      </c>
      <c r="P4" s="270" t="s">
        <v>845</v>
      </c>
      <c r="Q4" s="270" t="s">
        <v>846</v>
      </c>
      <c r="R4" s="270" t="s">
        <v>847</v>
      </c>
      <c r="S4" s="269" t="s">
        <v>848</v>
      </c>
      <c r="T4" s="271" t="s">
        <v>1166</v>
      </c>
      <c r="U4" s="270" t="s">
        <v>1387</v>
      </c>
      <c r="V4" s="270" t="s">
        <v>1449</v>
      </c>
      <c r="W4" s="270" t="s">
        <v>2</v>
      </c>
      <c r="X4" s="269" t="s">
        <v>1167</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1386</v>
      </c>
      <c r="G5" s="268" t="s">
        <v>783</v>
      </c>
      <c r="H5" s="268" t="s">
        <v>783</v>
      </c>
      <c r="I5" s="268" t="s">
        <v>784</v>
      </c>
      <c r="J5" s="267" t="s">
        <v>1388</v>
      </c>
      <c r="K5" s="267" t="s">
        <v>1388</v>
      </c>
      <c r="L5" s="267" t="s">
        <v>1388</v>
      </c>
      <c r="M5" s="267" t="s">
        <v>1388</v>
      </c>
      <c r="N5" s="267" t="s">
        <v>1388</v>
      </c>
      <c r="O5" s="267" t="s">
        <v>1388</v>
      </c>
      <c r="P5" s="267" t="s">
        <v>1388</v>
      </c>
      <c r="Q5" s="267" t="s">
        <v>1388</v>
      </c>
      <c r="R5" s="267" t="s">
        <v>1388</v>
      </c>
      <c r="S5" s="267" t="s">
        <v>1388</v>
      </c>
      <c r="T5" s="267" t="s">
        <v>1388</v>
      </c>
      <c r="U5" s="268" t="s">
        <v>781</v>
      </c>
      <c r="V5" s="267" t="s">
        <v>1388</v>
      </c>
      <c r="W5" s="268" t="s">
        <v>781</v>
      </c>
      <c r="X5" s="267" t="s">
        <v>1388</v>
      </c>
      <c r="Y5" s="54"/>
      <c r="Z5" s="54"/>
      <c r="AA5" s="265"/>
      <c r="AB5" s="265"/>
      <c r="AC5" s="265"/>
      <c r="AD5" s="265"/>
      <c r="AE5" s="265"/>
      <c r="AF5" s="265"/>
      <c r="AG5" s="265"/>
    </row>
    <row r="6" spans="1:34" ht="28.7" customHeight="1" x14ac:dyDescent="0.25">
      <c r="A6" s="892" t="s">
        <v>1578</v>
      </c>
      <c r="B6" s="892" t="s">
        <v>66</v>
      </c>
      <c r="C6" s="892" t="s">
        <v>23</v>
      </c>
      <c r="D6" s="892" t="s">
        <v>34</v>
      </c>
      <c r="E6" s="892">
        <v>27.913</v>
      </c>
      <c r="F6" s="892">
        <v>5.2436000000000003E-2</v>
      </c>
      <c r="G6" s="892">
        <v>126.56</v>
      </c>
      <c r="H6" s="892">
        <v>0</v>
      </c>
      <c r="I6" s="892">
        <v>0</v>
      </c>
      <c r="J6" s="892">
        <v>0</v>
      </c>
      <c r="K6" s="892">
        <v>9</v>
      </c>
      <c r="L6" s="892">
        <v>0.75</v>
      </c>
      <c r="M6" s="892">
        <v>0.75</v>
      </c>
      <c r="N6" s="892">
        <v>0.75</v>
      </c>
      <c r="O6" s="892">
        <v>0.5</v>
      </c>
      <c r="P6" s="892"/>
      <c r="Q6" s="892"/>
      <c r="R6" s="892">
        <v>1</v>
      </c>
      <c r="S6">
        <v>0.21428571428571427</v>
      </c>
      <c r="T6">
        <v>1</v>
      </c>
      <c r="U6">
        <v>223359.76316940002</v>
      </c>
      <c r="V6">
        <v>2</v>
      </c>
      <c r="W6">
        <v>223359.76316940002</v>
      </c>
      <c r="X6">
        <v>2</v>
      </c>
    </row>
    <row r="7" spans="1:34" ht="28.7" customHeight="1" x14ac:dyDescent="0.25">
      <c r="A7" s="892" t="s">
        <v>2049</v>
      </c>
      <c r="B7" s="892"/>
      <c r="C7" s="892"/>
      <c r="D7" s="892"/>
      <c r="E7" s="892">
        <v>4.6157733333333333</v>
      </c>
      <c r="F7" s="892">
        <v>0</v>
      </c>
      <c r="G7" s="892">
        <v>0</v>
      </c>
      <c r="H7" s="892">
        <v>0</v>
      </c>
      <c r="I7" s="892">
        <v>0</v>
      </c>
      <c r="J7" s="892">
        <v>0</v>
      </c>
      <c r="K7" s="892">
        <v>9</v>
      </c>
      <c r="L7" s="892"/>
      <c r="M7" s="892"/>
      <c r="N7" s="892"/>
      <c r="O7" s="892"/>
      <c r="P7" s="892"/>
      <c r="Q7" s="892"/>
      <c r="R7" s="892"/>
      <c r="S7">
        <v>0</v>
      </c>
      <c r="T7">
        <v>2</v>
      </c>
      <c r="U7">
        <v>20527.728745333334</v>
      </c>
      <c r="V7">
        <v>1</v>
      </c>
      <c r="W7">
        <v>20527.728745333334</v>
      </c>
      <c r="X7">
        <v>1</v>
      </c>
    </row>
    <row r="8" spans="1:34" ht="28.7" customHeight="1" x14ac:dyDescent="0.25">
      <c r="A8" s="892"/>
      <c r="B8" s="892"/>
      <c r="C8" s="892"/>
      <c r="D8" s="892"/>
      <c r="E8" s="892"/>
      <c r="F8" s="892"/>
      <c r="G8" s="892"/>
      <c r="H8" s="892"/>
      <c r="I8" s="892"/>
      <c r="J8" s="892"/>
      <c r="K8" s="892"/>
      <c r="L8" s="892"/>
      <c r="M8" s="892"/>
      <c r="N8" s="892"/>
      <c r="O8" s="892"/>
      <c r="P8" s="892"/>
      <c r="Q8" s="892"/>
      <c r="R8" s="892"/>
    </row>
    <row r="9" spans="1:34" ht="28.7" customHeight="1" x14ac:dyDescent="0.25">
      <c r="A9" s="892"/>
      <c r="B9" s="892"/>
      <c r="C9" s="892"/>
      <c r="D9" s="892"/>
      <c r="E9" s="892"/>
      <c r="F9" s="892"/>
      <c r="G9" s="892"/>
      <c r="H9" s="892"/>
      <c r="I9" s="892"/>
      <c r="J9" s="892"/>
      <c r="K9" s="892"/>
      <c r="L9" s="892"/>
      <c r="M9" s="892"/>
      <c r="N9" s="892"/>
      <c r="O9" s="892"/>
      <c r="P9" s="892"/>
      <c r="Q9" s="892"/>
      <c r="R9" s="892"/>
    </row>
    <row r="10" spans="1:34" ht="28.7" customHeight="1" x14ac:dyDescent="0.25">
      <c r="A10" s="892"/>
      <c r="B10" s="892"/>
      <c r="C10" s="892"/>
      <c r="D10" s="892"/>
      <c r="E10" s="892"/>
      <c r="F10" s="892"/>
      <c r="G10" s="892"/>
      <c r="H10" s="892"/>
      <c r="I10" s="892"/>
      <c r="J10" s="892"/>
      <c r="K10" s="892"/>
      <c r="L10" s="892"/>
      <c r="M10" s="892"/>
      <c r="N10" s="892"/>
      <c r="O10" s="892"/>
      <c r="P10" s="892"/>
      <c r="Q10" s="892"/>
      <c r="R10" s="892"/>
    </row>
    <row r="11" spans="1:34" ht="28.7" customHeight="1" x14ac:dyDescent="0.25">
      <c r="A11" s="892"/>
      <c r="B11" s="892"/>
      <c r="C11" s="892"/>
      <c r="D11" s="892"/>
      <c r="E11" s="892"/>
      <c r="F11" s="892"/>
      <c r="G11" s="892"/>
      <c r="H11" s="892"/>
      <c r="I11" s="892"/>
      <c r="J11" s="892"/>
      <c r="K11" s="892"/>
      <c r="L11" s="892"/>
      <c r="M11" s="892"/>
      <c r="N11" s="892"/>
      <c r="O11" s="892"/>
      <c r="P11" s="892"/>
      <c r="Q11" s="892"/>
      <c r="R11" s="892"/>
    </row>
    <row r="12" spans="1:34" ht="28.7" customHeight="1" x14ac:dyDescent="0.25">
      <c r="A12" s="892"/>
      <c r="B12" s="892"/>
      <c r="C12" s="892"/>
      <c r="D12" s="892"/>
      <c r="E12" s="892"/>
      <c r="F12" s="892"/>
      <c r="G12" s="892"/>
      <c r="H12" s="892"/>
      <c r="I12" s="892"/>
      <c r="J12" s="892"/>
      <c r="K12" s="892"/>
      <c r="L12" s="892"/>
      <c r="M12" s="892"/>
      <c r="N12" s="892"/>
      <c r="O12" s="892"/>
      <c r="P12" s="892"/>
      <c r="Q12" s="892"/>
      <c r="R12" s="892"/>
    </row>
    <row r="13" spans="1:34" ht="28.7" customHeight="1" x14ac:dyDescent="0.25">
      <c r="A13" s="892"/>
      <c r="B13" s="892"/>
      <c r="C13" s="892"/>
      <c r="D13" s="892"/>
      <c r="E13" s="892"/>
      <c r="F13" s="892"/>
      <c r="G13" s="892"/>
      <c r="H13" s="892"/>
      <c r="I13" s="892"/>
      <c r="J13" s="892"/>
      <c r="K13" s="892"/>
      <c r="L13" s="892"/>
      <c r="M13" s="892"/>
      <c r="N13" s="892"/>
      <c r="O13" s="892"/>
      <c r="P13" s="892"/>
      <c r="Q13" s="892"/>
      <c r="R13" s="892"/>
    </row>
    <row r="14" spans="1:34" ht="28.7" customHeight="1" x14ac:dyDescent="0.25">
      <c r="A14" s="892"/>
      <c r="B14" s="892"/>
      <c r="C14" s="892"/>
      <c r="D14" s="892"/>
      <c r="E14" s="892"/>
      <c r="F14" s="892"/>
      <c r="G14" s="892"/>
      <c r="H14" s="892"/>
      <c r="I14" s="892"/>
      <c r="J14" s="892"/>
      <c r="K14" s="892"/>
      <c r="L14" s="892"/>
      <c r="M14" s="892"/>
      <c r="N14" s="892"/>
      <c r="O14" s="892"/>
      <c r="P14" s="892"/>
      <c r="Q14" s="892"/>
      <c r="R14" s="892"/>
    </row>
    <row r="15" spans="1:34" ht="28.7" customHeight="1" x14ac:dyDescent="0.25">
      <c r="A15" s="892"/>
      <c r="B15" s="893"/>
      <c r="C15" s="893"/>
      <c r="D15" s="893"/>
      <c r="E15" s="893"/>
      <c r="F15" s="893"/>
      <c r="G15" s="893"/>
      <c r="H15" s="893"/>
      <c r="I15" s="893"/>
      <c r="J15" s="892"/>
      <c r="K15" s="892"/>
      <c r="L15" s="892"/>
      <c r="M15" s="892"/>
      <c r="N15" s="892"/>
      <c r="O15" s="892"/>
      <c r="P15" s="892"/>
      <c r="Q15" s="892"/>
      <c r="R15" s="892"/>
    </row>
    <row r="16" spans="1:34" ht="28.7" customHeight="1" x14ac:dyDescent="0.25">
      <c r="A16" s="892"/>
      <c r="B16" s="893"/>
      <c r="C16" s="893"/>
      <c r="D16" s="893"/>
      <c r="E16" s="893"/>
      <c r="F16" s="893"/>
      <c r="G16" s="893"/>
      <c r="H16" s="893"/>
      <c r="I16" s="893"/>
      <c r="J16" s="892"/>
      <c r="K16" s="892"/>
      <c r="L16" s="892"/>
      <c r="M16" s="892"/>
      <c r="N16" s="892"/>
      <c r="O16" s="892"/>
      <c r="P16" s="892"/>
      <c r="Q16" s="892"/>
      <c r="R16" s="892"/>
    </row>
    <row r="17" spans="1:18" ht="28.7" customHeight="1" x14ac:dyDescent="0.25">
      <c r="A17" s="892"/>
      <c r="B17" s="892"/>
      <c r="C17" s="892"/>
      <c r="D17" s="892"/>
      <c r="E17" s="892"/>
      <c r="F17" s="892"/>
      <c r="G17" s="892"/>
      <c r="H17" s="892"/>
      <c r="I17" s="892"/>
      <c r="J17" s="892"/>
      <c r="K17" s="892"/>
      <c r="L17" s="892"/>
      <c r="M17" s="892"/>
      <c r="N17" s="892"/>
      <c r="O17" s="892"/>
      <c r="P17" s="892"/>
      <c r="Q17" s="892"/>
      <c r="R17" s="892"/>
    </row>
    <row r="18" spans="1:18" ht="28.7" customHeight="1" x14ac:dyDescent="0.25">
      <c r="A18" s="892"/>
      <c r="B18" s="892"/>
      <c r="C18" s="892"/>
      <c r="D18" s="892"/>
      <c r="E18" s="892"/>
      <c r="F18" s="892"/>
      <c r="G18" s="892"/>
      <c r="H18" s="892"/>
      <c r="I18" s="892"/>
      <c r="J18" s="892"/>
      <c r="K18" s="892"/>
      <c r="L18" s="892"/>
      <c r="M18" s="892"/>
      <c r="N18" s="892"/>
      <c r="O18" s="892"/>
      <c r="P18" s="892"/>
      <c r="Q18" s="892"/>
      <c r="R18" s="892"/>
    </row>
    <row r="19" spans="1:18" ht="28.7" customHeight="1" x14ac:dyDescent="0.25">
      <c r="A19" s="892"/>
      <c r="B19" s="893"/>
      <c r="C19" s="893"/>
      <c r="D19" s="893"/>
      <c r="E19" s="893"/>
      <c r="F19" s="893"/>
      <c r="G19" s="893"/>
      <c r="H19" s="893"/>
      <c r="I19" s="893"/>
      <c r="J19" s="892"/>
      <c r="K19" s="892"/>
      <c r="L19" s="892"/>
      <c r="M19" s="892"/>
      <c r="N19" s="892"/>
      <c r="O19" s="892"/>
      <c r="P19" s="892"/>
      <c r="Q19" s="892"/>
      <c r="R19" s="892"/>
    </row>
    <row r="20" spans="1:18" ht="28.7" customHeight="1" x14ac:dyDescent="0.25">
      <c r="A20" s="892"/>
      <c r="B20" s="892"/>
      <c r="C20" s="892"/>
      <c r="D20" s="892"/>
      <c r="E20" s="892"/>
      <c r="F20" s="892"/>
      <c r="G20" s="892"/>
      <c r="H20" s="892"/>
      <c r="I20" s="892"/>
      <c r="J20" s="892"/>
      <c r="K20" s="892"/>
      <c r="L20" s="892"/>
      <c r="M20" s="892"/>
      <c r="N20" s="892"/>
      <c r="O20" s="892"/>
      <c r="P20" s="892"/>
      <c r="Q20" s="892"/>
      <c r="R20" s="892"/>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P69"/>
  <sheetViews>
    <sheetView showGridLines="0" topLeftCell="A7" zoomScale="80" zoomScaleNormal="80" zoomScalePageLayoutView="55" workbookViewId="0">
      <selection activeCell="AK13" sqref="AK13"/>
    </sheetView>
  </sheetViews>
  <sheetFormatPr defaultColWidth="5.5703125" defaultRowHeight="15" x14ac:dyDescent="0.25"/>
  <cols>
    <col min="1" max="35" width="5.5703125" customWidth="1"/>
  </cols>
  <sheetData>
    <row r="1" spans="1:41" x14ac:dyDescent="0.25">
      <c r="AA1" s="63" t="s">
        <v>1602</v>
      </c>
      <c r="AB1" s="27"/>
      <c r="AJ1" s="722"/>
    </row>
    <row r="2" spans="1:41" x14ac:dyDescent="0.25">
      <c r="AA2" t="s">
        <v>1603</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1604</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45">
        <v>0</v>
      </c>
      <c r="Y4" s="27"/>
      <c r="Z4" s="27"/>
      <c r="AA4" s="27" t="s">
        <v>2076</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51"/>
      <c r="Y5" s="27"/>
      <c r="Z5" s="27"/>
      <c r="AA5" s="27"/>
      <c r="AB5" s="27"/>
      <c r="AC5" s="27"/>
      <c r="AD5" s="78"/>
      <c r="AE5" s="27"/>
      <c r="AF5" s="390">
        <v>0</v>
      </c>
      <c r="AG5" s="372" t="s">
        <v>1552</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90">
        <v>0</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851">
        <v>2.4370799999999995</v>
      </c>
      <c r="O7" s="27"/>
      <c r="P7" s="27"/>
      <c r="Q7" s="27"/>
      <c r="R7" s="27"/>
      <c r="S7" s="27"/>
      <c r="T7" s="27"/>
      <c r="U7" s="27"/>
      <c r="V7" s="27"/>
      <c r="W7" s="27"/>
      <c r="X7" s="27"/>
      <c r="Y7" s="27"/>
      <c r="Z7" s="833">
        <v>1.1655</v>
      </c>
      <c r="AA7" s="27"/>
      <c r="AB7" s="27"/>
      <c r="AC7" s="27"/>
      <c r="AD7" s="27"/>
      <c r="AE7" s="832">
        <v>0</v>
      </c>
      <c r="AF7" s="27"/>
      <c r="AG7" s="27"/>
      <c r="AH7" s="27"/>
      <c r="AI7" s="27"/>
      <c r="AK7" s="27"/>
      <c r="AL7" s="27"/>
      <c r="AM7" s="27"/>
    </row>
    <row r="8" spans="1:41" ht="15" customHeight="1" x14ac:dyDescent="0.25">
      <c r="A8" s="27"/>
      <c r="B8" s="27"/>
      <c r="C8" s="27"/>
      <c r="D8" s="27"/>
      <c r="E8" s="27"/>
      <c r="F8" s="845">
        <v>0</v>
      </c>
      <c r="H8" s="298"/>
      <c r="I8" s="293"/>
      <c r="J8" s="293"/>
      <c r="K8" s="27"/>
      <c r="L8" s="27"/>
      <c r="M8" s="27"/>
      <c r="N8" s="851"/>
      <c r="O8" s="27"/>
      <c r="P8" s="27"/>
      <c r="Q8" s="27"/>
      <c r="R8" s="27"/>
      <c r="S8" s="27"/>
      <c r="T8" s="27"/>
      <c r="U8" s="299"/>
      <c r="V8" s="27"/>
      <c r="W8" s="27"/>
      <c r="X8" s="27"/>
      <c r="Y8" s="27"/>
      <c r="Z8" s="833"/>
      <c r="AA8" s="27"/>
      <c r="AB8" s="300"/>
      <c r="AC8" s="301"/>
      <c r="AD8" s="27"/>
      <c r="AE8" s="833"/>
      <c r="AF8" s="27"/>
      <c r="AG8" s="27"/>
      <c r="AH8" s="27"/>
      <c r="AI8" s="27"/>
      <c r="AJ8" s="27"/>
      <c r="AK8" s="27"/>
      <c r="AL8" s="27"/>
      <c r="AM8" s="27"/>
    </row>
    <row r="9" spans="1:41" ht="15" customHeight="1" x14ac:dyDescent="0.25">
      <c r="A9" s="373"/>
      <c r="B9" s="736">
        <v>0</v>
      </c>
      <c r="C9" s="27"/>
      <c r="D9" s="27"/>
      <c r="E9" s="27"/>
      <c r="F9" s="854"/>
      <c r="H9" s="27"/>
      <c r="I9" s="27"/>
      <c r="J9" s="27"/>
      <c r="K9" s="27"/>
      <c r="L9" s="27"/>
      <c r="M9" s="27"/>
      <c r="N9" s="27"/>
      <c r="O9" s="303"/>
      <c r="P9" s="27"/>
      <c r="Q9" s="27"/>
      <c r="R9" s="27"/>
      <c r="S9" s="27"/>
      <c r="T9" s="27"/>
      <c r="U9" s="27"/>
      <c r="V9" s="27"/>
      <c r="W9" s="27"/>
      <c r="X9" s="27"/>
      <c r="Y9" s="315"/>
      <c r="Z9" s="735">
        <v>0</v>
      </c>
      <c r="AA9" s="372" t="s">
        <v>1552</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297">
        <v>1.1655</v>
      </c>
      <c r="AC10" s="844"/>
      <c r="AD10" s="844"/>
      <c r="AE10" s="27"/>
      <c r="AF10" s="27"/>
      <c r="AG10" s="27"/>
      <c r="AH10" s="27"/>
      <c r="AI10" s="27"/>
      <c r="AJ10" s="27"/>
      <c r="AK10" s="27"/>
      <c r="AL10" s="27"/>
      <c r="AM10" s="27"/>
    </row>
    <row r="11" spans="1:41" ht="15" customHeight="1" x14ac:dyDescent="0.25">
      <c r="A11" s="27"/>
      <c r="C11" s="372">
        <v>0</v>
      </c>
      <c r="D11" s="838">
        <v>0</v>
      </c>
      <c r="E11" s="848"/>
      <c r="F11" s="27"/>
      <c r="G11" s="27"/>
      <c r="H11" s="27"/>
      <c r="I11" s="27"/>
      <c r="J11" s="293"/>
      <c r="K11" s="305"/>
      <c r="L11" s="27"/>
      <c r="M11" s="27"/>
      <c r="N11" s="27"/>
      <c r="O11" s="306"/>
      <c r="P11" s="27"/>
      <c r="Q11" s="377">
        <v>0</v>
      </c>
      <c r="R11" s="27"/>
      <c r="S11" s="27"/>
      <c r="T11" s="27"/>
      <c r="U11" s="27"/>
      <c r="V11" s="27"/>
      <c r="W11" s="307"/>
      <c r="X11" s="27"/>
      <c r="Y11" s="27"/>
      <c r="Z11" s="304"/>
      <c r="AA11" s="27"/>
      <c r="AB11" s="27"/>
      <c r="AC11" s="308"/>
      <c r="AD11" s="309"/>
      <c r="AE11" s="27"/>
      <c r="AF11" s="27"/>
      <c r="AG11" s="310"/>
      <c r="AH11" s="27"/>
      <c r="AI11" s="372">
        <v>0</v>
      </c>
      <c r="AJ11" s="372" t="s">
        <v>1993</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822">
        <v>0</v>
      </c>
      <c r="AH12" s="899" t="s">
        <v>2094</v>
      </c>
      <c r="AI12" s="27"/>
      <c r="AJ12" s="27"/>
      <c r="AK12" s="27"/>
      <c r="AL12" s="27"/>
      <c r="AM12" s="27"/>
    </row>
    <row r="13" spans="1:41" ht="15" customHeight="1" x14ac:dyDescent="0.25">
      <c r="A13" s="27"/>
      <c r="B13" s="27"/>
      <c r="C13" s="27"/>
      <c r="D13" s="27"/>
      <c r="E13" s="27"/>
      <c r="F13" s="27"/>
      <c r="G13" s="27"/>
      <c r="I13" s="390">
        <v>0</v>
      </c>
      <c r="J13" s="27"/>
      <c r="K13" s="27"/>
      <c r="L13" s="27"/>
      <c r="M13" s="314"/>
      <c r="N13" s="27"/>
      <c r="O13" s="304"/>
      <c r="P13" s="27"/>
      <c r="Q13" s="834">
        <v>0.92137999999999998</v>
      </c>
      <c r="R13" s="27"/>
      <c r="S13" s="27"/>
      <c r="T13" s="27"/>
      <c r="U13" s="27"/>
      <c r="V13" s="27"/>
      <c r="W13" s="27"/>
      <c r="X13" s="315"/>
      <c r="Y13" s="900">
        <v>0</v>
      </c>
      <c r="Z13" s="304"/>
      <c r="AA13" s="27"/>
      <c r="AB13" s="27"/>
      <c r="AC13" s="27"/>
      <c r="AD13" s="27"/>
      <c r="AE13" s="27"/>
      <c r="AF13" s="27"/>
      <c r="AG13" s="316"/>
      <c r="AH13" s="27"/>
      <c r="AI13" s="846"/>
      <c r="AJ13" s="846"/>
      <c r="AK13" s="27"/>
      <c r="AL13" s="372">
        <v>0</v>
      </c>
      <c r="AM13" s="27"/>
    </row>
    <row r="14" spans="1:41" ht="15" customHeight="1" x14ac:dyDescent="0.25">
      <c r="A14" s="27"/>
      <c r="B14" s="27"/>
      <c r="C14" s="27"/>
      <c r="D14" s="27">
        <v>18.968</v>
      </c>
      <c r="E14" s="27"/>
      <c r="F14" s="27"/>
      <c r="G14" s="27"/>
      <c r="H14" s="27"/>
      <c r="I14" s="27"/>
      <c r="J14" s="27"/>
      <c r="K14" s="27"/>
      <c r="L14" s="27"/>
      <c r="M14" s="27"/>
      <c r="N14" s="27"/>
      <c r="O14" s="304"/>
      <c r="P14" s="27"/>
      <c r="Q14" s="834"/>
      <c r="R14" s="27"/>
      <c r="S14" s="27"/>
      <c r="T14" s="27"/>
      <c r="U14" s="27"/>
      <c r="V14" s="27"/>
      <c r="W14" s="27"/>
      <c r="X14" s="27"/>
      <c r="Y14" s="834"/>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704">
        <v>0</v>
      </c>
      <c r="J15" s="27"/>
      <c r="K15" s="27"/>
      <c r="L15" s="27"/>
      <c r="M15" s="27"/>
      <c r="N15" s="318"/>
      <c r="O15" s="304"/>
      <c r="P15" s="27"/>
      <c r="Q15" s="27"/>
      <c r="R15" s="27"/>
      <c r="S15" s="27"/>
      <c r="T15" s="27"/>
      <c r="U15" s="303"/>
      <c r="V15" s="27"/>
      <c r="W15" s="27"/>
      <c r="X15" s="27"/>
      <c r="Y15" s="27"/>
      <c r="Z15" s="304"/>
      <c r="AA15" s="27"/>
      <c r="AB15" s="27"/>
      <c r="AC15" s="27"/>
      <c r="AD15" s="27"/>
      <c r="AE15" s="372">
        <v>0</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390">
        <v>0</v>
      </c>
      <c r="J17" s="27"/>
      <c r="K17" s="27"/>
      <c r="L17" s="27"/>
      <c r="M17" s="27"/>
      <c r="N17" s="322"/>
      <c r="O17" s="27"/>
      <c r="P17" s="27" t="s">
        <v>1553</v>
      </c>
      <c r="Q17" s="27"/>
      <c r="R17" s="27"/>
      <c r="S17" s="27"/>
      <c r="T17" s="27"/>
      <c r="U17" s="838">
        <v>0</v>
      </c>
      <c r="V17" s="839"/>
      <c r="W17" s="27"/>
      <c r="X17" s="346">
        <v>0</v>
      </c>
      <c r="Y17" s="27"/>
      <c r="Z17" s="27"/>
      <c r="AA17" s="27"/>
      <c r="AB17" s="360">
        <v>0.10677277133346211</v>
      </c>
      <c r="AC17" s="846"/>
      <c r="AD17" s="847"/>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42"/>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42"/>
      <c r="Z20" s="304"/>
      <c r="AA20" s="27"/>
      <c r="AB20" s="27"/>
      <c r="AC20" s="27"/>
      <c r="AD20" s="27"/>
      <c r="AE20" s="27"/>
      <c r="AF20" s="27"/>
      <c r="AG20" s="303"/>
      <c r="AH20" s="27"/>
      <c r="AI20" s="27"/>
      <c r="AJ20" s="27"/>
      <c r="AK20" s="27"/>
      <c r="AL20" s="27"/>
      <c r="AM20" s="27"/>
    </row>
    <row r="21" spans="1:42" ht="15" customHeight="1" x14ac:dyDescent="0.25">
      <c r="A21" s="27"/>
      <c r="B21" s="27"/>
      <c r="C21" s="390">
        <v>0</v>
      </c>
      <c r="D21" s="372" t="s">
        <v>1506</v>
      </c>
      <c r="E21" s="27"/>
      <c r="F21" s="894">
        <v>0</v>
      </c>
      <c r="G21" s="372" t="s">
        <v>1505</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72">
        <v>0</v>
      </c>
      <c r="AH21" s="27"/>
      <c r="AI21" s="27"/>
      <c r="AJ21" s="27"/>
      <c r="AK21" s="27"/>
      <c r="AL21" s="27"/>
      <c r="AM21" s="27"/>
    </row>
    <row r="22" spans="1:42" ht="15" customHeight="1" x14ac:dyDescent="0.25">
      <c r="A22" s="27"/>
      <c r="B22" s="27"/>
      <c r="C22" s="390">
        <v>0</v>
      </c>
      <c r="D22" s="372" t="s">
        <v>1533</v>
      </c>
      <c r="E22" s="896">
        <v>0</v>
      </c>
      <c r="F22" s="857"/>
      <c r="G22" s="372" t="s">
        <v>1538</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c r="AM22" s="27"/>
    </row>
    <row r="23" spans="1:42" ht="15" customHeight="1" x14ac:dyDescent="0.25">
      <c r="A23" s="27"/>
      <c r="B23" s="27"/>
      <c r="C23" s="27"/>
      <c r="D23" s="27"/>
      <c r="E23" s="27"/>
      <c r="F23" s="390">
        <v>0</v>
      </c>
      <c r="G23" s="372" t="s">
        <v>1646</v>
      </c>
      <c r="H23" s="27"/>
      <c r="I23" s="27"/>
      <c r="J23" s="27"/>
      <c r="K23" s="376">
        <v>2.3218799999999993</v>
      </c>
      <c r="L23" s="27"/>
      <c r="M23" s="844">
        <v>1.1654999999999991</v>
      </c>
      <c r="N23" s="844"/>
      <c r="O23" s="378">
        <v>0.92039999999999944</v>
      </c>
      <c r="P23" s="27"/>
      <c r="Q23" s="27"/>
      <c r="R23" s="27"/>
      <c r="S23" s="27"/>
      <c r="T23" s="27"/>
      <c r="U23" s="836">
        <v>0</v>
      </c>
      <c r="V23" s="837"/>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1534</v>
      </c>
      <c r="Q24" s="374"/>
      <c r="R24" s="346" t="s">
        <v>1413</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1.6917033333333333</v>
      </c>
      <c r="I25" s="27" t="s">
        <v>1190</v>
      </c>
      <c r="J25" s="341"/>
      <c r="K25" s="342"/>
      <c r="L25" s="315"/>
      <c r="M25" s="27"/>
      <c r="N25" s="318"/>
      <c r="O25" s="27"/>
      <c r="P25" s="376">
        <v>2.863165</v>
      </c>
      <c r="Q25" s="377" t="s">
        <v>1535</v>
      </c>
      <c r="R25" s="375">
        <v>0.80000000000000038</v>
      </c>
      <c r="S25" s="27"/>
      <c r="T25" s="27"/>
      <c r="U25" s="320"/>
      <c r="V25" s="27"/>
      <c r="W25" s="320"/>
      <c r="X25" s="27"/>
      <c r="Y25" s="27"/>
      <c r="Z25" s="376">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2">
        <f>EdibleFromPlantsValue</f>
        <v>0</v>
      </c>
      <c r="I26" s="372" t="s">
        <v>1539</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0.78423333333333323</v>
      </c>
      <c r="I27" s="27"/>
      <c r="J27" s="27"/>
      <c r="K27" s="27"/>
      <c r="L27" s="27"/>
      <c r="M27" s="27"/>
      <c r="N27" s="27"/>
      <c r="O27" s="304"/>
      <c r="P27" s="27"/>
      <c r="Q27" s="302">
        <v>0.80000000000000038</v>
      </c>
      <c r="R27" s="336"/>
      <c r="S27" s="27"/>
      <c r="T27" s="27"/>
      <c r="U27" s="27"/>
      <c r="V27" s="27"/>
      <c r="W27" s="27"/>
      <c r="X27" s="27"/>
      <c r="Y27" s="27"/>
      <c r="Z27" s="302">
        <v>0.95419544189322769</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897" t="s">
        <v>1535</v>
      </c>
      <c r="H28" s="390">
        <v>0</v>
      </c>
      <c r="I28" s="372" t="s">
        <v>1539</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35">
        <v>1.6</v>
      </c>
      <c r="N29" s="835"/>
      <c r="O29" s="345"/>
      <c r="P29" s="80">
        <v>0.14788399999999999</v>
      </c>
      <c r="Q29" s="27" t="s">
        <v>795</v>
      </c>
      <c r="R29" s="840">
        <v>0</v>
      </c>
      <c r="S29" s="841"/>
      <c r="T29" s="27"/>
      <c r="U29" s="848">
        <v>4.6930800000000001</v>
      </c>
      <c r="V29" s="848"/>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1533</v>
      </c>
      <c r="R30" s="302"/>
      <c r="S30" s="302"/>
      <c r="T30" s="27"/>
      <c r="U30" s="347"/>
      <c r="V30" s="27"/>
      <c r="W30" s="27"/>
      <c r="X30" s="27"/>
      <c r="Y30" s="27"/>
      <c r="Z30" s="348"/>
      <c r="AA30" s="27"/>
      <c r="AB30" s="27"/>
      <c r="AC30" s="27"/>
      <c r="AD30" s="27"/>
      <c r="AE30" s="373">
        <v>0.31807838875697292</v>
      </c>
      <c r="AF30" s="373" t="s">
        <v>1992</v>
      </c>
      <c r="AG30" s="27"/>
      <c r="AH30" s="27"/>
      <c r="AI30" s="27"/>
      <c r="AJ30" s="27"/>
      <c r="AK30" s="27"/>
      <c r="AL30" s="27"/>
      <c r="AM30" s="27"/>
    </row>
    <row r="31" spans="1:42" ht="15" customHeight="1" x14ac:dyDescent="0.25">
      <c r="A31" s="27"/>
      <c r="B31" s="27"/>
      <c r="C31" s="27"/>
      <c r="D31" s="895" t="s">
        <v>1537</v>
      </c>
      <c r="E31" s="850"/>
      <c r="F31" s="27"/>
      <c r="G31" s="27"/>
      <c r="H31" s="27"/>
      <c r="I31" s="27"/>
      <c r="J31" s="27"/>
      <c r="K31" s="27"/>
      <c r="L31" s="27"/>
      <c r="M31" s="27"/>
      <c r="N31" s="27"/>
      <c r="O31" s="318"/>
      <c r="P31" s="845">
        <v>0</v>
      </c>
      <c r="Q31" s="843">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50"/>
      <c r="E32" s="850"/>
      <c r="F32" s="27"/>
      <c r="G32" s="27"/>
      <c r="H32" s="27"/>
      <c r="I32" s="352"/>
      <c r="J32" s="353"/>
      <c r="K32" s="27"/>
      <c r="L32" s="27"/>
      <c r="M32" s="27"/>
      <c r="N32" s="27"/>
      <c r="O32" s="27"/>
      <c r="P32" s="843"/>
      <c r="Q32" s="843"/>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38">
        <v>0</v>
      </c>
      <c r="C33" s="848"/>
      <c r="D33" s="838">
        <v>0</v>
      </c>
      <c r="E33" s="849"/>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48"/>
      <c r="C34" s="848"/>
      <c r="D34" s="699" t="s">
        <v>1647</v>
      </c>
      <c r="F34" s="27"/>
      <c r="G34" s="27"/>
      <c r="H34" s="27"/>
      <c r="I34" s="27"/>
      <c r="J34" s="27"/>
      <c r="K34" s="27"/>
      <c r="L34" s="27"/>
      <c r="M34" s="27"/>
      <c r="N34" s="27"/>
      <c r="O34" s="303"/>
      <c r="P34" s="27"/>
      <c r="Q34" s="27"/>
      <c r="R34" s="27"/>
      <c r="U34" s="356"/>
      <c r="V34" s="27"/>
      <c r="W34" s="27"/>
      <c r="X34" s="898">
        <v>0</v>
      </c>
      <c r="Y34" s="27"/>
      <c r="Z34" s="27"/>
      <c r="AA34" s="27"/>
      <c r="AB34" s="27"/>
      <c r="AC34" s="27"/>
      <c r="AD34" s="356"/>
      <c r="AE34" s="326"/>
      <c r="AF34" s="27"/>
      <c r="AG34" s="27"/>
      <c r="AH34" s="27"/>
      <c r="AI34" s="27"/>
      <c r="AJ34" s="372">
        <v>0</v>
      </c>
      <c r="AK34" s="704" t="s">
        <v>1992</v>
      </c>
      <c r="AL34" s="27"/>
      <c r="AM34" s="27"/>
    </row>
    <row r="35" spans="1:39" ht="15" customHeight="1" x14ac:dyDescent="0.25">
      <c r="A35" s="27"/>
      <c r="B35" s="27"/>
      <c r="C35" s="27"/>
      <c r="D35" s="838">
        <v>0</v>
      </c>
      <c r="E35" s="848"/>
      <c r="F35" s="27"/>
      <c r="G35" s="27"/>
      <c r="H35" s="27"/>
      <c r="I35" s="27"/>
      <c r="J35" s="27"/>
      <c r="K35" s="27"/>
      <c r="L35" s="27"/>
      <c r="M35" s="835">
        <v>0.20300000000000001</v>
      </c>
      <c r="N35" s="835"/>
      <c r="O35" s="304"/>
      <c r="P35" s="372">
        <v>0</v>
      </c>
      <c r="Q35" s="372" t="s">
        <v>1536</v>
      </c>
      <c r="R35" s="27"/>
      <c r="T35" s="852">
        <v>0</v>
      </c>
      <c r="U35" s="853"/>
      <c r="V35" s="372" t="s">
        <v>1540</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55" t="s">
        <v>1683</v>
      </c>
      <c r="D38" s="856"/>
      <c r="E38" s="856"/>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56"/>
      <c r="D39" s="856"/>
      <c r="E39" s="856"/>
      <c r="F39" s="27"/>
      <c r="G39" s="27"/>
      <c r="H39" s="27"/>
      <c r="I39" s="838">
        <v>0</v>
      </c>
      <c r="J39" s="844"/>
      <c r="K39" s="358"/>
      <c r="L39" s="27"/>
      <c r="M39" s="27"/>
      <c r="N39" s="27"/>
      <c r="O39" s="304"/>
      <c r="P39" s="739">
        <v>8.7800000000000003E-2</v>
      </c>
      <c r="Q39" s="373" t="s">
        <v>1540</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38">
        <v>0</v>
      </c>
      <c r="E40" s="839"/>
      <c r="F40" s="27"/>
      <c r="G40" s="27"/>
      <c r="H40" s="326"/>
      <c r="I40" s="27"/>
      <c r="J40" s="27"/>
      <c r="K40" s="27"/>
      <c r="L40" s="27"/>
      <c r="M40" s="27"/>
      <c r="N40" s="27"/>
      <c r="O40" s="359"/>
      <c r="P40" s="27"/>
      <c r="Q40" s="27"/>
      <c r="R40" s="27"/>
      <c r="S40" s="27"/>
      <c r="T40" s="27"/>
      <c r="U40" s="27"/>
      <c r="V40" s="27"/>
      <c r="W40" s="27"/>
      <c r="X40" s="27"/>
      <c r="Y40" s="27"/>
      <c r="Z40" s="27"/>
      <c r="AA40" s="361" t="s">
        <v>1502</v>
      </c>
      <c r="AB40" s="289"/>
      <c r="AC40" s="362" t="s">
        <v>1504</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0.28008333333333335</v>
      </c>
      <c r="K41" s="27" t="s">
        <v>1499</v>
      </c>
      <c r="L41" s="27"/>
      <c r="M41" s="27"/>
      <c r="N41" s="27"/>
      <c r="O41" s="304"/>
      <c r="P41" s="27"/>
      <c r="Q41" s="27"/>
      <c r="R41" s="27"/>
      <c r="S41" s="27"/>
      <c r="T41" s="27"/>
      <c r="U41" s="27"/>
      <c r="V41" s="27"/>
      <c r="W41" s="27"/>
      <c r="X41" s="27"/>
      <c r="Y41" s="27"/>
      <c r="Z41" s="27"/>
      <c r="AA41" s="98"/>
      <c r="AB41" s="302" t="s">
        <v>1999</v>
      </c>
      <c r="AC41" s="27"/>
      <c r="AD41" s="27"/>
      <c r="AE41" s="349" t="s">
        <v>1500</v>
      </c>
      <c r="AF41" s="27"/>
      <c r="AG41" s="27"/>
      <c r="AH41" s="27"/>
      <c r="AI41" s="364" t="s">
        <v>1503</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2000</v>
      </c>
      <c r="AC42" s="27"/>
      <c r="AD42" s="27"/>
      <c r="AE42" s="360" t="s">
        <v>2002</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2001</v>
      </c>
      <c r="AC43" s="366"/>
      <c r="AD43" s="366"/>
      <c r="AE43" s="367" t="s">
        <v>1501</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I39:J39"/>
    <mergeCell ref="D40:E40"/>
    <mergeCell ref="C38:E39"/>
    <mergeCell ref="E22:F22"/>
    <mergeCell ref="D35:E35"/>
    <mergeCell ref="X4:X5"/>
    <mergeCell ref="B33:C34"/>
    <mergeCell ref="D11:E11"/>
    <mergeCell ref="T35:U35"/>
    <mergeCell ref="F8:F9"/>
    <mergeCell ref="N7:N8"/>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36" r:id="rId4" name="ListBox2">
          <controlPr defaultSize="0" autoLine="0" r:id="rId5">
            <anchor moveWithCells="1">
              <from>
                <xdr:col>42</xdr:col>
                <xdr:colOff>247650</xdr:colOff>
                <xdr:row>20</xdr:row>
                <xdr:rowOff>123825</xdr:rowOff>
              </from>
              <to>
                <xdr:col>47</xdr:col>
                <xdr:colOff>76200</xdr:colOff>
                <xdr:row>25</xdr:row>
                <xdr:rowOff>85725</xdr:rowOff>
              </to>
            </anchor>
          </controlPr>
        </control>
      </mc:Choice>
      <mc:Fallback>
        <control shapeId="201036" r:id="rId4" name="ListBox2"/>
      </mc:Fallback>
    </mc:AlternateContent>
    <mc:AlternateContent xmlns:mc="http://schemas.openxmlformats.org/markup-compatibility/2006">
      <mc:Choice Requires="x14">
        <control shapeId="201034" r:id="rId6" name="ComboBox2">
          <controlPr defaultSize="0" autoLine="0" r:id="rId7">
            <anchor moveWithCells="1">
              <from>
                <xdr:col>43</xdr:col>
                <xdr:colOff>152400</xdr:colOff>
                <xdr:row>16</xdr:row>
                <xdr:rowOff>123825</xdr:rowOff>
              </from>
              <to>
                <xdr:col>48</xdr:col>
                <xdr:colOff>190500</xdr:colOff>
                <xdr:row>18</xdr:row>
                <xdr:rowOff>38100</xdr:rowOff>
              </to>
            </anchor>
          </controlPr>
        </control>
      </mc:Choice>
      <mc:Fallback>
        <control shapeId="201034" r:id="rId6" name="ComboBox2"/>
      </mc:Fallback>
    </mc:AlternateContent>
    <mc:AlternateContent xmlns:mc="http://schemas.openxmlformats.org/markup-compatibility/2006">
      <mc:Choice Requires="x14">
        <control shapeId="201032" r:id="rId8" name="ListBox1">
          <controlPr defaultSize="0" autoLine="0" r:id="rId9">
            <anchor moveWithCells="1">
              <from>
                <xdr:col>49</xdr:col>
                <xdr:colOff>19050</xdr:colOff>
                <xdr:row>15</xdr:row>
                <xdr:rowOff>95250</xdr:rowOff>
              </from>
              <to>
                <xdr:col>52</xdr:col>
                <xdr:colOff>266700</xdr:colOff>
                <xdr:row>17</xdr:row>
                <xdr:rowOff>66675</xdr:rowOff>
              </to>
            </anchor>
          </controlPr>
        </control>
      </mc:Choice>
      <mc:Fallback>
        <control shapeId="201032" r:id="rId8" name="ListBox1"/>
      </mc:Fallback>
    </mc:AlternateContent>
    <mc:AlternateContent xmlns:mc="http://schemas.openxmlformats.org/markup-compatibility/2006">
      <mc:Choice Requires="x14">
        <control shapeId="201031" r:id="rId10" name="ToggleButton2">
          <controlPr defaultSize="0" autoLine="0" r:id="rId11">
            <anchor moveWithCells="1">
              <from>
                <xdr:col>48</xdr:col>
                <xdr:colOff>238125</xdr:colOff>
                <xdr:row>10</xdr:row>
                <xdr:rowOff>180975</xdr:rowOff>
              </from>
              <to>
                <xdr:col>49</xdr:col>
                <xdr:colOff>114300</xdr:colOff>
                <xdr:row>14</xdr:row>
                <xdr:rowOff>38100</xdr:rowOff>
              </to>
            </anchor>
          </controlPr>
        </control>
      </mc:Choice>
      <mc:Fallback>
        <control shapeId="201031" r:id="rId10" name="ToggleButton2"/>
      </mc:Fallback>
    </mc:AlternateContent>
    <mc:AlternateContent xmlns:mc="http://schemas.openxmlformats.org/markup-compatibility/2006">
      <mc:Choice Requires="x14">
        <control shapeId="201029" r:id="rId12" name="ComboBox1">
          <controlPr defaultSize="0" autoLine="0" r:id="rId13">
            <anchor moveWithCells="1">
              <from>
                <xdr:col>49</xdr:col>
                <xdr:colOff>95250</xdr:colOff>
                <xdr:row>3</xdr:row>
                <xdr:rowOff>142875</xdr:rowOff>
              </from>
              <to>
                <xdr:col>51</xdr:col>
                <xdr:colOff>142875</xdr:colOff>
                <xdr:row>6</xdr:row>
                <xdr:rowOff>47625</xdr:rowOff>
              </to>
            </anchor>
          </controlPr>
        </control>
      </mc:Choice>
      <mc:Fallback>
        <control shapeId="201029" r:id="rId12" name="ComboBox1"/>
      </mc:Fallback>
    </mc:AlternateContent>
    <mc:AlternateContent xmlns:mc="http://schemas.openxmlformats.org/markup-compatibility/2006">
      <mc:Choice Requires="x14">
        <control shapeId="201028" r:id="rId14" name="TextBox1">
          <controlPr defaultSize="0" autoLine="0" r:id="rId15">
            <anchor moveWithCells="1">
              <from>
                <xdr:col>51</xdr:col>
                <xdr:colOff>171450</xdr:colOff>
                <xdr:row>8</xdr:row>
                <xdr:rowOff>95250</xdr:rowOff>
              </from>
              <to>
                <xdr:col>52</xdr:col>
                <xdr:colOff>152400</xdr:colOff>
                <xdr:row>11</xdr:row>
                <xdr:rowOff>152400</xdr:rowOff>
              </to>
            </anchor>
          </controlPr>
        </control>
      </mc:Choice>
      <mc:Fallback>
        <control shapeId="201028" r:id="rId14" name="TextBox1"/>
      </mc:Fallback>
    </mc:AlternateContent>
    <mc:AlternateContent xmlns:mc="http://schemas.openxmlformats.org/markup-compatibility/2006">
      <mc:Choice Requires="x14">
        <control shapeId="201027" r:id="rId16" name="ToggleButton1">
          <controlPr defaultSize="0" autoLine="0" r:id="rId17">
            <anchor moveWithCells="1">
              <from>
                <xdr:col>45</xdr:col>
                <xdr:colOff>47625</xdr:colOff>
                <xdr:row>11</xdr:row>
                <xdr:rowOff>57150</xdr:rowOff>
              </from>
              <to>
                <xdr:col>47</xdr:col>
                <xdr:colOff>171450</xdr:colOff>
                <xdr:row>14</xdr:row>
                <xdr:rowOff>28575</xdr:rowOff>
              </to>
            </anchor>
          </controlPr>
        </control>
      </mc:Choice>
      <mc:Fallback>
        <control shapeId="201027" r:id="rId16" name="ToggleButton1"/>
      </mc:Fallback>
    </mc:AlternateContent>
    <mc:AlternateContent xmlns:mc="http://schemas.openxmlformats.org/markup-compatibility/2006">
      <mc:Choice Requires="x14">
        <control shapeId="201026" r:id="rId18" name="CommandButton1">
          <controlPr defaultSize="0" autoLine="0" r:id="rId19">
            <anchor moveWithCells="1">
              <from>
                <xdr:col>44</xdr:col>
                <xdr:colOff>304800</xdr:colOff>
                <xdr:row>8</xdr:row>
                <xdr:rowOff>142875</xdr:rowOff>
              </from>
              <to>
                <xdr:col>48</xdr:col>
                <xdr:colOff>9525</xdr:colOff>
                <xdr:row>10</xdr:row>
                <xdr:rowOff>9525</xdr:rowOff>
              </to>
            </anchor>
          </controlPr>
        </control>
      </mc:Choice>
      <mc:Fallback>
        <control shapeId="201026" r:id="rId18" name="CommandButton1"/>
      </mc:Fallback>
    </mc:AlternateContent>
    <mc:AlternateContent xmlns:mc="http://schemas.openxmlformats.org/markup-compatibility/2006">
      <mc:Choice Requires="x14">
        <control shapeId="201025" r:id="rId20" name="Scroll_CO2PBR">
          <controlPr defaultSize="0" autoLine="0" r:id="rId21">
            <anchor moveWithCells="1">
              <from>
                <xdr:col>4</xdr:col>
                <xdr:colOff>200025</xdr:colOff>
                <xdr:row>7</xdr:row>
                <xdr:rowOff>114300</xdr:rowOff>
              </from>
              <to>
                <xdr:col>7</xdr:col>
                <xdr:colOff>0</xdr:colOff>
                <xdr:row>8</xdr:row>
                <xdr:rowOff>104775</xdr:rowOff>
              </to>
            </anchor>
          </controlPr>
        </control>
      </mc:Choice>
      <mc:Fallback>
        <control shapeId="201025" r:id="rId20" name="Scroll_CO2PBR"/>
      </mc:Fallback>
    </mc:AlternateContent>
    <mc:AlternateContent xmlns:mc="http://schemas.openxmlformats.org/markup-compatibility/2006">
      <mc:Choice Requires="x14">
        <control shapeId="201018" r:id="rId22" name="MethaneProcessingList">
          <controlPr defaultSize="0" autoLine="0" r:id="rId23">
            <anchor moveWithCells="1">
              <from>
                <xdr:col>30</xdr:col>
                <xdr:colOff>314325</xdr:colOff>
                <xdr:row>16</xdr:row>
                <xdr:rowOff>95250</xdr:rowOff>
              </from>
              <to>
                <xdr:col>35</xdr:col>
                <xdr:colOff>342900</xdr:colOff>
                <xdr:row>18</xdr:row>
                <xdr:rowOff>19050</xdr:rowOff>
              </to>
            </anchor>
          </controlPr>
        </control>
      </mc:Choice>
      <mc:Fallback>
        <control shapeId="201018" r:id="rId22" name="MethaneProcessingList"/>
      </mc:Fallback>
    </mc:AlternateContent>
    <mc:AlternateContent xmlns:mc="http://schemas.openxmlformats.org/markup-compatibility/2006">
      <mc:Choice Requires="x14">
        <control shapeId="201014" r:id="rId24" name="PBRList">
          <controlPr defaultSize="0" autoLine="0" r:id="rId25">
            <anchor moveWithCells="1">
              <from>
                <xdr:col>2</xdr:col>
                <xdr:colOff>0</xdr:colOff>
                <xdr:row>4</xdr:row>
                <xdr:rowOff>28575</xdr:rowOff>
              </from>
              <to>
                <xdr:col>7</xdr:col>
                <xdr:colOff>38100</xdr:colOff>
                <xdr:row>5</xdr:row>
                <xdr:rowOff>133350</xdr:rowOff>
              </to>
            </anchor>
          </controlPr>
        </control>
      </mc:Choice>
      <mc:Fallback>
        <control shapeId="201014" r:id="rId24" name="PBRList"/>
      </mc:Fallback>
    </mc:AlternateContent>
    <mc:AlternateContent xmlns:mc="http://schemas.openxmlformats.org/markup-compatibility/2006">
      <mc:Choice Requires="x14">
        <control shapeId="201011" r:id="rId26" name="OptionIncinerateInedible">
          <controlPr defaultSize="0" autoLine="0" r:id="rId27">
            <anchor moveWithCells="1">
              <from>
                <xdr:col>18</xdr:col>
                <xdr:colOff>257175</xdr:colOff>
                <xdr:row>37</xdr:row>
                <xdr:rowOff>104775</xdr:rowOff>
              </from>
              <to>
                <xdr:col>22</xdr:col>
                <xdr:colOff>228600</xdr:colOff>
                <xdr:row>38</xdr:row>
                <xdr:rowOff>114300</xdr:rowOff>
              </to>
            </anchor>
          </controlPr>
        </control>
      </mc:Choice>
      <mc:Fallback>
        <control shapeId="201011" r:id="rId26" name="OptionIncinerateInedible"/>
      </mc:Fallback>
    </mc:AlternateContent>
    <mc:AlternateContent xmlns:mc="http://schemas.openxmlformats.org/markup-compatibility/2006">
      <mc:Choice Requires="x14">
        <control shapeId="201010" r:id="rId28" name="PGCurineTreatmentOption">
          <controlPr defaultSize="0" autoLine="0" r:id="rId29">
            <anchor moveWithCells="1">
              <from>
                <xdr:col>2</xdr:col>
                <xdr:colOff>47625</xdr:colOff>
                <xdr:row>16</xdr:row>
                <xdr:rowOff>114300</xdr:rowOff>
              </from>
              <to>
                <xdr:col>7</xdr:col>
                <xdr:colOff>0</xdr:colOff>
                <xdr:row>17</xdr:row>
                <xdr:rowOff>133350</xdr:rowOff>
              </to>
            </anchor>
          </controlPr>
        </control>
      </mc:Choice>
      <mc:Fallback>
        <control shapeId="201010" r:id="rId28" name="PGCurineTreatmentOption"/>
      </mc:Fallback>
    </mc:AlternateContent>
    <mc:AlternateContent xmlns:mc="http://schemas.openxmlformats.org/markup-compatibility/2006">
      <mc:Choice Requires="x14">
        <control shapeId="200989" r:id="rId30" name="PlantGrowthChamberList">
          <controlPr defaultSize="0" autoLine="0" r:id="rId31">
            <anchor moveWithCells="1">
              <from>
                <xdr:col>2</xdr:col>
                <xdr:colOff>9525</xdr:colOff>
                <xdr:row>13</xdr:row>
                <xdr:rowOff>85725</xdr:rowOff>
              </from>
              <to>
                <xdr:col>7</xdr:col>
                <xdr:colOff>47625</xdr:colOff>
                <xdr:row>15</xdr:row>
                <xdr:rowOff>0</xdr:rowOff>
              </to>
            </anchor>
          </controlPr>
        </control>
      </mc:Choice>
      <mc:Fallback>
        <control shapeId="200989" r:id="rId30" name="PlantGrowthChamberList"/>
      </mc:Fallback>
    </mc:AlternateContent>
    <mc:AlternateContent xmlns:mc="http://schemas.openxmlformats.org/markup-compatibility/2006">
      <mc:Choice Requires="x14">
        <control shapeId="200976" r:id="rId32" name="CO2_RemovalList">
          <controlPr defaultSize="0" autoLine="0" r:id="rId33">
            <anchor moveWithCells="1">
              <from>
                <xdr:col>18</xdr:col>
                <xdr:colOff>38100</xdr:colOff>
                <xdr:row>7</xdr:row>
                <xdr:rowOff>57150</xdr:rowOff>
              </from>
              <to>
                <xdr:col>23</xdr:col>
                <xdr:colOff>76200</xdr:colOff>
                <xdr:row>8</xdr:row>
                <xdr:rowOff>161925</xdr:rowOff>
              </to>
            </anchor>
          </controlPr>
        </control>
      </mc:Choice>
      <mc:Fallback>
        <control shapeId="200976" r:id="rId32" name="CO2_Removal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81" r:id="rId36" name="CO2ReductionList">
          <controlPr defaultSize="0" autoLine="0" r:id="rId37">
            <anchor moveWithCells="1">
              <from>
                <xdr:col>24</xdr:col>
                <xdr:colOff>123825</xdr:colOff>
                <xdr:row>13</xdr:row>
                <xdr:rowOff>28575</xdr:rowOff>
              </from>
              <to>
                <xdr:col>29</xdr:col>
                <xdr:colOff>152400</xdr:colOff>
                <xdr:row>14</xdr:row>
                <xdr:rowOff>133350</xdr:rowOff>
              </to>
            </anchor>
          </controlPr>
        </control>
      </mc:Choice>
      <mc:Fallback>
        <control shapeId="200981" r:id="rId36" name="CO2ReductionList"/>
      </mc:Fallback>
    </mc:AlternateContent>
    <mc:AlternateContent xmlns:mc="http://schemas.openxmlformats.org/markup-compatibility/2006">
      <mc:Choice Requires="x14">
        <control shapeId="200982" r:id="rId38" name="ElectrolysisList">
          <controlPr defaultSize="0" autoLine="0" r:id="rId39">
            <anchor moveWithCells="1">
              <from>
                <xdr:col>18</xdr:col>
                <xdr:colOff>38100</xdr:colOff>
                <xdr:row>19</xdr:row>
                <xdr:rowOff>47625</xdr:rowOff>
              </from>
              <to>
                <xdr:col>23</xdr:col>
                <xdr:colOff>76200</xdr:colOff>
                <xdr:row>20</xdr:row>
                <xdr:rowOff>152400</xdr:rowOff>
              </to>
            </anchor>
          </controlPr>
        </control>
      </mc:Choice>
      <mc:Fallback>
        <control shapeId="200982" r:id="rId38" name="ElectrolysisList"/>
      </mc:Fallback>
    </mc:AlternateContent>
    <mc:AlternateContent xmlns:mc="http://schemas.openxmlformats.org/markup-compatibility/2006">
      <mc:Choice Requires="x14">
        <control shapeId="200983" r:id="rId40" name="UrineProcessingList">
          <controlPr defaultSize="0" autoLine="0" r:id="rId41">
            <anchor moveWithCells="1">
              <from>
                <xdr:col>10</xdr:col>
                <xdr:colOff>38100</xdr:colOff>
                <xdr:row>31</xdr:row>
                <xdr:rowOff>47625</xdr:rowOff>
              </from>
              <to>
                <xdr:col>15</xdr:col>
                <xdr:colOff>76200</xdr:colOff>
                <xdr:row>32</xdr:row>
                <xdr:rowOff>152400</xdr:rowOff>
              </to>
            </anchor>
          </controlPr>
        </control>
      </mc:Choice>
      <mc:Fallback>
        <control shapeId="200983" r:id="rId40" name="UrineProcessingList"/>
      </mc:Fallback>
    </mc:AlternateContent>
    <mc:AlternateContent xmlns:mc="http://schemas.openxmlformats.org/markup-compatibility/2006">
      <mc:Choice Requires="x14">
        <control shapeId="200984" r:id="rId42" name="BrineProcessingList">
          <controlPr defaultSize="0" autoLine="0" r:id="rId43">
            <anchor moveWithCells="1">
              <from>
                <xdr:col>10</xdr:col>
                <xdr:colOff>38100</xdr:colOff>
                <xdr:row>36</xdr:row>
                <xdr:rowOff>161925</xdr:rowOff>
              </from>
              <to>
                <xdr:col>15</xdr:col>
                <xdr:colOff>76200</xdr:colOff>
                <xdr:row>38</xdr:row>
                <xdr:rowOff>76200</xdr:rowOff>
              </to>
            </anchor>
          </controlPr>
        </control>
      </mc:Choice>
      <mc:Fallback>
        <control shapeId="200984" r:id="rId42" name="BrineProcessingList"/>
      </mc:Fallback>
    </mc:AlternateContent>
    <mc:AlternateContent xmlns:mc="http://schemas.openxmlformats.org/markup-compatibility/2006">
      <mc:Choice Requires="x14">
        <control shapeId="200985" r:id="rId44" name="WWFiltrationList">
          <controlPr defaultSize="0" autoLine="0" r:id="rId45">
            <anchor moveWithCells="1">
              <from>
                <xdr:col>18</xdr:col>
                <xdr:colOff>38100</xdr:colOff>
                <xdr:row>31</xdr:row>
                <xdr:rowOff>47625</xdr:rowOff>
              </from>
              <to>
                <xdr:col>23</xdr:col>
                <xdr:colOff>76200</xdr:colOff>
                <xdr:row>32</xdr:row>
                <xdr:rowOff>152400</xdr:rowOff>
              </to>
            </anchor>
          </controlPr>
        </control>
      </mc:Choice>
      <mc:Fallback>
        <control shapeId="200985" r:id="rId44" name="WWFiltrationList"/>
      </mc:Fallback>
    </mc:AlternateContent>
    <mc:AlternateContent xmlns:mc="http://schemas.openxmlformats.org/markup-compatibility/2006">
      <mc:Choice Requires="x14">
        <control shapeId="200986" r:id="rId46" name="ISRUList">
          <controlPr defaultSize="0" autoLine="0" r:id="rId47">
            <anchor moveWithCells="1">
              <from>
                <xdr:col>25</xdr:col>
                <xdr:colOff>114300</xdr:colOff>
                <xdr:row>31</xdr:row>
                <xdr:rowOff>47625</xdr:rowOff>
              </from>
              <to>
                <xdr:col>28</xdr:col>
                <xdr:colOff>266700</xdr:colOff>
                <xdr:row>32</xdr:row>
                <xdr:rowOff>114300</xdr:rowOff>
              </to>
            </anchor>
          </controlPr>
        </control>
      </mc:Choice>
      <mc:Fallback>
        <control shapeId="200986" r:id="rId46" name="ISRUList"/>
      </mc:Fallback>
    </mc:AlternateContent>
    <mc:AlternateContent xmlns:mc="http://schemas.openxmlformats.org/markup-compatibility/2006">
      <mc:Choice Requires="x14">
        <control shapeId="200987" r:id="rId48" name="O2StorageList">
          <controlPr defaultSize="0" autoLine="0" r:id="rId49">
            <anchor moveWithCells="1">
              <from>
                <xdr:col>18</xdr:col>
                <xdr:colOff>38100</xdr:colOff>
                <xdr:row>13</xdr:row>
                <xdr:rowOff>28575</xdr:rowOff>
              </from>
              <to>
                <xdr:col>23</xdr:col>
                <xdr:colOff>76200</xdr:colOff>
                <xdr:row>14</xdr:row>
                <xdr:rowOff>133350</xdr:rowOff>
              </to>
            </anchor>
          </controlPr>
        </control>
      </mc:Choice>
      <mc:Fallback>
        <control shapeId="200987" r:id="rId48" name="O2StorageList"/>
      </mc:Fallback>
    </mc:AlternateContent>
    <mc:AlternateContent xmlns:mc="http://schemas.openxmlformats.org/markup-compatibility/2006">
      <mc:Choice Requires="x14">
        <control shapeId="200988" r:id="rId50" name="H2StorageList">
          <controlPr defaultSize="0" autoLine="0" r:id="rId51">
            <anchor moveWithCells="1">
              <from>
                <xdr:col>25</xdr:col>
                <xdr:colOff>114300</xdr:colOff>
                <xdr:row>19</xdr:row>
                <xdr:rowOff>38100</xdr:rowOff>
              </from>
              <to>
                <xdr:col>28</xdr:col>
                <xdr:colOff>266700</xdr:colOff>
                <xdr:row>20</xdr:row>
                <xdr:rowOff>142875</xdr:rowOff>
              </to>
            </anchor>
          </controlPr>
        </control>
      </mc:Choice>
      <mc:Fallback>
        <control shapeId="200988" r:id="rId50" name="H2StorageList"/>
      </mc:Fallback>
    </mc:AlternateContent>
    <mc:AlternateContent xmlns:mc="http://schemas.openxmlformats.org/markup-compatibility/2006">
      <mc:Choice Requires="x14">
        <control shapeId="200990" r:id="rId52" name="PGC_NumberOfUnits">
          <controlPr defaultSize="0" autoLine="0" autoPict="0" r:id="rId53">
            <anchor moveWithCells="1">
              <from>
                <xdr:col>5</xdr:col>
                <xdr:colOff>180975</xdr:colOff>
                <xdr:row>15</xdr:row>
                <xdr:rowOff>28575</xdr:rowOff>
              </from>
              <to>
                <xdr:col>6</xdr:col>
                <xdr:colOff>314325</xdr:colOff>
                <xdr:row>16</xdr:row>
                <xdr:rowOff>104775</xdr:rowOff>
              </to>
            </anchor>
          </controlPr>
        </control>
      </mc:Choice>
      <mc:Fallback>
        <control shapeId="200990" r:id="rId52" name="PGC_NumberOfUnits"/>
      </mc:Fallback>
    </mc:AlternateContent>
    <mc:AlternateContent xmlns:mc="http://schemas.openxmlformats.org/markup-compatibility/2006">
      <mc:Choice Requires="x14">
        <control shapeId="200991" r:id="rId54" name="PGC_LabelNumberOfUnits">
          <controlPr defaultSize="0" autoLine="0" r:id="rId55">
            <anchor moveWithCells="1">
              <from>
                <xdr:col>2</xdr:col>
                <xdr:colOff>142875</xdr:colOff>
                <xdr:row>15</xdr:row>
                <xdr:rowOff>47625</xdr:rowOff>
              </from>
              <to>
                <xdr:col>5</xdr:col>
                <xdr:colOff>104775</xdr:colOff>
                <xdr:row>16</xdr:row>
                <xdr:rowOff>9525</xdr:rowOff>
              </to>
            </anchor>
          </controlPr>
        </control>
      </mc:Choice>
      <mc:Fallback>
        <control shapeId="200991" r:id="rId54" name="PGC_LabelNumberOfUnits"/>
      </mc:Fallback>
    </mc:AlternateContent>
    <mc:AlternateContent xmlns:mc="http://schemas.openxmlformats.org/markup-compatibility/2006">
      <mc:Choice Requires="x14">
        <control shapeId="200999" r:id="rId56" name="AtmosphereMonitoringList">
          <controlPr defaultSize="0" autoLine="0" r:id="rId57">
            <anchor moveWithCells="1">
              <from>
                <xdr:col>31</xdr:col>
                <xdr:colOff>0</xdr:colOff>
                <xdr:row>0</xdr:row>
                <xdr:rowOff>142875</xdr:rowOff>
              </from>
              <to>
                <xdr:col>35</xdr:col>
                <xdr:colOff>38100</xdr:colOff>
                <xdr:row>2</xdr:row>
                <xdr:rowOff>19050</xdr:rowOff>
              </to>
            </anchor>
          </controlPr>
        </control>
      </mc:Choice>
      <mc:Fallback>
        <control shapeId="200999" r:id="rId56" name="AtmosphereMonitoringList"/>
      </mc:Fallback>
    </mc:AlternateContent>
    <mc:AlternateContent xmlns:mc="http://schemas.openxmlformats.org/markup-compatibility/2006">
      <mc:Choice Requires="x14">
        <control shapeId="201002" r:id="rId58" name="TraceContaminantControlList">
          <controlPr defaultSize="0" autoLine="0" r:id="rId59">
            <anchor moveWithCells="1">
              <from>
                <xdr:col>31</xdr:col>
                <xdr:colOff>0</xdr:colOff>
                <xdr:row>2</xdr:row>
                <xdr:rowOff>0</xdr:rowOff>
              </from>
              <to>
                <xdr:col>35</xdr:col>
                <xdr:colOff>38100</xdr:colOff>
                <xdr:row>3</xdr:row>
                <xdr:rowOff>66675</xdr:rowOff>
              </to>
            </anchor>
          </controlPr>
        </control>
      </mc:Choice>
      <mc:Fallback>
        <control shapeId="201002" r:id="rId58" name="TraceContaminantControlList"/>
      </mc:Fallback>
    </mc:AlternateContent>
    <mc:AlternateContent xmlns:mc="http://schemas.openxmlformats.org/markup-compatibility/2006">
      <mc:Choice Requires="x14">
        <control shapeId="201007" r:id="rId60" name="WaterBalance">
          <controlPr defaultSize="0" autoLine="0" autoPict="0" r:id="rId61">
            <anchor moveWithCells="1">
              <from>
                <xdr:col>18</xdr:col>
                <xdr:colOff>28575</xdr:colOff>
                <xdr:row>25</xdr:row>
                <xdr:rowOff>104775</xdr:rowOff>
              </from>
              <to>
                <xdr:col>22</xdr:col>
                <xdr:colOff>361950</xdr:colOff>
                <xdr:row>26</xdr:row>
                <xdr:rowOff>152400</xdr:rowOff>
              </to>
            </anchor>
          </controlPr>
        </control>
      </mc:Choice>
      <mc:Fallback>
        <control shapeId="201007" r:id="rId60" name="WaterBalance"/>
      </mc:Fallback>
    </mc:AlternateContent>
    <mc:AlternateContent xmlns:mc="http://schemas.openxmlformats.org/markup-compatibility/2006">
      <mc:Choice Requires="x14">
        <control shapeId="201016" r:id="rId62" name="PBR_LabelCO2Percentage">
          <controlPr defaultSize="0" autoLine="0" r:id="rId63">
            <anchor moveWithCells="1">
              <from>
                <xdr:col>2</xdr:col>
                <xdr:colOff>9525</xdr:colOff>
                <xdr:row>6</xdr:row>
                <xdr:rowOff>28575</xdr:rowOff>
              </from>
              <to>
                <xdr:col>5</xdr:col>
                <xdr:colOff>285750</xdr:colOff>
                <xdr:row>7</xdr:row>
                <xdr:rowOff>104775</xdr:rowOff>
              </to>
            </anchor>
          </controlPr>
        </control>
      </mc:Choice>
      <mc:Fallback>
        <control shapeId="201016" r:id="rId62" name="PBR_LabelCO2Percentage"/>
      </mc:Fallback>
    </mc:AlternateContent>
    <mc:AlternateContent xmlns:mc="http://schemas.openxmlformats.org/markup-compatibility/2006">
      <mc:Choice Requires="x14">
        <control shapeId="201017" r:id="rId64" name="PBR_CO2Percentage">
          <controlPr defaultSize="0" autoLine="0" r:id="rId65">
            <anchor moveWithCells="1">
              <from>
                <xdr:col>5</xdr:col>
                <xdr:colOff>238125</xdr:colOff>
                <xdr:row>6</xdr:row>
                <xdr:rowOff>28575</xdr:rowOff>
              </from>
              <to>
                <xdr:col>6</xdr:col>
                <xdr:colOff>333375</xdr:colOff>
                <xdr:row>7</xdr:row>
                <xdr:rowOff>76200</xdr:rowOff>
              </to>
            </anchor>
          </controlPr>
        </control>
      </mc:Choice>
      <mc:Fallback>
        <control shapeId="201017" r:id="rId64" name="PBR_CO2Percentage"/>
      </mc:Fallback>
    </mc:AlternateContent>
    <mc:AlternateContent xmlns:mc="http://schemas.openxmlformats.org/markup-compatibility/2006">
      <mc:Choice Requires="x14">
        <control shapeId="201019" r:id="rId66"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7"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68"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69"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0"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1"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F445"/>
  <sheetViews>
    <sheetView zoomScale="60" zoomScaleNormal="60" workbookViewId="0">
      <pane xSplit="1" ySplit="3" topLeftCell="B199" activePane="bottomRight" state="frozen"/>
      <selection pane="topRight" activeCell="B1" sqref="B1"/>
      <selection pane="bottomLeft" activeCell="A3" sqref="A3"/>
      <selection pane="bottomRight" activeCell="D194" sqref="D194"/>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 min="58" max="58" width="5.85546875" customWidth="1"/>
  </cols>
  <sheetData>
    <row r="1" spans="1:58" ht="60.75" customHeight="1" x14ac:dyDescent="0.25">
      <c r="A1" s="1" t="s">
        <v>1067</v>
      </c>
      <c r="B1" s="1" t="s">
        <v>1458</v>
      </c>
      <c r="C1" s="55" t="s">
        <v>1136</v>
      </c>
      <c r="D1" s="1" t="s">
        <v>958</v>
      </c>
      <c r="E1" s="1" t="s">
        <v>1143</v>
      </c>
      <c r="F1" s="1" t="s">
        <v>0</v>
      </c>
      <c r="G1" s="1" t="s">
        <v>1137</v>
      </c>
      <c r="H1" s="1" t="s">
        <v>905</v>
      </c>
      <c r="I1" s="1" t="s">
        <v>1422</v>
      </c>
      <c r="J1" s="1" t="s">
        <v>1244</v>
      </c>
      <c r="K1" s="1" t="s">
        <v>1424</v>
      </c>
      <c r="L1" s="1" t="s">
        <v>1425</v>
      </c>
      <c r="M1" s="1" t="s">
        <v>1245</v>
      </c>
      <c r="N1" s="1" t="s">
        <v>1428</v>
      </c>
      <c r="O1" s="1" t="s">
        <v>1429</v>
      </c>
      <c r="P1" s="1" t="s">
        <v>1438</v>
      </c>
      <c r="Q1" s="1" t="s">
        <v>1431</v>
      </c>
      <c r="R1" s="1" t="s">
        <v>1432</v>
      </c>
      <c r="S1" s="1" t="s">
        <v>1246</v>
      </c>
      <c r="T1" s="1" t="s">
        <v>1433</v>
      </c>
      <c r="U1" s="43" t="s">
        <v>1445</v>
      </c>
      <c r="V1" s="1" t="s">
        <v>1434</v>
      </c>
      <c r="W1" s="1" t="s">
        <v>1435</v>
      </c>
      <c r="X1" s="1" t="s">
        <v>1389</v>
      </c>
      <c r="Y1" s="1" t="s">
        <v>1138</v>
      </c>
      <c r="Z1" s="1" t="s">
        <v>1</v>
      </c>
      <c r="AA1" s="1" t="s">
        <v>1450</v>
      </c>
      <c r="AB1" s="1" t="s">
        <v>1439</v>
      </c>
      <c r="AC1" s="1" t="s">
        <v>1440</v>
      </c>
      <c r="AD1" s="1" t="s">
        <v>1139</v>
      </c>
      <c r="AE1" s="1" t="s">
        <v>1443</v>
      </c>
      <c r="AF1" s="1" t="s">
        <v>1444</v>
      </c>
      <c r="AG1" s="1" t="s">
        <v>1451</v>
      </c>
      <c r="AH1" s="2" t="s">
        <v>1140</v>
      </c>
      <c r="AI1" s="2" t="s">
        <v>1141</v>
      </c>
      <c r="AJ1" s="2" t="s">
        <v>1142</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2087</v>
      </c>
      <c r="BD1" s="1" t="s">
        <v>2086</v>
      </c>
      <c r="BE1" s="1" t="s">
        <v>2077</v>
      </c>
      <c r="BF1" s="1" t="s">
        <v>2093</v>
      </c>
    </row>
    <row r="2" spans="1:58" ht="17.25" hidden="1" x14ac:dyDescent="0.25">
      <c r="A2" s="252"/>
      <c r="B2" s="252"/>
      <c r="C2" s="253"/>
      <c r="D2" s="252"/>
      <c r="E2" s="254"/>
      <c r="F2" s="255"/>
      <c r="G2" s="255"/>
      <c r="H2" s="252"/>
      <c r="I2" s="256" t="s">
        <v>781</v>
      </c>
      <c r="J2" s="256" t="s">
        <v>1423</v>
      </c>
      <c r="K2" s="256" t="s">
        <v>1388</v>
      </c>
      <c r="L2" s="256" t="s">
        <v>1426</v>
      </c>
      <c r="M2" s="256" t="s">
        <v>1427</v>
      </c>
      <c r="N2" s="256" t="s">
        <v>1388</v>
      </c>
      <c r="O2" s="256" t="s">
        <v>783</v>
      </c>
      <c r="P2" s="256" t="s">
        <v>1430</v>
      </c>
      <c r="Q2" s="256" t="s">
        <v>1388</v>
      </c>
      <c r="R2" s="256" t="s">
        <v>783</v>
      </c>
      <c r="S2" s="256" t="s">
        <v>1437</v>
      </c>
      <c r="T2" s="256" t="s">
        <v>1388</v>
      </c>
      <c r="U2" s="257" t="s">
        <v>781</v>
      </c>
      <c r="V2" s="257" t="s">
        <v>1423</v>
      </c>
      <c r="W2" s="256" t="s">
        <v>1242</v>
      </c>
      <c r="X2" s="257" t="s">
        <v>1436</v>
      </c>
      <c r="Y2" s="256" t="s">
        <v>1388</v>
      </c>
      <c r="Z2" s="256" t="s">
        <v>1388</v>
      </c>
      <c r="AA2" s="256" t="s">
        <v>1388</v>
      </c>
      <c r="AB2" s="256" t="s">
        <v>784</v>
      </c>
      <c r="AC2" s="256"/>
      <c r="AD2" s="252" t="s">
        <v>784</v>
      </c>
      <c r="AE2" s="252" t="s">
        <v>1441</v>
      </c>
      <c r="AF2" s="252" t="s">
        <v>1442</v>
      </c>
      <c r="AG2" s="252" t="s">
        <v>1388</v>
      </c>
      <c r="AH2" s="258"/>
      <c r="AI2" s="258"/>
      <c r="AJ2" s="258"/>
      <c r="AK2" s="258"/>
      <c r="AL2" s="259"/>
      <c r="AM2" s="259"/>
      <c r="AN2" s="259"/>
      <c r="AO2" s="259"/>
      <c r="AP2" s="259"/>
      <c r="AQ2" s="254"/>
      <c r="AR2" s="252"/>
      <c r="AS2" s="259"/>
      <c r="AT2" s="259"/>
      <c r="AU2" s="259"/>
      <c r="AV2" s="259"/>
      <c r="AW2" s="259"/>
      <c r="AX2" s="259"/>
      <c r="AY2" s="259"/>
      <c r="AZ2" s="259"/>
      <c r="BA2" s="259"/>
      <c r="BB2" s="259"/>
      <c r="BC2" s="259" t="s">
        <v>1643</v>
      </c>
      <c r="BD2" s="259" t="s">
        <v>1625</v>
      </c>
      <c r="BE2" s="259"/>
      <c r="BF2" s="259"/>
    </row>
    <row r="3" spans="1:58" s="260" customFormat="1" ht="30" hidden="1" x14ac:dyDescent="0.25">
      <c r="A3" s="4" t="s">
        <v>65</v>
      </c>
      <c r="B3" s="4"/>
      <c r="C3" s="4" t="s">
        <v>66</v>
      </c>
      <c r="D3" s="4" t="s">
        <v>23</v>
      </c>
      <c r="E3" s="5" t="s">
        <v>34</v>
      </c>
      <c r="F3" s="6"/>
      <c r="G3" s="4" t="s">
        <v>67</v>
      </c>
      <c r="H3" s="4" t="s">
        <v>1112</v>
      </c>
      <c r="I3" s="7">
        <v>119.4</v>
      </c>
      <c r="J3" s="7">
        <v>119.4</v>
      </c>
      <c r="K3" s="7">
        <v>0.75</v>
      </c>
      <c r="L3" s="7">
        <v>0.26</v>
      </c>
      <c r="M3" s="51">
        <v>0.26</v>
      </c>
      <c r="N3" s="7">
        <v>0.75</v>
      </c>
      <c r="O3" s="7">
        <v>70.5</v>
      </c>
      <c r="P3" s="7">
        <v>70.5</v>
      </c>
      <c r="Q3" s="7">
        <v>0.75</v>
      </c>
      <c r="R3" s="7">
        <v>70.5</v>
      </c>
      <c r="S3" s="7">
        <v>70.5</v>
      </c>
      <c r="T3" s="7">
        <v>0.75</v>
      </c>
      <c r="U3" s="12"/>
      <c r="V3" s="12"/>
      <c r="W3" s="7"/>
      <c r="X3" s="12"/>
      <c r="Y3" s="7"/>
      <c r="Z3" s="7"/>
      <c r="AA3" s="7"/>
      <c r="AB3" s="7"/>
      <c r="AC3" s="7"/>
      <c r="AD3" s="4"/>
      <c r="AE3" s="4"/>
      <c r="AF3" s="4"/>
      <c r="AG3" s="4"/>
      <c r="AH3" s="9"/>
      <c r="AI3" s="9"/>
      <c r="AJ3" s="9"/>
      <c r="AK3" s="9" t="s">
        <v>30</v>
      </c>
      <c r="AL3" s="10"/>
      <c r="AM3" s="10"/>
      <c r="AN3" s="10"/>
      <c r="AO3" s="10"/>
      <c r="AP3" s="10"/>
      <c r="AQ3" s="11">
        <v>14</v>
      </c>
      <c r="AR3" s="4" t="s">
        <v>32</v>
      </c>
      <c r="AS3" s="10" t="s">
        <v>68</v>
      </c>
      <c r="AT3" s="10"/>
      <c r="AU3" s="10"/>
      <c r="AV3" s="10"/>
      <c r="AW3" s="10"/>
      <c r="AX3" s="10"/>
      <c r="AY3" s="10"/>
      <c r="AZ3" s="10"/>
      <c r="BA3" s="10"/>
      <c r="BB3" s="10"/>
      <c r="BC3" s="10"/>
      <c r="BD3" s="10"/>
      <c r="BE3" s="10"/>
      <c r="BF3" s="10"/>
    </row>
    <row r="4" spans="1:58" ht="45" hidden="1" x14ac:dyDescent="0.25">
      <c r="A4" s="4" t="s">
        <v>100</v>
      </c>
      <c r="B4" s="4"/>
      <c r="C4" s="4" t="s">
        <v>66</v>
      </c>
      <c r="D4" s="4" t="s">
        <v>101</v>
      </c>
      <c r="E4" s="5" t="s">
        <v>34</v>
      </c>
      <c r="F4" s="4" t="s">
        <v>102</v>
      </c>
      <c r="G4" s="4" t="s">
        <v>26</v>
      </c>
      <c r="H4" s="4"/>
      <c r="I4" s="12">
        <v>0.33160000000000001</v>
      </c>
      <c r="J4" s="12">
        <v>0.33160000000000001</v>
      </c>
      <c r="K4" s="12">
        <v>0.75</v>
      </c>
      <c r="L4" s="12">
        <v>3.6900000000000002E-4</v>
      </c>
      <c r="M4" s="51"/>
      <c r="N4" s="12"/>
      <c r="O4" s="7"/>
      <c r="P4" s="7"/>
      <c r="Q4" s="7"/>
      <c r="R4" s="7"/>
      <c r="S4" s="7"/>
      <c r="T4" s="7"/>
      <c r="U4" s="12"/>
      <c r="V4" s="12"/>
      <c r="W4" s="7"/>
      <c r="X4" s="12"/>
      <c r="Y4" s="7"/>
      <c r="Z4" s="7"/>
      <c r="AA4" s="7"/>
      <c r="AB4" s="7"/>
      <c r="AC4" s="7"/>
      <c r="AD4" s="4"/>
      <c r="AE4" s="4"/>
      <c r="AF4" s="4"/>
      <c r="AG4" s="4"/>
      <c r="AH4" s="9"/>
      <c r="AI4" s="9"/>
      <c r="AJ4" s="9"/>
      <c r="AK4" s="9" t="s">
        <v>30</v>
      </c>
      <c r="AL4" s="10"/>
      <c r="AM4" s="10"/>
      <c r="AN4" s="10"/>
      <c r="AO4" s="10"/>
      <c r="AP4" s="10"/>
      <c r="AQ4" s="11">
        <v>11</v>
      </c>
      <c r="AR4" s="4" t="s">
        <v>103</v>
      </c>
      <c r="AS4" s="10" t="s">
        <v>947</v>
      </c>
      <c r="AT4" s="10"/>
      <c r="AU4" s="10"/>
      <c r="AV4" s="10"/>
      <c r="AW4" s="10"/>
      <c r="AX4" s="10"/>
      <c r="AY4" s="10"/>
      <c r="AZ4" s="10"/>
      <c r="BA4" s="10"/>
      <c r="BB4" s="10"/>
      <c r="BC4" s="10"/>
      <c r="BD4" s="10"/>
      <c r="BE4" s="10"/>
      <c r="BF4" s="10"/>
    </row>
    <row r="5" spans="1:58" ht="105" x14ac:dyDescent="0.25">
      <c r="A5" s="4" t="s">
        <v>979</v>
      </c>
      <c r="B5" s="4" t="s">
        <v>1490</v>
      </c>
      <c r="C5" s="4" t="s">
        <v>66</v>
      </c>
      <c r="D5" s="4" t="s">
        <v>131</v>
      </c>
      <c r="E5" s="5" t="s">
        <v>24</v>
      </c>
      <c r="F5" s="6"/>
      <c r="G5" s="4" t="s">
        <v>35</v>
      </c>
      <c r="H5" s="49" t="s">
        <v>1162</v>
      </c>
      <c r="I5" s="12" t="s">
        <v>819</v>
      </c>
      <c r="J5" s="14">
        <v>90.065509139309626</v>
      </c>
      <c r="K5" s="7">
        <v>0.75</v>
      </c>
      <c r="L5" s="7"/>
      <c r="M5" s="51">
        <v>0.19149676631146648</v>
      </c>
      <c r="N5" s="7">
        <v>0.75</v>
      </c>
      <c r="O5" s="7"/>
      <c r="P5" s="7">
        <v>0</v>
      </c>
      <c r="Q5" s="7">
        <v>0.75</v>
      </c>
      <c r="R5" s="7">
        <v>16</v>
      </c>
      <c r="S5" s="7">
        <v>9</v>
      </c>
      <c r="T5" s="7">
        <v>0.75</v>
      </c>
      <c r="U5" s="12">
        <v>20</v>
      </c>
      <c r="V5" s="12">
        <v>20</v>
      </c>
      <c r="W5" s="7"/>
      <c r="X5" s="12">
        <v>179.49279778592958</v>
      </c>
      <c r="Y5" s="7">
        <v>8</v>
      </c>
      <c r="Z5" s="7">
        <v>9</v>
      </c>
      <c r="AA5" s="7">
        <v>0.75</v>
      </c>
      <c r="AB5" s="7">
        <v>81400</v>
      </c>
      <c r="AC5" s="7">
        <v>0.75</v>
      </c>
      <c r="AD5" s="4"/>
      <c r="AE5" s="4">
        <v>0</v>
      </c>
      <c r="AF5" s="4"/>
      <c r="AG5" s="4">
        <v>0.75</v>
      </c>
      <c r="AH5" s="9" t="s">
        <v>134</v>
      </c>
      <c r="AI5" s="9" t="s">
        <v>135</v>
      </c>
      <c r="AJ5" s="9" t="s">
        <v>136</v>
      </c>
      <c r="AK5" s="9" t="s">
        <v>30</v>
      </c>
      <c r="AL5" s="10"/>
      <c r="AM5" s="10"/>
      <c r="AN5" s="10"/>
      <c r="AO5" s="10"/>
      <c r="AP5" s="10"/>
      <c r="AQ5" s="11" t="s">
        <v>137</v>
      </c>
      <c r="AR5" s="4" t="s">
        <v>138</v>
      </c>
      <c r="AS5" s="10" t="s">
        <v>861</v>
      </c>
      <c r="AT5" s="10" t="s">
        <v>863</v>
      </c>
      <c r="AU5" s="10" t="s">
        <v>871</v>
      </c>
      <c r="AV5" s="10" t="s">
        <v>951</v>
      </c>
      <c r="AW5" s="10"/>
      <c r="AX5" s="10"/>
      <c r="AY5" s="10"/>
      <c r="AZ5" s="10"/>
      <c r="BA5" s="10"/>
      <c r="BB5" s="10"/>
      <c r="BC5" s="10" t="s">
        <v>132</v>
      </c>
      <c r="BD5" s="10" t="s">
        <v>133</v>
      </c>
      <c r="BE5" s="10"/>
      <c r="BF5" s="10"/>
    </row>
    <row r="6" spans="1:58" ht="221.45" customHeight="1" x14ac:dyDescent="0.25">
      <c r="A6" s="4" t="s">
        <v>976</v>
      </c>
      <c r="B6" s="4" t="s">
        <v>1267</v>
      </c>
      <c r="C6" s="4" t="s">
        <v>66</v>
      </c>
      <c r="D6" s="4" t="s">
        <v>131</v>
      </c>
      <c r="E6" s="5" t="s">
        <v>24</v>
      </c>
      <c r="F6" s="6"/>
      <c r="G6" s="4" t="s">
        <v>35</v>
      </c>
      <c r="H6" s="49" t="s">
        <v>1161</v>
      </c>
      <c r="I6" s="12" t="s">
        <v>823</v>
      </c>
      <c r="J6" s="12">
        <v>93.93668964610292</v>
      </c>
      <c r="K6" s="12">
        <v>0.75</v>
      </c>
      <c r="L6" s="12" t="s">
        <v>765</v>
      </c>
      <c r="M6" s="51">
        <v>0.47645375699906733</v>
      </c>
      <c r="N6" s="12">
        <v>0.75</v>
      </c>
      <c r="O6" s="12"/>
      <c r="P6" s="12">
        <v>0</v>
      </c>
      <c r="Q6" s="12">
        <v>0.75</v>
      </c>
      <c r="R6" s="7"/>
      <c r="S6" s="7">
        <v>9</v>
      </c>
      <c r="T6" s="7">
        <v>0.75</v>
      </c>
      <c r="U6" s="12">
        <v>20</v>
      </c>
      <c r="V6" s="12">
        <v>20</v>
      </c>
      <c r="W6" s="7"/>
      <c r="X6" s="12">
        <v>0</v>
      </c>
      <c r="Y6" s="7">
        <v>8</v>
      </c>
      <c r="Z6" s="7">
        <v>9</v>
      </c>
      <c r="AA6" s="7">
        <v>1</v>
      </c>
      <c r="AB6" s="7" t="s">
        <v>194</v>
      </c>
      <c r="AC6" s="7">
        <v>0.75</v>
      </c>
      <c r="AD6" s="4">
        <v>0</v>
      </c>
      <c r="AE6" s="4">
        <v>0</v>
      </c>
      <c r="AF6" s="4"/>
      <c r="AG6" s="4">
        <v>0.75</v>
      </c>
      <c r="AH6" s="9" t="s">
        <v>195</v>
      </c>
      <c r="AI6" s="9" t="s">
        <v>196</v>
      </c>
      <c r="AJ6" s="9"/>
      <c r="AK6" s="9" t="s">
        <v>30</v>
      </c>
      <c r="AL6" s="10"/>
      <c r="AM6" s="10"/>
      <c r="AN6" s="10"/>
      <c r="AO6" s="10"/>
      <c r="AP6" s="10"/>
      <c r="AQ6" s="11" t="s">
        <v>197</v>
      </c>
      <c r="AR6" s="4" t="s">
        <v>198</v>
      </c>
      <c r="AS6" s="10" t="s">
        <v>861</v>
      </c>
      <c r="AT6" s="10" t="s">
        <v>863</v>
      </c>
      <c r="AU6" s="10" t="s">
        <v>871</v>
      </c>
      <c r="AV6" s="10" t="s">
        <v>951</v>
      </c>
      <c r="AW6" s="10"/>
      <c r="AX6" s="10"/>
      <c r="AY6" s="10"/>
      <c r="AZ6" s="10"/>
      <c r="BA6" s="10"/>
      <c r="BB6" s="10"/>
      <c r="BC6" s="10">
        <v>290</v>
      </c>
      <c r="BD6" s="10" t="s">
        <v>193</v>
      </c>
      <c r="BE6" s="10"/>
      <c r="BF6" s="10"/>
    </row>
    <row r="7" spans="1:58" ht="45" x14ac:dyDescent="0.25">
      <c r="A7" s="4" t="s">
        <v>220</v>
      </c>
      <c r="B7" s="4"/>
      <c r="C7" s="4" t="s">
        <v>66</v>
      </c>
      <c r="D7" s="4" t="s">
        <v>23</v>
      </c>
      <c r="E7" s="5" t="s">
        <v>34</v>
      </c>
      <c r="F7" s="4" t="s">
        <v>221</v>
      </c>
      <c r="G7" s="4" t="s">
        <v>35</v>
      </c>
      <c r="H7" s="4"/>
      <c r="I7" s="12">
        <v>1.9503999999999999</v>
      </c>
      <c r="J7" s="12">
        <v>1.9503999999999999</v>
      </c>
      <c r="K7" s="12"/>
      <c r="L7" s="12">
        <v>2.5479999999999999E-3</v>
      </c>
      <c r="M7" s="12">
        <v>2.5479999999999999E-3</v>
      </c>
      <c r="N7" s="12"/>
      <c r="O7" s="12"/>
      <c r="P7" s="12"/>
      <c r="Q7" s="12"/>
      <c r="R7" s="12"/>
      <c r="S7" s="7"/>
      <c r="T7" s="7"/>
      <c r="U7" s="12">
        <v>1.2092479999999999</v>
      </c>
      <c r="V7" s="12">
        <v>1.2092479999999999</v>
      </c>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943</v>
      </c>
      <c r="AT7" s="10" t="s">
        <v>860</v>
      </c>
      <c r="AU7" s="10"/>
      <c r="AV7" s="10"/>
      <c r="AW7" s="10"/>
      <c r="AX7" s="10"/>
      <c r="AY7" s="10"/>
      <c r="AZ7" s="10"/>
      <c r="BA7" s="10"/>
      <c r="BB7" s="10"/>
      <c r="BC7" s="10"/>
      <c r="BD7" s="10"/>
      <c r="BE7" s="10"/>
      <c r="BF7" s="10"/>
    </row>
    <row r="8" spans="1:58" ht="45" x14ac:dyDescent="0.25">
      <c r="A8" s="4" t="s">
        <v>222</v>
      </c>
      <c r="B8" s="4"/>
      <c r="C8" s="4" t="s">
        <v>66</v>
      </c>
      <c r="D8" s="4" t="s">
        <v>23</v>
      </c>
      <c r="E8" s="5" t="s">
        <v>34</v>
      </c>
      <c r="F8" s="4" t="s">
        <v>221</v>
      </c>
      <c r="G8" s="4" t="s">
        <v>35</v>
      </c>
      <c r="H8" s="4" t="s">
        <v>223</v>
      </c>
      <c r="I8" s="12">
        <v>1.9503999999999999</v>
      </c>
      <c r="J8" s="12">
        <v>1.95</v>
      </c>
      <c r="K8" s="12"/>
      <c r="L8" s="12">
        <v>2.5479999999999999E-3</v>
      </c>
      <c r="M8" s="51"/>
      <c r="N8" s="12"/>
      <c r="O8" s="12"/>
      <c r="P8" s="12"/>
      <c r="Q8" s="12"/>
      <c r="R8" s="12"/>
      <c r="S8" s="12"/>
      <c r="T8" s="12"/>
      <c r="U8" s="12"/>
      <c r="V8" s="12"/>
      <c r="W8" s="7"/>
      <c r="X8" s="12"/>
      <c r="Y8" s="7"/>
      <c r="Z8" s="7"/>
      <c r="AA8" s="7"/>
      <c r="AB8" s="7">
        <f>3*10^5</f>
        <v>300000</v>
      </c>
      <c r="AC8" s="7"/>
      <c r="AD8" s="4"/>
      <c r="AE8" s="4"/>
      <c r="AF8" s="4"/>
      <c r="AG8" s="4"/>
      <c r="AH8" s="9"/>
      <c r="AI8" s="9"/>
      <c r="AJ8" s="9"/>
      <c r="AK8" s="9" t="s">
        <v>30</v>
      </c>
      <c r="AL8" s="10"/>
      <c r="AM8" s="10"/>
      <c r="AN8" s="10"/>
      <c r="AO8" s="10"/>
      <c r="AP8" s="10"/>
      <c r="AQ8" s="11">
        <v>11</v>
      </c>
      <c r="AR8" s="4" t="s">
        <v>32</v>
      </c>
      <c r="AS8" s="10" t="s">
        <v>944</v>
      </c>
      <c r="AT8" s="10" t="s">
        <v>945</v>
      </c>
      <c r="AU8" s="10" t="s">
        <v>862</v>
      </c>
      <c r="AV8" s="10"/>
      <c r="AW8" s="10"/>
      <c r="AX8" s="10"/>
      <c r="AY8" s="10"/>
      <c r="AZ8" s="10"/>
      <c r="BA8" s="10"/>
      <c r="BB8" s="10"/>
      <c r="BC8" s="10"/>
      <c r="BD8" s="10"/>
      <c r="BE8" s="10"/>
      <c r="BF8" s="10"/>
    </row>
    <row r="9" spans="1:58" ht="60" hidden="1" x14ac:dyDescent="0.25">
      <c r="A9" s="4" t="s">
        <v>229</v>
      </c>
      <c r="B9" s="4"/>
      <c r="C9" s="4" t="s">
        <v>66</v>
      </c>
      <c r="D9" s="4" t="s">
        <v>23</v>
      </c>
      <c r="E9" s="5" t="s">
        <v>34</v>
      </c>
      <c r="F9" s="6"/>
      <c r="G9" s="4" t="s">
        <v>26</v>
      </c>
      <c r="H9" s="49" t="s">
        <v>230</v>
      </c>
      <c r="I9" s="12">
        <v>1.2</v>
      </c>
      <c r="J9" s="12">
        <v>1.2</v>
      </c>
      <c r="K9" s="12">
        <v>0.75</v>
      </c>
      <c r="L9" s="12">
        <v>1.4E-3</v>
      </c>
      <c r="M9" s="51">
        <v>1.4E-3</v>
      </c>
      <c r="N9" s="12">
        <v>0.75</v>
      </c>
      <c r="O9" s="12">
        <v>0</v>
      </c>
      <c r="P9" s="12">
        <v>0</v>
      </c>
      <c r="Q9" s="12">
        <v>0.75</v>
      </c>
      <c r="R9" s="12">
        <v>0</v>
      </c>
      <c r="S9" s="12">
        <v>0</v>
      </c>
      <c r="T9" s="12">
        <v>0.75</v>
      </c>
      <c r="U9" s="12"/>
      <c r="V9" s="12"/>
      <c r="W9" s="7"/>
      <c r="X9" s="12"/>
      <c r="Y9" s="7"/>
      <c r="Z9" s="7">
        <v>1</v>
      </c>
      <c r="AA9" s="7">
        <v>1</v>
      </c>
      <c r="AB9" s="7"/>
      <c r="AC9" s="7"/>
      <c r="AD9" s="4"/>
      <c r="AE9" s="4"/>
      <c r="AF9" s="4"/>
      <c r="AG9" s="4"/>
      <c r="AH9" s="9"/>
      <c r="AI9" s="9"/>
      <c r="AJ9" s="9"/>
      <c r="AK9" s="9" t="s">
        <v>30</v>
      </c>
      <c r="AL9" s="10"/>
      <c r="AM9" s="10"/>
      <c r="AN9" s="10"/>
      <c r="AO9" s="10"/>
      <c r="AP9" s="10"/>
      <c r="AQ9" s="11" t="s">
        <v>231</v>
      </c>
      <c r="AR9" s="4" t="s">
        <v>32</v>
      </c>
      <c r="AS9" s="10"/>
      <c r="AT9" s="10"/>
      <c r="AU9" s="10"/>
      <c r="AV9" s="10"/>
      <c r="AW9" s="10"/>
      <c r="AX9" s="10"/>
      <c r="AY9" s="10"/>
      <c r="AZ9" s="10"/>
      <c r="BA9" s="10"/>
      <c r="BB9" s="10"/>
      <c r="BC9" s="10"/>
      <c r="BD9" s="10"/>
      <c r="BE9" s="10"/>
      <c r="BF9" s="10"/>
    </row>
    <row r="10" spans="1:58" ht="45" x14ac:dyDescent="0.25">
      <c r="A10" s="4" t="s">
        <v>232</v>
      </c>
      <c r="B10" s="4"/>
      <c r="C10" s="4" t="s">
        <v>66</v>
      </c>
      <c r="D10" s="4" t="s">
        <v>23</v>
      </c>
      <c r="E10" s="5" t="s">
        <v>34</v>
      </c>
      <c r="F10" s="4" t="s">
        <v>221</v>
      </c>
      <c r="G10" s="4" t="s">
        <v>35</v>
      </c>
      <c r="H10" s="4"/>
      <c r="I10" s="12">
        <v>1.9503999999999999</v>
      </c>
      <c r="J10" s="12"/>
      <c r="K10" s="12"/>
      <c r="L10" s="12">
        <v>2.5479999999999999E-3</v>
      </c>
      <c r="M10" s="51"/>
      <c r="N10" s="12"/>
      <c r="O10" s="12"/>
      <c r="P10" s="12"/>
      <c r="Q10" s="12"/>
      <c r="R10" s="12"/>
      <c r="S10" s="12"/>
      <c r="T10" s="12"/>
      <c r="U10" s="12"/>
      <c r="V10" s="12"/>
      <c r="W10" s="7"/>
      <c r="X10" s="12"/>
      <c r="Y10" s="7"/>
      <c r="Z10" s="7"/>
      <c r="AA10" s="7"/>
      <c r="AB10" s="7">
        <f>3*10^5</f>
        <v>300000</v>
      </c>
      <c r="AC10" s="7"/>
      <c r="AD10" s="4"/>
      <c r="AE10" s="4"/>
      <c r="AF10" s="4"/>
      <c r="AG10" s="4"/>
      <c r="AH10" s="9"/>
      <c r="AI10" s="9"/>
      <c r="AJ10" s="9"/>
      <c r="AK10" s="9" t="s">
        <v>30</v>
      </c>
      <c r="AL10" s="10"/>
      <c r="AM10" s="10"/>
      <c r="AN10" s="10"/>
      <c r="AO10" s="10"/>
      <c r="AP10" s="10"/>
      <c r="AQ10" s="11">
        <v>11</v>
      </c>
      <c r="AR10" s="4" t="s">
        <v>32</v>
      </c>
      <c r="AS10" s="10" t="s">
        <v>944</v>
      </c>
      <c r="AT10" s="10" t="s">
        <v>945</v>
      </c>
      <c r="AU10" s="10" t="s">
        <v>862</v>
      </c>
      <c r="AV10" s="10"/>
      <c r="AW10" s="10"/>
      <c r="AX10" s="10"/>
      <c r="AY10" s="10"/>
      <c r="AZ10" s="10"/>
      <c r="BA10" s="10"/>
      <c r="BB10" s="10"/>
      <c r="BC10" s="10"/>
      <c r="BD10" s="10"/>
      <c r="BE10" s="10"/>
      <c r="BF10" s="10"/>
    </row>
    <row r="11" spans="1:58" ht="30" hidden="1" x14ac:dyDescent="0.25">
      <c r="A11" s="4" t="s">
        <v>285</v>
      </c>
      <c r="B11" s="4"/>
      <c r="C11" s="4" t="s">
        <v>66</v>
      </c>
      <c r="D11" s="4" t="s">
        <v>23</v>
      </c>
      <c r="E11" s="5" t="s">
        <v>34</v>
      </c>
      <c r="F11" s="4" t="s">
        <v>221</v>
      </c>
      <c r="G11" s="4" t="s">
        <v>26</v>
      </c>
      <c r="H11" s="4" t="s">
        <v>286</v>
      </c>
      <c r="I11" s="12" t="s">
        <v>1149</v>
      </c>
      <c r="J11" s="12"/>
      <c r="K11" s="12"/>
      <c r="L11" s="12" t="s">
        <v>1150</v>
      </c>
      <c r="M11" s="51"/>
      <c r="N11" s="12"/>
      <c r="O11" s="12">
        <v>0</v>
      </c>
      <c r="P11" s="12"/>
      <c r="Q11" s="12"/>
      <c r="R11" s="12">
        <v>0</v>
      </c>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t="s">
        <v>231</v>
      </c>
      <c r="AR11" s="4" t="s">
        <v>287</v>
      </c>
      <c r="AS11" s="10"/>
      <c r="AT11" s="10"/>
      <c r="AU11" s="10"/>
      <c r="AV11" s="10"/>
      <c r="AW11" s="10"/>
      <c r="AX11" s="10"/>
      <c r="AY11" s="10"/>
      <c r="AZ11" s="10"/>
      <c r="BA11" s="10"/>
      <c r="BB11" s="10"/>
      <c r="BC11" s="10"/>
      <c r="BD11" s="10"/>
      <c r="BE11" s="10"/>
      <c r="BF11" s="10"/>
    </row>
    <row r="12" spans="1:58" ht="30" hidden="1" x14ac:dyDescent="0.25">
      <c r="A12" s="4" t="s">
        <v>288</v>
      </c>
      <c r="B12" s="4"/>
      <c r="C12" s="4" t="s">
        <v>66</v>
      </c>
      <c r="D12" s="4" t="s">
        <v>23</v>
      </c>
      <c r="E12" s="5" t="s">
        <v>34</v>
      </c>
      <c r="F12" s="6"/>
      <c r="G12" s="4" t="s">
        <v>26</v>
      </c>
      <c r="H12" s="4"/>
      <c r="I12" s="12">
        <v>0.90710000000000002</v>
      </c>
      <c r="J12" s="12"/>
      <c r="K12" s="12"/>
      <c r="L12" s="12">
        <v>1.8900000000000001E-4</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948</v>
      </c>
      <c r="AT12" s="10" t="s">
        <v>949</v>
      </c>
      <c r="AU12" s="10"/>
      <c r="AV12" s="10"/>
      <c r="AW12" s="10"/>
      <c r="AX12" s="10"/>
      <c r="AY12" s="10"/>
      <c r="AZ12" s="10"/>
      <c r="BA12" s="10"/>
      <c r="BB12" s="10"/>
      <c r="BC12" s="10"/>
      <c r="BD12" s="10"/>
      <c r="BE12" s="10"/>
      <c r="BF12" s="10"/>
    </row>
    <row r="13" spans="1:58" ht="29.1" hidden="1" customHeight="1" x14ac:dyDescent="0.25">
      <c r="A13" s="4" t="s">
        <v>289</v>
      </c>
      <c r="B13" s="4"/>
      <c r="C13" s="4" t="s">
        <v>66</v>
      </c>
      <c r="D13" s="4" t="s">
        <v>101</v>
      </c>
      <c r="E13" s="5" t="s">
        <v>34</v>
      </c>
      <c r="F13" s="6"/>
      <c r="G13" s="4" t="s">
        <v>26</v>
      </c>
      <c r="H13" s="4" t="s">
        <v>290</v>
      </c>
      <c r="I13" s="12">
        <v>0.84360000000000002</v>
      </c>
      <c r="J13" s="12"/>
      <c r="K13" s="12"/>
      <c r="L13" s="12">
        <v>2.5479999999999999E-3</v>
      </c>
      <c r="M13" s="51"/>
      <c r="N13" s="12"/>
      <c r="O13" s="12"/>
      <c r="P13" s="12"/>
      <c r="Q13" s="12"/>
      <c r="R13" s="12"/>
      <c r="S13" s="12"/>
      <c r="T13" s="12"/>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32</v>
      </c>
      <c r="AS13" s="10" t="s">
        <v>949</v>
      </c>
      <c r="AT13" s="10"/>
      <c r="AU13" s="10"/>
      <c r="AV13" s="10"/>
      <c r="AW13" s="10"/>
      <c r="AX13" s="10"/>
      <c r="AY13" s="10"/>
      <c r="AZ13" s="10"/>
      <c r="BA13" s="10"/>
      <c r="BB13" s="10"/>
      <c r="BC13" s="10"/>
      <c r="BD13" s="10"/>
      <c r="BE13" s="10"/>
      <c r="BF13" s="10"/>
    </row>
    <row r="14" spans="1:58" ht="27" hidden="1" customHeight="1" x14ac:dyDescent="0.25">
      <c r="A14" s="4" t="s">
        <v>301</v>
      </c>
      <c r="B14" s="4"/>
      <c r="C14" s="4" t="s">
        <v>66</v>
      </c>
      <c r="D14" s="4" t="s">
        <v>23</v>
      </c>
      <c r="E14" s="5" t="s">
        <v>34</v>
      </c>
      <c r="F14" s="6"/>
      <c r="G14" s="4" t="s">
        <v>26</v>
      </c>
      <c r="H14" s="4" t="s">
        <v>302</v>
      </c>
      <c r="I14" s="12" t="s">
        <v>815</v>
      </c>
      <c r="J14" s="12">
        <v>1.5</v>
      </c>
      <c r="K14" s="12"/>
      <c r="L14" s="12" t="s">
        <v>818</v>
      </c>
      <c r="M14" s="51">
        <v>4.0000000000000001E-3</v>
      </c>
      <c r="N14" s="12"/>
      <c r="O14" s="12"/>
      <c r="P14" s="12"/>
      <c r="Q14" s="12"/>
      <c r="R14" s="12" t="s">
        <v>303</v>
      </c>
      <c r="S14" s="12"/>
      <c r="T14" s="12"/>
      <c r="U14" s="12"/>
      <c r="V14" s="12"/>
      <c r="W14" s="7"/>
      <c r="X14" s="12"/>
      <c r="Y14" s="7"/>
      <c r="Z14" s="7"/>
      <c r="AA14" s="7"/>
      <c r="AB14" s="7">
        <f>5*10^5</f>
        <v>500000</v>
      </c>
      <c r="AC14" s="7"/>
      <c r="AD14" s="4"/>
      <c r="AE14" s="4"/>
      <c r="AF14" s="4"/>
      <c r="AG14" s="4"/>
      <c r="AH14" s="9"/>
      <c r="AI14" s="9"/>
      <c r="AJ14" s="9"/>
      <c r="AK14" s="9" t="s">
        <v>30</v>
      </c>
      <c r="AL14" s="10"/>
      <c r="AM14" s="10"/>
      <c r="AN14" s="10"/>
      <c r="AO14" s="10"/>
      <c r="AP14" s="10"/>
      <c r="AQ14" s="11" t="s">
        <v>231</v>
      </c>
      <c r="AR14" s="4" t="s">
        <v>32</v>
      </c>
      <c r="AS14" s="10"/>
      <c r="AT14" s="10"/>
      <c r="AU14" s="10"/>
      <c r="AV14" s="10"/>
      <c r="AW14" s="10"/>
      <c r="AX14" s="10"/>
      <c r="AY14" s="10"/>
      <c r="AZ14" s="10"/>
      <c r="BA14" s="10"/>
      <c r="BB14" s="10"/>
      <c r="BC14" s="10"/>
      <c r="BD14" s="10"/>
      <c r="BE14" s="10"/>
      <c r="BF14" s="10"/>
    </row>
    <row r="15" spans="1:58" ht="60" x14ac:dyDescent="0.25">
      <c r="A15" s="4" t="s">
        <v>304</v>
      </c>
      <c r="B15" s="4" t="s">
        <v>1467</v>
      </c>
      <c r="C15" s="4" t="s">
        <v>66</v>
      </c>
      <c r="D15" s="4" t="s">
        <v>23</v>
      </c>
      <c r="E15" s="5" t="s">
        <v>34</v>
      </c>
      <c r="F15" s="4"/>
      <c r="G15" s="4" t="s">
        <v>35</v>
      </c>
      <c r="H15" s="49" t="s">
        <v>305</v>
      </c>
      <c r="I15" s="12">
        <v>7.5</v>
      </c>
      <c r="J15" s="12">
        <v>7.5</v>
      </c>
      <c r="K15" s="12">
        <v>0.75</v>
      </c>
      <c r="L15" s="12">
        <v>1.2200000000000001E-2</v>
      </c>
      <c r="M15" s="51">
        <v>1.2200000000000001E-2</v>
      </c>
      <c r="N15" s="12">
        <v>0.75</v>
      </c>
      <c r="O15" s="12"/>
      <c r="P15" s="12">
        <v>0</v>
      </c>
      <c r="Q15" s="12"/>
      <c r="R15" s="12">
        <v>5.5</v>
      </c>
      <c r="S15" s="12">
        <v>5.5</v>
      </c>
      <c r="T15" s="12">
        <v>0.75</v>
      </c>
      <c r="U15" s="12">
        <v>4.6500000000000004</v>
      </c>
      <c r="V15" s="12">
        <v>4.6500000000000004</v>
      </c>
      <c r="W15" s="7"/>
      <c r="X15" s="12"/>
      <c r="Y15" s="7"/>
      <c r="Z15" s="7">
        <v>9</v>
      </c>
      <c r="AA15" s="7">
        <v>1</v>
      </c>
      <c r="AB15" s="7"/>
      <c r="AC15" s="7"/>
      <c r="AD15" s="4"/>
      <c r="AE15" s="4"/>
      <c r="AF15" s="4"/>
      <c r="AG15" s="4"/>
      <c r="AH15" s="9"/>
      <c r="AI15" s="9"/>
      <c r="AJ15" s="9"/>
      <c r="AK15" s="9" t="s">
        <v>30</v>
      </c>
      <c r="AL15" s="10"/>
      <c r="AM15" s="10"/>
      <c r="AN15" s="10"/>
      <c r="AO15" s="10"/>
      <c r="AP15" s="10"/>
      <c r="AQ15" s="11">
        <v>23</v>
      </c>
      <c r="AR15" s="4"/>
      <c r="AS15" s="10" t="s">
        <v>943</v>
      </c>
      <c r="AT15" s="10" t="s">
        <v>860</v>
      </c>
      <c r="AU15" s="10"/>
      <c r="AV15" s="10"/>
      <c r="AW15" s="10"/>
      <c r="AX15" s="10"/>
      <c r="AY15" s="10"/>
      <c r="AZ15" s="10"/>
      <c r="BA15" s="10"/>
      <c r="BB15" s="10"/>
      <c r="BC15" s="10"/>
      <c r="BD15" s="10"/>
      <c r="BE15" s="10"/>
      <c r="BF15" s="10"/>
    </row>
    <row r="16" spans="1:58" ht="30" hidden="1" x14ac:dyDescent="0.25">
      <c r="A16" s="4" t="s">
        <v>306</v>
      </c>
      <c r="B16" s="4"/>
      <c r="C16" s="4" t="s">
        <v>66</v>
      </c>
      <c r="D16" s="4" t="s">
        <v>23</v>
      </c>
      <c r="E16" s="5" t="s">
        <v>34</v>
      </c>
      <c r="F16" s="6"/>
      <c r="G16" s="4" t="s">
        <v>26</v>
      </c>
      <c r="H16" s="4"/>
      <c r="I16" s="12" t="s">
        <v>814</v>
      </c>
      <c r="J16" s="12"/>
      <c r="K16" s="12"/>
      <c r="L16" s="12" t="s">
        <v>816</v>
      </c>
      <c r="M16" s="51"/>
      <c r="N16" s="12"/>
      <c r="O16" s="12"/>
      <c r="P16" s="12"/>
      <c r="Q16" s="12"/>
      <c r="R16" s="12" t="s">
        <v>307</v>
      </c>
      <c r="S16" s="12"/>
      <c r="T16" s="12"/>
      <c r="U16" s="12"/>
      <c r="V16" s="12"/>
      <c r="W16" s="7"/>
      <c r="X16" s="12"/>
      <c r="Y16" s="7"/>
      <c r="Z16" s="7"/>
      <c r="AA16" s="7"/>
      <c r="AB16" s="7">
        <f>10^6</f>
        <v>1000000</v>
      </c>
      <c r="AC16" s="7"/>
      <c r="AD16" s="4"/>
      <c r="AE16" s="4"/>
      <c r="AF16" s="4"/>
      <c r="AG16" s="4"/>
      <c r="AH16" s="9"/>
      <c r="AI16" s="9"/>
      <c r="AJ16" s="9"/>
      <c r="AK16" s="9" t="s">
        <v>30</v>
      </c>
      <c r="AL16" s="10"/>
      <c r="AM16" s="10"/>
      <c r="AN16" s="10"/>
      <c r="AO16" s="10"/>
      <c r="AP16" s="10"/>
      <c r="AQ16" s="11" t="s">
        <v>231</v>
      </c>
      <c r="AR16" s="4" t="s">
        <v>32</v>
      </c>
      <c r="AS16" s="10"/>
      <c r="AT16" s="10"/>
      <c r="AU16" s="10"/>
      <c r="AV16" s="10"/>
      <c r="AW16" s="10"/>
      <c r="AX16" s="10"/>
      <c r="AY16" s="10"/>
      <c r="AZ16" s="10"/>
      <c r="BA16" s="10"/>
      <c r="BB16" s="10"/>
      <c r="BC16" s="10"/>
      <c r="BD16" s="10"/>
      <c r="BE16" s="10"/>
      <c r="BF16" s="10"/>
    </row>
    <row r="17" spans="1:58" ht="90" hidden="1" x14ac:dyDescent="0.25">
      <c r="A17" s="4" t="s">
        <v>972</v>
      </c>
      <c r="B17" s="4"/>
      <c r="C17" s="4" t="s">
        <v>66</v>
      </c>
      <c r="D17" s="4" t="s">
        <v>131</v>
      </c>
      <c r="E17" s="5" t="s">
        <v>24</v>
      </c>
      <c r="F17" s="6"/>
      <c r="G17" s="4" t="s">
        <v>26</v>
      </c>
      <c r="H17" s="49" t="s">
        <v>998</v>
      </c>
      <c r="I17" s="12" t="s">
        <v>813</v>
      </c>
      <c r="J17" s="12">
        <v>2.7</v>
      </c>
      <c r="K17" s="12">
        <v>0.75</v>
      </c>
      <c r="L17" s="12" t="s">
        <v>817</v>
      </c>
      <c r="M17" s="51">
        <v>3.6000000000000003E-3</v>
      </c>
      <c r="N17" s="12">
        <v>0.75</v>
      </c>
      <c r="O17" s="12" t="s">
        <v>129</v>
      </c>
      <c r="P17" s="12">
        <v>0</v>
      </c>
      <c r="Q17" s="12">
        <v>0.75</v>
      </c>
      <c r="R17" s="12" t="s">
        <v>313</v>
      </c>
      <c r="S17" s="12">
        <v>0</v>
      </c>
      <c r="T17" s="12">
        <v>0.75</v>
      </c>
      <c r="U17" s="12"/>
      <c r="V17" s="12"/>
      <c r="W17" s="7">
        <v>60</v>
      </c>
      <c r="X17" s="12">
        <v>0</v>
      </c>
      <c r="Y17" s="7" t="s">
        <v>314</v>
      </c>
      <c r="Z17" s="7">
        <v>8</v>
      </c>
      <c r="AA17" s="7">
        <v>0.75</v>
      </c>
      <c r="AB17" s="7">
        <v>100000</v>
      </c>
      <c r="AC17" s="7">
        <v>0.75</v>
      </c>
      <c r="AD17" s="4"/>
      <c r="AE17" s="4">
        <v>0</v>
      </c>
      <c r="AF17" s="4"/>
      <c r="AG17" s="4">
        <v>0.5</v>
      </c>
      <c r="AH17" s="9" t="s">
        <v>315</v>
      </c>
      <c r="AI17" s="9" t="s">
        <v>316</v>
      </c>
      <c r="AJ17" s="9"/>
      <c r="AK17" s="9" t="s">
        <v>30</v>
      </c>
      <c r="AL17" s="10" t="s">
        <v>317</v>
      </c>
      <c r="AM17" s="10" t="s">
        <v>318</v>
      </c>
      <c r="AN17" s="10" t="s">
        <v>319</v>
      </c>
      <c r="AO17" s="10" t="s">
        <v>320</v>
      </c>
      <c r="AP17" s="10" t="s">
        <v>321</v>
      </c>
      <c r="AQ17" s="11" t="s">
        <v>322</v>
      </c>
      <c r="AR17" s="4"/>
      <c r="AS17" s="10" t="s">
        <v>863</v>
      </c>
      <c r="AT17" s="10"/>
      <c r="AU17" s="10"/>
      <c r="AV17" s="10"/>
      <c r="AW17" s="10"/>
      <c r="AX17" s="10"/>
      <c r="AY17" s="10"/>
      <c r="AZ17" s="10"/>
      <c r="BA17" s="10"/>
      <c r="BB17" s="10"/>
      <c r="BC17" s="10">
        <f>273+400</f>
        <v>673</v>
      </c>
      <c r="BD17" s="10">
        <v>101</v>
      </c>
      <c r="BE17" s="10"/>
      <c r="BF17" s="10"/>
    </row>
    <row r="18" spans="1:58" ht="30" hidden="1" x14ac:dyDescent="0.25">
      <c r="A18" s="4" t="s">
        <v>323</v>
      </c>
      <c r="B18" s="4"/>
      <c r="C18" s="4" t="s">
        <v>66</v>
      </c>
      <c r="D18" s="4" t="s">
        <v>23</v>
      </c>
      <c r="E18" s="5" t="s">
        <v>34</v>
      </c>
      <c r="F18" s="6"/>
      <c r="G18" s="4" t="s">
        <v>26</v>
      </c>
      <c r="H18" s="4" t="s">
        <v>302</v>
      </c>
      <c r="I18" s="12" t="s">
        <v>1000</v>
      </c>
      <c r="J18" s="12" t="s">
        <v>1000</v>
      </c>
      <c r="K18" s="12"/>
      <c r="L18" s="12" t="s">
        <v>1001</v>
      </c>
      <c r="M18" s="12" t="s">
        <v>1001</v>
      </c>
      <c r="N18" s="12"/>
      <c r="O18" s="12"/>
      <c r="P18" s="12"/>
      <c r="Q18" s="12"/>
      <c r="R18" s="12" t="s">
        <v>303</v>
      </c>
      <c r="S18" s="12"/>
      <c r="T18" s="12"/>
      <c r="U18" s="12"/>
      <c r="V18" s="12"/>
      <c r="W18" s="7"/>
      <c r="X18" s="12"/>
      <c r="Y18" s="7"/>
      <c r="Z18" s="7"/>
      <c r="AA18" s="7"/>
      <c r="AB18" s="7">
        <f>5*10^5</f>
        <v>500000</v>
      </c>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c r="BF18" s="10"/>
    </row>
    <row r="19" spans="1:58" ht="30" hidden="1" x14ac:dyDescent="0.25">
      <c r="A19" s="4" t="s">
        <v>324</v>
      </c>
      <c r="B19" s="4"/>
      <c r="C19" s="4" t="s">
        <v>66</v>
      </c>
      <c r="D19" s="4" t="s">
        <v>23</v>
      </c>
      <c r="E19" s="5" t="s">
        <v>34</v>
      </c>
      <c r="F19" s="6"/>
      <c r="G19" s="4" t="s">
        <v>26</v>
      </c>
      <c r="H19" s="4" t="s">
        <v>325</v>
      </c>
      <c r="I19" s="12">
        <v>0.96</v>
      </c>
      <c r="J19" s="12">
        <v>0.96</v>
      </c>
      <c r="K19" s="12"/>
      <c r="L19" s="12">
        <v>2.5000000000000001E-3</v>
      </c>
      <c r="M19" s="12">
        <v>2.5000000000000001E-3</v>
      </c>
      <c r="N19" s="12"/>
      <c r="O19" s="12"/>
      <c r="P19" s="12"/>
      <c r="Q19" s="12"/>
      <c r="R19" s="12" t="s">
        <v>307</v>
      </c>
      <c r="S19" s="12"/>
      <c r="T19" s="12"/>
      <c r="U19" s="12"/>
      <c r="V19" s="12"/>
      <c r="W19" s="7"/>
      <c r="X19" s="12"/>
      <c r="Y19" s="7"/>
      <c r="Z19" s="7"/>
      <c r="AA19" s="7"/>
      <c r="AB19" s="7"/>
      <c r="AC19" s="7"/>
      <c r="AD19" s="4"/>
      <c r="AE19" s="4"/>
      <c r="AF19" s="4"/>
      <c r="AG19" s="4"/>
      <c r="AH19" s="9"/>
      <c r="AI19" s="9"/>
      <c r="AJ19" s="9"/>
      <c r="AK19" s="9" t="s">
        <v>30</v>
      </c>
      <c r="AL19" s="10"/>
      <c r="AM19" s="10"/>
      <c r="AN19" s="10"/>
      <c r="AO19" s="10"/>
      <c r="AP19" s="10"/>
      <c r="AQ19" s="11" t="s">
        <v>231</v>
      </c>
      <c r="AR19" s="4" t="s">
        <v>32</v>
      </c>
      <c r="AS19" s="10"/>
      <c r="AT19" s="10"/>
      <c r="AU19" s="10"/>
      <c r="AV19" s="10"/>
      <c r="AW19" s="10"/>
      <c r="AX19" s="10"/>
      <c r="AY19" s="10"/>
      <c r="AZ19" s="10"/>
      <c r="BA19" s="10"/>
      <c r="BB19" s="10"/>
      <c r="BC19" s="10"/>
      <c r="BD19" s="10"/>
      <c r="BE19" s="10"/>
      <c r="BF19" s="10"/>
    </row>
    <row r="20" spans="1:58" ht="30" x14ac:dyDescent="0.25">
      <c r="A20" s="4" t="s">
        <v>327</v>
      </c>
      <c r="B20" s="4"/>
      <c r="C20" s="4" t="s">
        <v>66</v>
      </c>
      <c r="D20" s="4" t="s">
        <v>23</v>
      </c>
      <c r="E20" s="5" t="s">
        <v>34</v>
      </c>
      <c r="F20" s="4"/>
      <c r="G20" s="4" t="s">
        <v>35</v>
      </c>
      <c r="H20" s="4"/>
      <c r="I20" s="12">
        <v>1.9503999999999999</v>
      </c>
      <c r="J20" s="12">
        <v>1.9503999999999999</v>
      </c>
      <c r="K20" s="12"/>
      <c r="L20" s="12">
        <v>8.4900000000000004E-4</v>
      </c>
      <c r="M20" s="12">
        <v>8.4900000000000004E-4</v>
      </c>
      <c r="N20" s="12"/>
      <c r="O20" s="12"/>
      <c r="P20" s="12"/>
      <c r="Q20" s="12"/>
      <c r="R20" s="12"/>
      <c r="S20" s="12"/>
      <c r="T20" s="12"/>
      <c r="U20" s="12">
        <v>1.2092479999999999</v>
      </c>
      <c r="V20" s="12">
        <v>1.2092479999999999</v>
      </c>
      <c r="W20" s="7"/>
      <c r="X20" s="12"/>
      <c r="Y20" s="7"/>
      <c r="Z20" s="7"/>
      <c r="AA20" s="7"/>
      <c r="AB20" s="7"/>
      <c r="AC20" s="7"/>
      <c r="AD20" s="4"/>
      <c r="AE20" s="4"/>
      <c r="AF20" s="4"/>
      <c r="AG20" s="4"/>
      <c r="AH20" s="9"/>
      <c r="AI20" s="9"/>
      <c r="AJ20" s="9"/>
      <c r="AK20" s="9" t="s">
        <v>30</v>
      </c>
      <c r="AL20" s="10"/>
      <c r="AM20" s="10"/>
      <c r="AN20" s="10"/>
      <c r="AO20" s="10"/>
      <c r="AP20" s="10"/>
      <c r="AQ20" s="11">
        <v>11</v>
      </c>
      <c r="AR20" s="4" t="s">
        <v>32</v>
      </c>
      <c r="AS20" s="10" t="s">
        <v>944</v>
      </c>
      <c r="AT20" s="10" t="s">
        <v>945</v>
      </c>
      <c r="AU20" s="10" t="s">
        <v>862</v>
      </c>
      <c r="AV20" s="10"/>
      <c r="AW20" s="10"/>
      <c r="AX20" s="10"/>
      <c r="AY20" s="10"/>
      <c r="AZ20" s="10"/>
      <c r="BA20" s="10"/>
      <c r="BB20" s="10"/>
      <c r="BC20" s="10"/>
      <c r="BD20" s="10"/>
      <c r="BE20" s="10"/>
      <c r="BF20" s="10"/>
    </row>
    <row r="21" spans="1:58" ht="45" hidden="1" x14ac:dyDescent="0.25">
      <c r="A21" s="4" t="s">
        <v>330</v>
      </c>
      <c r="B21" s="4"/>
      <c r="C21" s="4" t="s">
        <v>66</v>
      </c>
      <c r="D21" s="4" t="s">
        <v>23</v>
      </c>
      <c r="E21" s="5" t="s">
        <v>34</v>
      </c>
      <c r="F21" s="4" t="s">
        <v>331</v>
      </c>
      <c r="G21" s="4" t="s">
        <v>26</v>
      </c>
      <c r="H21" s="4"/>
      <c r="I21" s="12">
        <v>0.15140000000000001</v>
      </c>
      <c r="J21" s="12">
        <v>0.15140000000000001</v>
      </c>
      <c r="K21" s="12"/>
      <c r="L21" s="12">
        <f>0.0177*0.019*0.0508</f>
        <v>1.7084039999999997E-5</v>
      </c>
      <c r="M21" s="12">
        <f>0.0177*0.019*0.0508</f>
        <v>1.7084039999999997E-5</v>
      </c>
      <c r="N21" s="12"/>
      <c r="O21" s="12"/>
      <c r="P21" s="12"/>
      <c r="Q21" s="12"/>
      <c r="R21" s="12"/>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v>11</v>
      </c>
      <c r="AR21" s="4" t="s">
        <v>332</v>
      </c>
      <c r="AS21" s="10"/>
      <c r="AT21" s="10"/>
      <c r="AU21" s="10"/>
      <c r="AV21" s="10"/>
      <c r="AW21" s="10"/>
      <c r="AX21" s="10"/>
      <c r="AY21" s="10"/>
      <c r="AZ21" s="10"/>
      <c r="BA21" s="10"/>
      <c r="BB21" s="10"/>
      <c r="BC21" s="10"/>
      <c r="BD21" s="10"/>
      <c r="BE21" s="10"/>
      <c r="BF21" s="10"/>
    </row>
    <row r="22" spans="1:58" ht="30" hidden="1" x14ac:dyDescent="0.25">
      <c r="A22" s="4" t="s">
        <v>333</v>
      </c>
      <c r="B22" s="4"/>
      <c r="C22" s="4" t="s">
        <v>66</v>
      </c>
      <c r="D22" s="4" t="s">
        <v>23</v>
      </c>
      <c r="E22" s="5" t="s">
        <v>34</v>
      </c>
      <c r="F22" s="4" t="s">
        <v>221</v>
      </c>
      <c r="G22" s="4" t="s">
        <v>26</v>
      </c>
      <c r="H22" s="4" t="s">
        <v>334</v>
      </c>
      <c r="I22" s="12">
        <v>1.36</v>
      </c>
      <c r="J22" s="12">
        <v>1.36</v>
      </c>
      <c r="K22" s="12"/>
      <c r="L22" s="12">
        <v>3.5000000000000003E-2</v>
      </c>
      <c r="M22" s="12">
        <v>3.5000000000000003E-2</v>
      </c>
      <c r="N22" s="12"/>
      <c r="O22" s="12">
        <v>0</v>
      </c>
      <c r="P22" s="12"/>
      <c r="Q22" s="12"/>
      <c r="R22" s="12">
        <v>0</v>
      </c>
      <c r="S22" s="12"/>
      <c r="T22" s="12"/>
      <c r="U22" s="12"/>
      <c r="V22" s="12"/>
      <c r="W22" s="7"/>
      <c r="X22" s="12"/>
      <c r="Y22" s="7"/>
      <c r="Z22" s="7"/>
      <c r="AA22" s="7"/>
      <c r="AB22" s="7"/>
      <c r="AC22" s="7"/>
      <c r="AD22" s="4"/>
      <c r="AE22" s="4"/>
      <c r="AF22" s="4"/>
      <c r="AG22" s="4"/>
      <c r="AH22" s="9"/>
      <c r="AI22" s="9"/>
      <c r="AJ22" s="9"/>
      <c r="AK22" s="9" t="s">
        <v>30</v>
      </c>
      <c r="AL22" s="10"/>
      <c r="AM22" s="10"/>
      <c r="AN22" s="10"/>
      <c r="AO22" s="10"/>
      <c r="AP22" s="10"/>
      <c r="AQ22" s="11" t="s">
        <v>231</v>
      </c>
      <c r="AR22" s="4" t="s">
        <v>335</v>
      </c>
      <c r="AS22" s="10" t="s">
        <v>948</v>
      </c>
      <c r="AT22" s="10"/>
      <c r="AU22" s="10"/>
      <c r="AV22" s="10"/>
      <c r="AW22" s="10"/>
      <c r="AX22" s="10"/>
      <c r="AY22" s="10"/>
      <c r="AZ22" s="10"/>
      <c r="BA22" s="10"/>
      <c r="BB22" s="10"/>
      <c r="BC22" s="10"/>
      <c r="BD22" s="10"/>
      <c r="BE22" s="10"/>
      <c r="BF22" s="10"/>
    </row>
    <row r="23" spans="1:58" ht="60" x14ac:dyDescent="0.25">
      <c r="A23" s="4" t="s">
        <v>337</v>
      </c>
      <c r="B23" s="4" t="s">
        <v>221</v>
      </c>
      <c r="C23" s="4" t="s">
        <v>66</v>
      </c>
      <c r="D23" s="4" t="s">
        <v>23</v>
      </c>
      <c r="E23" s="5" t="s">
        <v>34</v>
      </c>
      <c r="F23" s="4"/>
      <c r="G23" s="4" t="s">
        <v>35</v>
      </c>
      <c r="H23" s="49" t="s">
        <v>338</v>
      </c>
      <c r="I23" s="12">
        <f>27.1</f>
        <v>27.1</v>
      </c>
      <c r="J23" s="12">
        <v>27.1</v>
      </c>
      <c r="K23" s="12">
        <v>0.75</v>
      </c>
      <c r="L23" s="12">
        <f>0.035116+0.01412+0.0032</f>
        <v>5.2436000000000003E-2</v>
      </c>
      <c r="M23" s="51">
        <f>technologies[[#This Row],[Volume
Literature]]</f>
        <v>5.2436000000000003E-2</v>
      </c>
      <c r="N23" s="12">
        <v>0.75</v>
      </c>
      <c r="O23" s="12"/>
      <c r="P23" s="12">
        <v>0</v>
      </c>
      <c r="Q23" s="12">
        <v>0.5</v>
      </c>
      <c r="R23" s="12">
        <f>88+25</f>
        <v>113</v>
      </c>
      <c r="S23" s="12">
        <v>113</v>
      </c>
      <c r="T23" s="12">
        <v>0.75</v>
      </c>
      <c r="U23" s="12">
        <v>16.802</v>
      </c>
      <c r="V23" s="12">
        <v>16.802</v>
      </c>
      <c r="W23" s="7"/>
      <c r="X23" s="12"/>
      <c r="Y23" s="7"/>
      <c r="Z23" s="7">
        <v>9</v>
      </c>
      <c r="AA23" s="7">
        <v>1</v>
      </c>
      <c r="AB23" s="7"/>
      <c r="AC23" s="7"/>
      <c r="AD23" s="4"/>
      <c r="AE23" s="4"/>
      <c r="AF23" s="4"/>
      <c r="AG23" s="4"/>
      <c r="AH23" s="9"/>
      <c r="AI23" s="9"/>
      <c r="AJ23" s="9"/>
      <c r="AK23" s="9" t="s">
        <v>30</v>
      </c>
      <c r="AL23" s="10"/>
      <c r="AM23" s="10"/>
      <c r="AN23" s="10"/>
      <c r="AO23" s="10"/>
      <c r="AP23" s="10"/>
      <c r="AQ23" s="11"/>
      <c r="AR23" s="4"/>
      <c r="AS23" s="10" t="s">
        <v>947</v>
      </c>
      <c r="AT23" s="10" t="s">
        <v>948</v>
      </c>
      <c r="AU23" s="10" t="s">
        <v>943</v>
      </c>
      <c r="AV23" s="10" t="s">
        <v>949</v>
      </c>
      <c r="AW23" s="10" t="s">
        <v>944</v>
      </c>
      <c r="AX23" s="10" t="s">
        <v>945</v>
      </c>
      <c r="AY23" s="10" t="s">
        <v>892</v>
      </c>
      <c r="AZ23" s="10"/>
      <c r="BA23" s="10"/>
      <c r="BB23" s="10"/>
      <c r="BC23" s="10"/>
      <c r="BD23" s="10"/>
      <c r="BE23" s="10"/>
      <c r="BF23" s="10"/>
    </row>
    <row r="24" spans="1:58" ht="60" hidden="1" x14ac:dyDescent="0.25">
      <c r="A24" s="4" t="s">
        <v>339</v>
      </c>
      <c r="B24" s="4"/>
      <c r="C24" s="4" t="s">
        <v>66</v>
      </c>
      <c r="D24" s="4" t="s">
        <v>23</v>
      </c>
      <c r="E24" s="5" t="s">
        <v>34</v>
      </c>
      <c r="F24" s="4" t="s">
        <v>221</v>
      </c>
      <c r="G24" s="4" t="s">
        <v>26</v>
      </c>
      <c r="H24" s="49" t="s">
        <v>1118</v>
      </c>
      <c r="I24" s="12" t="s">
        <v>1151</v>
      </c>
      <c r="J24" s="12"/>
      <c r="K24" s="12"/>
      <c r="L24" s="12">
        <v>3.5000000000000003E-2</v>
      </c>
      <c r="M24" s="51"/>
      <c r="N24" s="12"/>
      <c r="O24" s="12"/>
      <c r="P24" s="12"/>
      <c r="Q24" s="12"/>
      <c r="R24" s="12" t="s">
        <v>340</v>
      </c>
      <c r="S24" s="12"/>
      <c r="T24" s="12"/>
      <c r="U24" s="12"/>
      <c r="V24" s="12"/>
      <c r="W24" s="7"/>
      <c r="X24" s="12"/>
      <c r="Y24" s="7"/>
      <c r="Z24" s="7"/>
      <c r="AA24" s="7"/>
      <c r="AB24" s="7"/>
      <c r="AC24" s="7"/>
      <c r="AD24" s="4"/>
      <c r="AE24" s="4"/>
      <c r="AF24" s="4"/>
      <c r="AG24" s="4"/>
      <c r="AH24" s="9"/>
      <c r="AI24" s="9"/>
      <c r="AJ24" s="9"/>
      <c r="AK24" s="9" t="s">
        <v>30</v>
      </c>
      <c r="AL24" s="10"/>
      <c r="AM24" s="10"/>
      <c r="AN24" s="10"/>
      <c r="AO24" s="10"/>
      <c r="AP24" s="10"/>
      <c r="AQ24" s="11" t="s">
        <v>343</v>
      </c>
      <c r="AR24" s="4" t="s">
        <v>32</v>
      </c>
      <c r="AS24" s="10" t="s">
        <v>947</v>
      </c>
      <c r="AT24" s="10" t="s">
        <v>948</v>
      </c>
      <c r="AU24" s="10" t="s">
        <v>943</v>
      </c>
      <c r="AV24" s="10" t="s">
        <v>949</v>
      </c>
      <c r="AW24" s="10" t="s">
        <v>944</v>
      </c>
      <c r="AX24" s="10" t="s">
        <v>945</v>
      </c>
      <c r="AY24" s="10" t="s">
        <v>892</v>
      </c>
      <c r="AZ24" s="10"/>
      <c r="BA24" s="10"/>
      <c r="BB24" s="10"/>
      <c r="BC24" s="10" t="s">
        <v>341</v>
      </c>
      <c r="BD24" s="10" t="s">
        <v>342</v>
      </c>
      <c r="BE24" s="10"/>
      <c r="BF24" s="10"/>
    </row>
    <row r="25" spans="1:58" ht="75" x14ac:dyDescent="0.25">
      <c r="A25" s="4" t="s">
        <v>475</v>
      </c>
      <c r="B25" s="4" t="s">
        <v>1478</v>
      </c>
      <c r="C25" s="4" t="s">
        <v>66</v>
      </c>
      <c r="D25" s="4" t="s">
        <v>23</v>
      </c>
      <c r="E25" s="5" t="s">
        <v>34</v>
      </c>
      <c r="F25" s="4" t="s">
        <v>221</v>
      </c>
      <c r="G25" s="4" t="s">
        <v>35</v>
      </c>
      <c r="H25" s="49" t="s">
        <v>1010</v>
      </c>
      <c r="I25" s="12">
        <v>5.4</v>
      </c>
      <c r="J25" s="12">
        <v>5.4</v>
      </c>
      <c r="K25" s="12"/>
      <c r="L25" s="12">
        <v>1.41E-2</v>
      </c>
      <c r="M25" s="12">
        <v>1.41E-2</v>
      </c>
      <c r="N25" s="12"/>
      <c r="O25" s="12"/>
      <c r="P25" s="12"/>
      <c r="Q25" s="12"/>
      <c r="R25" s="12" t="s">
        <v>476</v>
      </c>
      <c r="S25" s="12">
        <v>30</v>
      </c>
      <c r="T25" s="12"/>
      <c r="U25" s="12">
        <v>3.3480000000000003</v>
      </c>
      <c r="V25" s="12">
        <v>3.3480000000000003</v>
      </c>
      <c r="W25" s="7"/>
      <c r="X25" s="12"/>
      <c r="Y25" s="7"/>
      <c r="Z25" s="7"/>
      <c r="AA25" s="7"/>
      <c r="AB25" s="7"/>
      <c r="AC25" s="7"/>
      <c r="AD25" s="4"/>
      <c r="AE25" s="4"/>
      <c r="AF25" s="4"/>
      <c r="AG25" s="4"/>
      <c r="AH25" s="9"/>
      <c r="AI25" s="9"/>
      <c r="AJ25" s="9"/>
      <c r="AK25" s="9" t="s">
        <v>30</v>
      </c>
      <c r="AL25" s="10"/>
      <c r="AM25" s="10"/>
      <c r="AN25" s="10"/>
      <c r="AO25" s="10"/>
      <c r="AP25" s="10"/>
      <c r="AQ25" s="11" t="s">
        <v>231</v>
      </c>
      <c r="AR25" s="4" t="s">
        <v>32</v>
      </c>
      <c r="AS25" s="10" t="s">
        <v>948</v>
      </c>
      <c r="AT25" s="10"/>
      <c r="AU25" s="10"/>
      <c r="AV25" s="10"/>
      <c r="AW25" s="10"/>
      <c r="AX25" s="10"/>
      <c r="AY25" s="10"/>
      <c r="AZ25" s="10"/>
      <c r="BA25" s="10"/>
      <c r="BB25" s="10"/>
      <c r="BC25" s="10"/>
      <c r="BD25" s="10" t="s">
        <v>1103</v>
      </c>
      <c r="BE25" s="10"/>
      <c r="BF25" s="10"/>
    </row>
    <row r="26" spans="1:58" ht="30" hidden="1" x14ac:dyDescent="0.25">
      <c r="A26" s="4" t="s">
        <v>538</v>
      </c>
      <c r="B26" s="4"/>
      <c r="C26" s="4" t="s">
        <v>66</v>
      </c>
      <c r="D26" s="4" t="s">
        <v>23</v>
      </c>
      <c r="E26" s="5" t="s">
        <v>34</v>
      </c>
      <c r="F26" s="4" t="s">
        <v>221</v>
      </c>
      <c r="G26" s="4" t="s">
        <v>26</v>
      </c>
      <c r="H26" s="4" t="s">
        <v>1021</v>
      </c>
      <c r="I26" s="12" t="s">
        <v>828</v>
      </c>
      <c r="J26" s="12">
        <v>0.7</v>
      </c>
      <c r="K26" s="12"/>
      <c r="L26" s="12" t="s">
        <v>1022</v>
      </c>
      <c r="M26" s="51">
        <v>4.2999999999999999E-4</v>
      </c>
      <c r="N26" s="12"/>
      <c r="O26" s="12">
        <v>0</v>
      </c>
      <c r="P26" s="12"/>
      <c r="Q26" s="12"/>
      <c r="R26" s="12">
        <v>0</v>
      </c>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v>23</v>
      </c>
      <c r="AR26" s="4" t="s">
        <v>32</v>
      </c>
      <c r="AS26" s="10" t="s">
        <v>948</v>
      </c>
      <c r="AT26" s="10" t="s">
        <v>942</v>
      </c>
      <c r="AU26" s="10"/>
      <c r="AV26" s="10"/>
      <c r="AW26" s="10"/>
      <c r="AX26" s="10"/>
      <c r="AY26" s="10"/>
      <c r="AZ26" s="10"/>
      <c r="BA26" s="10"/>
      <c r="BB26" s="10"/>
      <c r="BC26" s="10"/>
      <c r="BD26" s="10"/>
      <c r="BE26" s="10"/>
      <c r="BF26" s="10"/>
    </row>
    <row r="27" spans="1:58" ht="30" x14ac:dyDescent="0.25">
      <c r="A27" s="4" t="s">
        <v>539</v>
      </c>
      <c r="B27" s="4"/>
      <c r="C27" s="4" t="s">
        <v>66</v>
      </c>
      <c r="D27" s="4" t="s">
        <v>23</v>
      </c>
      <c r="E27" s="5" t="s">
        <v>34</v>
      </c>
      <c r="F27" s="4"/>
      <c r="G27" s="4" t="s">
        <v>35</v>
      </c>
      <c r="H27" s="4" t="s">
        <v>1165</v>
      </c>
      <c r="I27" s="12" t="s">
        <v>755</v>
      </c>
      <c r="J27" s="12"/>
      <c r="K27" s="12"/>
      <c r="L27" s="12" t="s">
        <v>756</v>
      </c>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c r="AM27" s="10"/>
      <c r="AN27" s="10"/>
      <c r="AO27" s="10"/>
      <c r="AP27" s="10"/>
      <c r="AQ27" s="11" t="s">
        <v>540</v>
      </c>
      <c r="AR27" s="4"/>
      <c r="AS27" s="10"/>
      <c r="AT27" s="10"/>
      <c r="AU27" s="10"/>
      <c r="AV27" s="10"/>
      <c r="AW27" s="10"/>
      <c r="AX27" s="10"/>
      <c r="AY27" s="10"/>
      <c r="AZ27" s="10"/>
      <c r="BA27" s="10"/>
      <c r="BB27" s="10"/>
      <c r="BC27" s="10"/>
      <c r="BD27" s="10"/>
      <c r="BE27" s="10"/>
      <c r="BF27" s="10"/>
    </row>
    <row r="28" spans="1:58" ht="45" hidden="1" x14ac:dyDescent="0.25">
      <c r="A28" s="4" t="s">
        <v>545</v>
      </c>
      <c r="B28" s="4"/>
      <c r="C28" s="4" t="s">
        <v>66</v>
      </c>
      <c r="D28" s="4" t="s">
        <v>131</v>
      </c>
      <c r="E28" s="5" t="s">
        <v>24</v>
      </c>
      <c r="F28" s="4"/>
      <c r="G28" s="4" t="s">
        <v>26</v>
      </c>
      <c r="H28" s="4" t="s">
        <v>1028</v>
      </c>
      <c r="I28" s="12">
        <f>2.1+10</f>
        <v>12.1</v>
      </c>
      <c r="J28" s="12">
        <v>12.1</v>
      </c>
      <c r="K28" s="12"/>
      <c r="L28" s="12"/>
      <c r="M28" s="51"/>
      <c r="N28" s="12"/>
      <c r="O28" s="12"/>
      <c r="P28" s="12"/>
      <c r="Q28" s="12"/>
      <c r="R28" s="12"/>
      <c r="S28" s="12"/>
      <c r="T28" s="12"/>
      <c r="U28" s="12"/>
      <c r="V28" s="12"/>
      <c r="W28" s="7"/>
      <c r="X28" s="12"/>
      <c r="Y28" s="7"/>
      <c r="Z28" s="7"/>
      <c r="AA28" s="7"/>
      <c r="AB28" s="7"/>
      <c r="AC28" s="7"/>
      <c r="AD28" s="4"/>
      <c r="AE28" s="4"/>
      <c r="AF28" s="4"/>
      <c r="AG28" s="4"/>
      <c r="AH28" s="9"/>
      <c r="AI28" s="9"/>
      <c r="AJ28" s="9"/>
      <c r="AK28" s="9" t="s">
        <v>30</v>
      </c>
      <c r="AL28" s="10" t="s">
        <v>546</v>
      </c>
      <c r="AM28" s="10"/>
      <c r="AN28" s="10"/>
      <c r="AO28" s="10"/>
      <c r="AP28" s="10"/>
      <c r="AQ28" s="11">
        <v>27</v>
      </c>
      <c r="AR28" s="4"/>
      <c r="AS28" s="10" t="s">
        <v>863</v>
      </c>
      <c r="AT28" s="10"/>
      <c r="AU28" s="10"/>
      <c r="AV28" s="10"/>
      <c r="AW28" s="10"/>
      <c r="AX28" s="10"/>
      <c r="AY28" s="10"/>
      <c r="AZ28" s="10"/>
      <c r="BA28" s="10"/>
      <c r="BB28" s="10"/>
      <c r="BC28" s="10"/>
      <c r="BD28" s="10"/>
      <c r="BE28" s="10"/>
      <c r="BF28" s="10"/>
    </row>
    <row r="29" spans="1:58" ht="30" hidden="1" x14ac:dyDescent="0.25">
      <c r="A29" s="4" t="s">
        <v>960</v>
      </c>
      <c r="B29" s="4"/>
      <c r="C29" s="4" t="s">
        <v>66</v>
      </c>
      <c r="D29" s="4" t="s">
        <v>131</v>
      </c>
      <c r="E29" s="5" t="s">
        <v>34</v>
      </c>
      <c r="F29" s="4"/>
      <c r="G29" s="4" t="s">
        <v>26</v>
      </c>
      <c r="H29" s="17"/>
      <c r="I29" s="12"/>
      <c r="J29" s="12"/>
      <c r="K29" s="12">
        <v>0.5</v>
      </c>
      <c r="L29" s="12"/>
      <c r="M29" s="51">
        <v>1</v>
      </c>
      <c r="N29" s="12">
        <v>1</v>
      </c>
      <c r="O29" s="12"/>
      <c r="P29" s="12">
        <v>0</v>
      </c>
      <c r="Q29" s="12">
        <v>1</v>
      </c>
      <c r="R29" s="12"/>
      <c r="S29" s="12">
        <v>0</v>
      </c>
      <c r="T29" s="12">
        <v>0.5</v>
      </c>
      <c r="U29" s="12"/>
      <c r="V29" s="12"/>
      <c r="W29" s="7"/>
      <c r="X29" s="12"/>
      <c r="Y29" s="7"/>
      <c r="Z29" s="7">
        <v>9</v>
      </c>
      <c r="AA29" s="7">
        <v>0.75</v>
      </c>
      <c r="AB29" s="7"/>
      <c r="AC29" s="7"/>
      <c r="AD29" s="4"/>
      <c r="AE29" s="4"/>
      <c r="AF29" s="4"/>
      <c r="AG29" s="4"/>
      <c r="AH29" s="9"/>
      <c r="AI29" s="9"/>
      <c r="AJ29" s="9"/>
      <c r="AK29" s="9" t="s">
        <v>30</v>
      </c>
      <c r="AL29" s="10"/>
      <c r="AM29" s="10"/>
      <c r="AN29" s="10"/>
      <c r="AO29" s="10"/>
      <c r="AP29" s="10"/>
      <c r="AQ29" s="11"/>
      <c r="AR29" s="4"/>
      <c r="AS29" s="10" t="s">
        <v>871</v>
      </c>
      <c r="AT29" s="10"/>
      <c r="AU29" s="10"/>
      <c r="AV29" s="10"/>
      <c r="AW29" s="10"/>
      <c r="AX29" s="10"/>
      <c r="AY29" s="10"/>
      <c r="AZ29" s="10"/>
      <c r="BA29" s="10"/>
      <c r="BB29" s="10"/>
      <c r="BC29" s="10"/>
      <c r="BD29" s="10"/>
      <c r="BE29" s="10"/>
      <c r="BF29" s="10"/>
    </row>
    <row r="30" spans="1:58" ht="90" hidden="1" x14ac:dyDescent="0.25">
      <c r="A30" s="4" t="s">
        <v>21</v>
      </c>
      <c r="B30" s="4"/>
      <c r="C30" s="4" t="s">
        <v>22</v>
      </c>
      <c r="D30" s="4" t="s">
        <v>23</v>
      </c>
      <c r="E30" s="5" t="s">
        <v>24</v>
      </c>
      <c r="F30" s="4" t="s">
        <v>25</v>
      </c>
      <c r="G30" s="4" t="s">
        <v>26</v>
      </c>
      <c r="H30" s="49" t="s">
        <v>1073</v>
      </c>
      <c r="I30" s="7">
        <v>36.65</v>
      </c>
      <c r="J30" s="7">
        <v>36.65</v>
      </c>
      <c r="K30" s="7">
        <v>0.75</v>
      </c>
      <c r="L30" s="7">
        <v>7.5999999999999998E-2</v>
      </c>
      <c r="M30" s="51">
        <v>7.5999999999999998E-2</v>
      </c>
      <c r="N30" s="7">
        <v>0.75</v>
      </c>
      <c r="O30" s="7">
        <v>0</v>
      </c>
      <c r="P30" s="7">
        <v>0</v>
      </c>
      <c r="Q30" s="7">
        <v>0.75</v>
      </c>
      <c r="R30" s="7">
        <v>0</v>
      </c>
      <c r="S30" s="7">
        <v>0</v>
      </c>
      <c r="T30" s="7">
        <v>1</v>
      </c>
      <c r="U30" s="12"/>
      <c r="V30" s="12"/>
      <c r="W30" s="7" t="s">
        <v>27</v>
      </c>
      <c r="X30" s="12"/>
      <c r="Y30" s="7">
        <v>8</v>
      </c>
      <c r="Z30" s="7">
        <v>8</v>
      </c>
      <c r="AA30" s="7">
        <v>1</v>
      </c>
      <c r="AB30" s="7">
        <v>215000</v>
      </c>
      <c r="AC30" s="7">
        <v>1</v>
      </c>
      <c r="AD30" s="4">
        <f>2.25*365</f>
        <v>821.25</v>
      </c>
      <c r="AE30" s="13">
        <f>1/technologies[[#This Row],[Maintance]]</f>
        <v>1.2176560121765602E-3</v>
      </c>
      <c r="AF30" s="13"/>
      <c r="AG30" s="4">
        <v>0.75</v>
      </c>
      <c r="AH30" s="9" t="s">
        <v>28</v>
      </c>
      <c r="AI30" s="9" t="s">
        <v>29</v>
      </c>
      <c r="AJ30" s="9"/>
      <c r="AK30" s="9" t="s">
        <v>30</v>
      </c>
      <c r="AL30" s="10"/>
      <c r="AM30" s="10"/>
      <c r="AN30" s="10"/>
      <c r="AO30" s="10"/>
      <c r="AP30" s="10"/>
      <c r="AQ30" s="11" t="s">
        <v>31</v>
      </c>
      <c r="AR30" s="4" t="s">
        <v>32</v>
      </c>
      <c r="AS30" s="10" t="s">
        <v>849</v>
      </c>
      <c r="AT30" s="10"/>
      <c r="AU30" s="10"/>
      <c r="AV30" s="10"/>
      <c r="AW30" s="10"/>
      <c r="AX30" s="10"/>
      <c r="AY30" s="10"/>
      <c r="AZ30" s="10"/>
      <c r="BA30" s="10"/>
      <c r="BB30" s="10"/>
      <c r="BC30" s="10">
        <v>293</v>
      </c>
      <c r="BD30" s="10">
        <v>101</v>
      </c>
      <c r="BE30" s="10"/>
      <c r="BF30" s="10"/>
    </row>
    <row r="31" spans="1:58" ht="90" x14ac:dyDescent="0.25">
      <c r="A31" s="4" t="s">
        <v>983</v>
      </c>
      <c r="B31" s="4" t="s">
        <v>1459</v>
      </c>
      <c r="C31" s="4" t="s">
        <v>22</v>
      </c>
      <c r="D31" s="4" t="s">
        <v>116</v>
      </c>
      <c r="E31" s="5" t="s">
        <v>34</v>
      </c>
      <c r="F31" s="4"/>
      <c r="G31" s="4" t="s">
        <v>35</v>
      </c>
      <c r="H31" s="49" t="s">
        <v>1072</v>
      </c>
      <c r="I31" s="7" t="s">
        <v>36</v>
      </c>
      <c r="J31" s="7">
        <v>60</v>
      </c>
      <c r="K31" s="7">
        <v>0.75</v>
      </c>
      <c r="L31" s="7">
        <v>0.3</v>
      </c>
      <c r="M31" s="51">
        <v>9.9999999999999992E-2</v>
      </c>
      <c r="N31" s="7">
        <v>0.75</v>
      </c>
      <c r="O31" s="7">
        <v>150</v>
      </c>
      <c r="P31" s="7">
        <v>50</v>
      </c>
      <c r="Q31" s="7">
        <v>0.75</v>
      </c>
      <c r="R31" s="7" t="s">
        <v>1074</v>
      </c>
      <c r="S31" s="12">
        <v>133.33333333333331</v>
      </c>
      <c r="T31" s="7">
        <v>0.75</v>
      </c>
      <c r="U31" s="12">
        <v>52.260000000000005</v>
      </c>
      <c r="V31" s="12">
        <v>52.260000000000005</v>
      </c>
      <c r="W31" s="7">
        <v>90</v>
      </c>
      <c r="X31" s="12">
        <v>0</v>
      </c>
      <c r="Y31" s="7" t="s">
        <v>39</v>
      </c>
      <c r="Z31" s="7">
        <v>3</v>
      </c>
      <c r="AA31" s="7">
        <v>1</v>
      </c>
      <c r="AB31" s="7"/>
      <c r="AC31" s="7"/>
      <c r="AD31" s="4" t="s">
        <v>1160</v>
      </c>
      <c r="AE31" s="4">
        <f>1/(20)</f>
        <v>0.05</v>
      </c>
      <c r="AF31" s="4"/>
      <c r="AG31" s="4"/>
      <c r="AH31" s="9" t="s">
        <v>40</v>
      </c>
      <c r="AI31" s="9" t="s">
        <v>41</v>
      </c>
      <c r="AJ31" s="9" t="s">
        <v>42</v>
      </c>
      <c r="AK31" s="9" t="s">
        <v>43</v>
      </c>
      <c r="AL31" s="10" t="s">
        <v>44</v>
      </c>
      <c r="AM31" s="10" t="s">
        <v>989</v>
      </c>
      <c r="AN31" s="10"/>
      <c r="AO31" s="10" t="s">
        <v>990</v>
      </c>
      <c r="AP31" s="10"/>
      <c r="AQ31" s="11" t="s">
        <v>45</v>
      </c>
      <c r="AR31" s="4"/>
      <c r="AS31" s="10" t="s">
        <v>850</v>
      </c>
      <c r="AT31" s="10" t="s">
        <v>851</v>
      </c>
      <c r="AU31" s="10" t="s">
        <v>1076</v>
      </c>
      <c r="AV31" s="10"/>
      <c r="AW31" s="10"/>
      <c r="AX31" s="10"/>
      <c r="AY31" s="10"/>
      <c r="AZ31" s="10"/>
      <c r="BA31" s="10"/>
      <c r="BB31" s="10"/>
      <c r="BC31" s="10" t="s">
        <v>37</v>
      </c>
      <c r="BD31" s="10" t="s">
        <v>38</v>
      </c>
      <c r="BE31" s="10"/>
      <c r="BF31" s="10"/>
    </row>
    <row r="32" spans="1:58" ht="60" hidden="1" x14ac:dyDescent="0.25">
      <c r="A32" s="4" t="s">
        <v>61</v>
      </c>
      <c r="B32" s="4"/>
      <c r="C32" s="4" t="s">
        <v>22</v>
      </c>
      <c r="D32" s="4" t="s">
        <v>62</v>
      </c>
      <c r="E32" s="5" t="s">
        <v>34</v>
      </c>
      <c r="F32" s="6"/>
      <c r="G32" s="4" t="s">
        <v>26</v>
      </c>
      <c r="H32" s="4" t="s">
        <v>63</v>
      </c>
      <c r="I32" s="7"/>
      <c r="J32" s="7"/>
      <c r="K32" s="7"/>
      <c r="L32" s="7"/>
      <c r="M32" s="51"/>
      <c r="N32" s="7"/>
      <c r="O32" s="7"/>
      <c r="P32" s="7"/>
      <c r="Q32" s="7"/>
      <c r="R32" s="7"/>
      <c r="S32" s="7"/>
      <c r="T32" s="7"/>
      <c r="U32" s="12"/>
      <c r="V32" s="12"/>
      <c r="W32" s="7"/>
      <c r="X32" s="12"/>
      <c r="Y32" s="7"/>
      <c r="Z32" s="7"/>
      <c r="AA32" s="7"/>
      <c r="AB32" s="7"/>
      <c r="AC32" s="7"/>
      <c r="AD32" s="4"/>
      <c r="AE32" s="4"/>
      <c r="AF32" s="4"/>
      <c r="AG32" s="4"/>
      <c r="AH32" s="9"/>
      <c r="AI32" s="9" t="s">
        <v>64</v>
      </c>
      <c r="AJ32" s="9"/>
      <c r="AK32" s="9" t="s">
        <v>30</v>
      </c>
      <c r="AL32" s="10"/>
      <c r="AM32" s="10"/>
      <c r="AN32" s="10"/>
      <c r="AO32" s="10"/>
      <c r="AP32" s="10"/>
      <c r="AQ32" s="11">
        <v>1</v>
      </c>
      <c r="AR32" s="4"/>
      <c r="AS32" s="10"/>
      <c r="AT32" s="10"/>
      <c r="AU32" s="10" t="s">
        <v>851</v>
      </c>
      <c r="AV32" s="10"/>
      <c r="AW32" s="10"/>
      <c r="AX32" s="10"/>
      <c r="AY32" s="10"/>
      <c r="AZ32" s="10"/>
      <c r="BA32" s="10"/>
      <c r="BB32" s="10"/>
      <c r="BC32" s="10"/>
      <c r="BD32" s="10"/>
      <c r="BE32" s="10"/>
      <c r="BF32" s="10"/>
    </row>
    <row r="33" spans="1:58" ht="30" hidden="1" x14ac:dyDescent="0.25">
      <c r="A33" s="4" t="s">
        <v>81</v>
      </c>
      <c r="B33" s="4"/>
      <c r="C33" s="4" t="s">
        <v>22</v>
      </c>
      <c r="D33" s="4" t="s">
        <v>23</v>
      </c>
      <c r="E33" s="5" t="s">
        <v>34</v>
      </c>
      <c r="F33" s="6" t="s">
        <v>25</v>
      </c>
      <c r="G33" s="6" t="s">
        <v>26</v>
      </c>
      <c r="H33" s="4" t="s">
        <v>1081</v>
      </c>
      <c r="I33" s="7">
        <v>2.9392</v>
      </c>
      <c r="J33" s="7">
        <v>2.9392</v>
      </c>
      <c r="K33" s="7">
        <v>0.75</v>
      </c>
      <c r="L33" s="7">
        <v>5.8989999999999997E-3</v>
      </c>
      <c r="M33" s="51">
        <v>5.8989999999999997E-3</v>
      </c>
      <c r="N33" s="7">
        <v>0.75</v>
      </c>
      <c r="O33" s="7"/>
      <c r="P33" s="7">
        <v>0</v>
      </c>
      <c r="Q33" s="7">
        <v>0.5</v>
      </c>
      <c r="R33" s="7">
        <v>34.5</v>
      </c>
      <c r="S33" s="7">
        <v>34.5</v>
      </c>
      <c r="T33" s="7">
        <v>0.75</v>
      </c>
      <c r="U33" s="12"/>
      <c r="V33" s="12"/>
      <c r="W33" s="7"/>
      <c r="X33" s="12"/>
      <c r="Y33" s="7">
        <v>8</v>
      </c>
      <c r="Z33" s="7">
        <v>8</v>
      </c>
      <c r="AA33" s="7">
        <v>0.75</v>
      </c>
      <c r="AB33" s="7">
        <v>121500</v>
      </c>
      <c r="AC33" s="7">
        <v>0.75</v>
      </c>
      <c r="AD33" s="4"/>
      <c r="AE33" s="4"/>
      <c r="AF33" s="4"/>
      <c r="AG33" s="4"/>
      <c r="AH33" s="9"/>
      <c r="AI33" s="9"/>
      <c r="AJ33" s="9"/>
      <c r="AK33" s="9" t="s">
        <v>30</v>
      </c>
      <c r="AL33" s="10"/>
      <c r="AM33" s="10"/>
      <c r="AN33" s="10"/>
      <c r="AO33" s="10"/>
      <c r="AP33" s="10"/>
      <c r="AQ33" s="11">
        <v>10</v>
      </c>
      <c r="AR33" s="4" t="s">
        <v>32</v>
      </c>
      <c r="AS33" s="10"/>
      <c r="AT33" s="10"/>
      <c r="AU33" s="10"/>
      <c r="AV33" s="10"/>
      <c r="AW33" s="10"/>
      <c r="AX33" s="10"/>
      <c r="AY33" s="10"/>
      <c r="AZ33" s="10"/>
      <c r="BA33" s="10"/>
      <c r="BB33" s="10"/>
      <c r="BC33" s="10"/>
      <c r="BD33" s="10"/>
      <c r="BE33" s="10"/>
      <c r="BF33" s="10"/>
    </row>
    <row r="34" spans="1:58" ht="225" x14ac:dyDescent="0.25">
      <c r="A34" s="4" t="s">
        <v>82</v>
      </c>
      <c r="B34" s="4" t="s">
        <v>672</v>
      </c>
      <c r="C34" s="4" t="s">
        <v>22</v>
      </c>
      <c r="D34" s="4" t="s">
        <v>116</v>
      </c>
      <c r="E34" s="5" t="s">
        <v>34</v>
      </c>
      <c r="F34" s="4"/>
      <c r="G34" s="6" t="s">
        <v>35</v>
      </c>
      <c r="H34" s="49" t="s">
        <v>83</v>
      </c>
      <c r="I34" s="7" t="s">
        <v>719</v>
      </c>
      <c r="J34" s="12">
        <v>56.768591249999993</v>
      </c>
      <c r="K34" s="7">
        <v>0.75</v>
      </c>
      <c r="L34" s="7" t="s">
        <v>720</v>
      </c>
      <c r="M34" s="51">
        <v>8.741249999999999E-2</v>
      </c>
      <c r="N34" s="7">
        <v>0.75</v>
      </c>
      <c r="O34" s="7" t="s">
        <v>1263</v>
      </c>
      <c r="P34" s="8">
        <v>91.200374999999994</v>
      </c>
      <c r="Q34" s="7">
        <v>1</v>
      </c>
      <c r="R34" s="7" t="s">
        <v>84</v>
      </c>
      <c r="S34" s="8">
        <v>276.80624999999998</v>
      </c>
      <c r="T34" s="7">
        <v>0.5</v>
      </c>
      <c r="U34" s="12">
        <v>45.641947364999993</v>
      </c>
      <c r="V34" s="12">
        <v>45.641947364999993</v>
      </c>
      <c r="W34" s="7">
        <v>100</v>
      </c>
      <c r="X34" s="12">
        <v>0</v>
      </c>
      <c r="Y34" s="7" t="s">
        <v>86</v>
      </c>
      <c r="Z34" s="7">
        <v>6</v>
      </c>
      <c r="AA34" s="7">
        <v>0.75</v>
      </c>
      <c r="AB34" s="7">
        <f>10^5</f>
        <v>100000</v>
      </c>
      <c r="AC34" s="7">
        <v>0.75</v>
      </c>
      <c r="AD34" s="4" t="s">
        <v>87</v>
      </c>
      <c r="AE34" s="13">
        <f>Mission_Duration*Crew_Size/20*8/60</f>
        <v>10.666666666666666</v>
      </c>
      <c r="AF34" s="13"/>
      <c r="AG34" s="4">
        <v>0.25</v>
      </c>
      <c r="AH34" s="9" t="s">
        <v>88</v>
      </c>
      <c r="AI34" s="9" t="s">
        <v>89</v>
      </c>
      <c r="AJ34" s="9" t="s">
        <v>90</v>
      </c>
      <c r="AK34" s="9" t="s">
        <v>91</v>
      </c>
      <c r="AL34" s="10" t="s">
        <v>92</v>
      </c>
      <c r="AM34" s="10" t="s">
        <v>93</v>
      </c>
      <c r="AN34" s="10" t="s">
        <v>94</v>
      </c>
      <c r="AO34" s="10" t="s">
        <v>95</v>
      </c>
      <c r="AP34" s="10" t="s">
        <v>96</v>
      </c>
      <c r="AQ34" s="11" t="s">
        <v>97</v>
      </c>
      <c r="AR34" s="4" t="s">
        <v>98</v>
      </c>
      <c r="AS34" s="10"/>
      <c r="AT34" s="10" t="s">
        <v>850</v>
      </c>
      <c r="AU34" s="10" t="s">
        <v>1076</v>
      </c>
      <c r="AV34" s="10"/>
      <c r="AW34" s="10"/>
      <c r="AX34" s="10"/>
      <c r="AY34" s="10"/>
      <c r="AZ34" s="10"/>
      <c r="BA34" s="10"/>
      <c r="BB34" s="10"/>
      <c r="BC34" s="10" t="s">
        <v>85</v>
      </c>
      <c r="BD34" s="10">
        <v>130</v>
      </c>
      <c r="BE34" s="10"/>
      <c r="BF34" s="10"/>
    </row>
    <row r="35" spans="1:58" ht="240" x14ac:dyDescent="0.25">
      <c r="A35" s="4" t="s">
        <v>987</v>
      </c>
      <c r="B35" s="4" t="s">
        <v>1265</v>
      </c>
      <c r="C35" s="4" t="s">
        <v>22</v>
      </c>
      <c r="D35" s="4" t="s">
        <v>33</v>
      </c>
      <c r="E35" s="5" t="s">
        <v>24</v>
      </c>
      <c r="F35" s="4"/>
      <c r="G35" s="4" t="s">
        <v>35</v>
      </c>
      <c r="H35" s="49" t="s">
        <v>1083</v>
      </c>
      <c r="I35" s="12" t="s">
        <v>721</v>
      </c>
      <c r="J35" s="12">
        <v>77.66</v>
      </c>
      <c r="K35" s="12">
        <v>0.5</v>
      </c>
      <c r="L35" s="12" t="s">
        <v>722</v>
      </c>
      <c r="M35" s="51">
        <v>0.3</v>
      </c>
      <c r="N35" s="12">
        <v>0.5</v>
      </c>
      <c r="O35" s="7"/>
      <c r="P35" s="7">
        <v>12</v>
      </c>
      <c r="Q35" s="7">
        <v>0.25</v>
      </c>
      <c r="R35" s="7" t="s">
        <v>1257</v>
      </c>
      <c r="S35" s="7">
        <v>12</v>
      </c>
      <c r="T35" s="7">
        <v>0.5</v>
      </c>
      <c r="U35" s="12">
        <v>63.991840000000003</v>
      </c>
      <c r="V35" s="12">
        <v>63.991840000000003</v>
      </c>
      <c r="W35" s="7">
        <v>41</v>
      </c>
      <c r="X35" s="12">
        <v>0</v>
      </c>
      <c r="Y35" s="7">
        <v>7</v>
      </c>
      <c r="Z35" s="7">
        <v>9</v>
      </c>
      <c r="AA35" s="7">
        <v>1</v>
      </c>
      <c r="AB35" s="7">
        <v>100000</v>
      </c>
      <c r="AC35" s="7">
        <v>0.25</v>
      </c>
      <c r="AD35" s="4">
        <v>0</v>
      </c>
      <c r="AE35" s="4">
        <v>0</v>
      </c>
      <c r="AF35" s="4"/>
      <c r="AG35" s="4">
        <v>0.5</v>
      </c>
      <c r="AH35" s="9"/>
      <c r="AI35" s="9" t="s">
        <v>1124</v>
      </c>
      <c r="AJ35" s="9"/>
      <c r="AK35" s="9" t="s">
        <v>104</v>
      </c>
      <c r="AL35" s="10"/>
      <c r="AM35" s="10"/>
      <c r="AN35" s="10"/>
      <c r="AO35" s="10"/>
      <c r="AP35" s="10"/>
      <c r="AQ35" s="11" t="s">
        <v>105</v>
      </c>
      <c r="AR35" s="4"/>
      <c r="AS35" s="10" t="s">
        <v>899</v>
      </c>
      <c r="AT35" s="10"/>
      <c r="AU35" s="10" t="s">
        <v>942</v>
      </c>
      <c r="AV35" s="10" t="s">
        <v>897</v>
      </c>
      <c r="AW35" s="10" t="s">
        <v>1075</v>
      </c>
      <c r="AX35" s="10"/>
      <c r="AY35" s="10"/>
      <c r="AZ35" s="10"/>
      <c r="BA35" s="10"/>
      <c r="BB35" s="10"/>
      <c r="BC35" s="10">
        <f>26.8+263.15</f>
        <v>289.95</v>
      </c>
      <c r="BD35" s="10"/>
      <c r="BE35" s="10"/>
      <c r="BF35" s="10"/>
    </row>
    <row r="36" spans="1:58" ht="45" x14ac:dyDescent="0.25">
      <c r="A36" s="4" t="s">
        <v>106</v>
      </c>
      <c r="B36" s="4" t="s">
        <v>1613</v>
      </c>
      <c r="C36" s="4" t="s">
        <v>22</v>
      </c>
      <c r="D36" s="4" t="s">
        <v>23</v>
      </c>
      <c r="E36" s="5" t="s">
        <v>24</v>
      </c>
      <c r="F36" s="4" t="s">
        <v>25</v>
      </c>
      <c r="G36" s="4" t="s">
        <v>35</v>
      </c>
      <c r="H36" s="4" t="s">
        <v>1193</v>
      </c>
      <c r="I36" s="12">
        <v>11.05</v>
      </c>
      <c r="J36" s="12">
        <v>11.05</v>
      </c>
      <c r="K36" s="12">
        <v>0.75</v>
      </c>
      <c r="L36" s="12">
        <v>4.7289999999999997E-3</v>
      </c>
      <c r="M36" s="51">
        <f>technologies[[#This Row],[Volume
Literature]]</f>
        <v>4.7289999999999997E-3</v>
      </c>
      <c r="N36" s="12">
        <v>0.75</v>
      </c>
      <c r="O36" s="7"/>
      <c r="P36" s="7">
        <v>0</v>
      </c>
      <c r="Q36" s="7">
        <v>0.5</v>
      </c>
      <c r="R36" s="7">
        <v>0</v>
      </c>
      <c r="S36" s="7">
        <v>0</v>
      </c>
      <c r="T36" s="7">
        <v>0.75</v>
      </c>
      <c r="U36" s="12">
        <v>6.851</v>
      </c>
      <c r="V36" s="12">
        <v>6.851</v>
      </c>
      <c r="W36" s="7"/>
      <c r="X36" s="12"/>
      <c r="Y36" s="7"/>
      <c r="Z36" s="7"/>
      <c r="AA36" s="7"/>
      <c r="AB36" s="8">
        <f>1/(1.12*10^-5)</f>
        <v>89285.714285714275</v>
      </c>
      <c r="AC36" s="12">
        <v>0.75</v>
      </c>
      <c r="AD36" s="4"/>
      <c r="AE36" s="4"/>
      <c r="AF36" s="4"/>
      <c r="AG36" s="4"/>
      <c r="AH36" s="9"/>
      <c r="AI36" s="9"/>
      <c r="AJ36" s="9"/>
      <c r="AK36" s="9" t="s">
        <v>30</v>
      </c>
      <c r="AL36" s="10"/>
      <c r="AM36" s="10"/>
      <c r="AN36" s="10"/>
      <c r="AO36" s="10"/>
      <c r="AP36" s="10"/>
      <c r="AQ36" s="11" t="s">
        <v>107</v>
      </c>
      <c r="AR36" s="4" t="s">
        <v>108</v>
      </c>
      <c r="AS36" s="10" t="s">
        <v>849</v>
      </c>
      <c r="AT36" s="10"/>
      <c r="AU36" s="10"/>
      <c r="AV36" s="10"/>
      <c r="AW36" s="10"/>
      <c r="AX36" s="10"/>
      <c r="AY36" s="10"/>
      <c r="AZ36" s="10"/>
      <c r="BA36" s="10"/>
      <c r="BB36" s="10"/>
      <c r="BC36" s="10"/>
      <c r="BD36" s="10"/>
      <c r="BE36" s="10"/>
      <c r="BF36" s="10"/>
    </row>
    <row r="37" spans="1:58" ht="120" x14ac:dyDescent="0.25">
      <c r="A37" s="4" t="s">
        <v>109</v>
      </c>
      <c r="B37" s="4" t="s">
        <v>1462</v>
      </c>
      <c r="C37" s="4" t="s">
        <v>22</v>
      </c>
      <c r="D37" s="4" t="s">
        <v>23</v>
      </c>
      <c r="E37" s="5" t="s">
        <v>24</v>
      </c>
      <c r="F37" s="4" t="s">
        <v>25</v>
      </c>
      <c r="G37" s="4" t="s">
        <v>35</v>
      </c>
      <c r="H37" s="49" t="s">
        <v>991</v>
      </c>
      <c r="I37" s="12">
        <v>11.0449</v>
      </c>
      <c r="J37" s="12">
        <v>11.0449</v>
      </c>
      <c r="K37" s="12">
        <v>0.75</v>
      </c>
      <c r="L37" s="12">
        <v>2.4312E-2</v>
      </c>
      <c r="M37" s="51">
        <v>2.4312E-2</v>
      </c>
      <c r="N37" s="12">
        <v>0.75</v>
      </c>
      <c r="O37" s="7" t="s">
        <v>110</v>
      </c>
      <c r="P37" s="7">
        <v>0</v>
      </c>
      <c r="Q37" s="7">
        <v>0.75</v>
      </c>
      <c r="R37" s="7">
        <v>120.96</v>
      </c>
      <c r="S37" s="7">
        <v>120.96</v>
      </c>
      <c r="T37" s="7">
        <v>0.75</v>
      </c>
      <c r="U37" s="12">
        <v>6.8478380000000003</v>
      </c>
      <c r="V37" s="12">
        <v>6.8478380000000003</v>
      </c>
      <c r="W37" s="7">
        <v>100</v>
      </c>
      <c r="X37" s="12"/>
      <c r="Y37" s="7"/>
      <c r="Z37" s="7"/>
      <c r="AA37" s="7"/>
      <c r="AB37" s="7">
        <v>89500</v>
      </c>
      <c r="AC37" s="7">
        <v>0.75</v>
      </c>
      <c r="AD37" s="49" t="s">
        <v>112</v>
      </c>
      <c r="AE37" s="13">
        <f>1/(365)</f>
        <v>2.7397260273972603E-3</v>
      </c>
      <c r="AF37" s="13"/>
      <c r="AG37" s="4"/>
      <c r="AH37" s="9" t="s">
        <v>113</v>
      </c>
      <c r="AI37" s="9"/>
      <c r="AJ37" s="9"/>
      <c r="AK37" s="9" t="s">
        <v>30</v>
      </c>
      <c r="AL37" s="10"/>
      <c r="AM37" s="10"/>
      <c r="AN37" s="10"/>
      <c r="AO37" s="10"/>
      <c r="AP37" s="10"/>
      <c r="AQ37" s="11" t="s">
        <v>114</v>
      </c>
      <c r="AR37" s="4" t="s">
        <v>32</v>
      </c>
      <c r="AS37" s="10" t="s">
        <v>849</v>
      </c>
      <c r="AT37" s="10"/>
      <c r="AU37" s="10"/>
      <c r="AV37" s="10"/>
      <c r="AW37" s="10"/>
      <c r="AX37" s="10"/>
      <c r="AY37" s="10"/>
      <c r="AZ37" s="10"/>
      <c r="BA37" s="10"/>
      <c r="BB37" s="10"/>
      <c r="BC37" s="10" t="s">
        <v>111</v>
      </c>
      <c r="BD37" s="10">
        <v>101</v>
      </c>
      <c r="BE37" s="10"/>
      <c r="BF37" s="10"/>
    </row>
    <row r="38" spans="1:58" ht="210" x14ac:dyDescent="0.25">
      <c r="A38" s="4" t="s">
        <v>115</v>
      </c>
      <c r="B38" s="4" t="s">
        <v>622</v>
      </c>
      <c r="C38" s="4" t="s">
        <v>22</v>
      </c>
      <c r="D38" s="4" t="s">
        <v>116</v>
      </c>
      <c r="E38" s="5" t="s">
        <v>34</v>
      </c>
      <c r="F38" s="4"/>
      <c r="G38" s="4" t="s">
        <v>35</v>
      </c>
      <c r="H38" s="49" t="s">
        <v>1041</v>
      </c>
      <c r="I38" s="7">
        <v>356</v>
      </c>
      <c r="J38" s="12">
        <v>14.211815625000003</v>
      </c>
      <c r="K38" s="7">
        <v>0.5</v>
      </c>
      <c r="L38" s="7">
        <v>0.28000000000000003</v>
      </c>
      <c r="M38" s="51">
        <v>8.8679347826086975E-3</v>
      </c>
      <c r="N38" s="7">
        <v>0.5</v>
      </c>
      <c r="O38" s="7">
        <v>3500</v>
      </c>
      <c r="P38" s="12">
        <v>110.84918478260872</v>
      </c>
      <c r="Q38" s="7">
        <v>0.5</v>
      </c>
      <c r="R38" s="7">
        <v>13300</v>
      </c>
      <c r="S38" s="8">
        <v>421.22690217391312</v>
      </c>
      <c r="T38" s="7">
        <v>0.5</v>
      </c>
      <c r="U38" s="12">
        <v>11.902395585937503</v>
      </c>
      <c r="V38" s="12">
        <v>11.902395585937503</v>
      </c>
      <c r="W38" s="7"/>
      <c r="X38" s="12">
        <v>0</v>
      </c>
      <c r="Y38" s="7">
        <v>5</v>
      </c>
      <c r="Z38" s="7">
        <v>5</v>
      </c>
      <c r="AA38" s="7">
        <v>1</v>
      </c>
      <c r="AB38" s="7"/>
      <c r="AC38" s="7"/>
      <c r="AD38" s="4"/>
      <c r="AE38" s="4"/>
      <c r="AF38" s="4"/>
      <c r="AG38" s="4"/>
      <c r="AH38" s="9" t="s">
        <v>118</v>
      </c>
      <c r="AI38" s="9" t="s">
        <v>119</v>
      </c>
      <c r="AJ38" s="9"/>
      <c r="AK38" s="9" t="s">
        <v>91</v>
      </c>
      <c r="AL38" s="10" t="s">
        <v>120</v>
      </c>
      <c r="AM38" s="10" t="s">
        <v>121</v>
      </c>
      <c r="AN38" s="10" t="s">
        <v>122</v>
      </c>
      <c r="AO38" s="10" t="s">
        <v>123</v>
      </c>
      <c r="AP38" s="10" t="s">
        <v>124</v>
      </c>
      <c r="AQ38" s="11" t="s">
        <v>125</v>
      </c>
      <c r="AR38" s="4" t="s">
        <v>126</v>
      </c>
      <c r="AS38" s="10" t="s">
        <v>1076</v>
      </c>
      <c r="AT38" s="10"/>
      <c r="AU38" s="10" t="s">
        <v>851</v>
      </c>
      <c r="AV38" s="10" t="s">
        <v>850</v>
      </c>
      <c r="AW38" s="10"/>
      <c r="AX38" s="10"/>
      <c r="AY38" s="10"/>
      <c r="AZ38" s="10"/>
      <c r="BA38" s="10"/>
      <c r="BB38" s="10"/>
      <c r="BC38" s="10" t="s">
        <v>117</v>
      </c>
      <c r="BD38" s="10"/>
      <c r="BE38" s="10"/>
      <c r="BF38" s="10"/>
    </row>
    <row r="39" spans="1:58" ht="120" hidden="1" x14ac:dyDescent="0.25">
      <c r="A39" s="4" t="s">
        <v>981</v>
      </c>
      <c r="B39" s="4"/>
      <c r="C39" s="4" t="s">
        <v>22</v>
      </c>
      <c r="D39" s="4" t="s">
        <v>116</v>
      </c>
      <c r="E39" s="5" t="s">
        <v>34</v>
      </c>
      <c r="F39" s="6"/>
      <c r="G39" s="4" t="s">
        <v>26</v>
      </c>
      <c r="H39" s="49" t="s">
        <v>1163</v>
      </c>
      <c r="I39" s="7"/>
      <c r="J39" s="7"/>
      <c r="K39" s="7"/>
      <c r="L39" s="7"/>
      <c r="M39" s="51"/>
      <c r="N39" s="7"/>
      <c r="O39" s="7"/>
      <c r="P39" s="7"/>
      <c r="Q39" s="7"/>
      <c r="R39" s="7"/>
      <c r="S39" s="7"/>
      <c r="T39" s="7"/>
      <c r="U39" s="12"/>
      <c r="V39" s="12"/>
      <c r="W39" s="7"/>
      <c r="X39" s="12"/>
      <c r="Y39" s="7" t="s">
        <v>39</v>
      </c>
      <c r="Z39" s="7">
        <v>3</v>
      </c>
      <c r="AA39" s="7">
        <v>0.75</v>
      </c>
      <c r="AB39" s="7"/>
      <c r="AC39" s="7"/>
      <c r="AD39" s="4"/>
      <c r="AE39" s="4"/>
      <c r="AF39" s="4"/>
      <c r="AG39" s="4"/>
      <c r="AH39" s="9" t="s">
        <v>145</v>
      </c>
      <c r="AI39" s="9" t="s">
        <v>64</v>
      </c>
      <c r="AJ39" s="9"/>
      <c r="AK39" s="9" t="s">
        <v>30</v>
      </c>
      <c r="AL39" s="10"/>
      <c r="AM39" s="10"/>
      <c r="AN39" s="10"/>
      <c r="AO39" s="10"/>
      <c r="AP39" s="10"/>
      <c r="AQ39" s="11" t="s">
        <v>146</v>
      </c>
      <c r="AR39" s="4"/>
      <c r="AS39" s="10" t="s">
        <v>849</v>
      </c>
      <c r="AT39" s="10" t="s">
        <v>1076</v>
      </c>
      <c r="AU39" s="10"/>
      <c r="AV39" s="10"/>
      <c r="AW39" s="10"/>
      <c r="AX39" s="10"/>
      <c r="AY39" s="10"/>
      <c r="AZ39" s="10"/>
      <c r="BA39" s="10"/>
      <c r="BB39" s="10"/>
      <c r="BC39" s="10"/>
      <c r="BD39" s="10"/>
      <c r="BE39" s="10"/>
      <c r="BF39" s="10"/>
    </row>
    <row r="40" spans="1:58" ht="180" x14ac:dyDescent="0.25">
      <c r="A40" s="4" t="s">
        <v>147</v>
      </c>
      <c r="B40" s="4" t="s">
        <v>594</v>
      </c>
      <c r="C40" s="4" t="s">
        <v>22</v>
      </c>
      <c r="D40" s="4" t="s">
        <v>33</v>
      </c>
      <c r="E40" s="5" t="s">
        <v>34</v>
      </c>
      <c r="F40" s="4"/>
      <c r="G40" s="4" t="s">
        <v>35</v>
      </c>
      <c r="H40" s="49" t="s">
        <v>1201</v>
      </c>
      <c r="I40" s="7" t="s">
        <v>822</v>
      </c>
      <c r="J40" s="12">
        <v>33.449849999999998</v>
      </c>
      <c r="K40" s="7">
        <v>0.75</v>
      </c>
      <c r="L40" s="12" t="s">
        <v>821</v>
      </c>
      <c r="M40" s="51">
        <v>2.0396250000000001E-2</v>
      </c>
      <c r="N40" s="7">
        <v>0.75</v>
      </c>
      <c r="O40" s="7" t="s">
        <v>148</v>
      </c>
      <c r="P40" s="8">
        <v>97.902000000000001</v>
      </c>
      <c r="Q40" s="7">
        <v>0.75</v>
      </c>
      <c r="R40" s="7" t="s">
        <v>149</v>
      </c>
      <c r="S40" s="8">
        <v>12.23775</v>
      </c>
      <c r="T40" s="7">
        <v>0.75</v>
      </c>
      <c r="U40" s="12">
        <v>33.449849999999998</v>
      </c>
      <c r="V40" s="12">
        <v>33.449849999999998</v>
      </c>
      <c r="W40" s="7"/>
      <c r="X40" s="12">
        <v>3.4965E-3</v>
      </c>
      <c r="Y40" s="7" t="s">
        <v>152</v>
      </c>
      <c r="Z40" s="7">
        <v>6</v>
      </c>
      <c r="AA40" s="7">
        <v>1</v>
      </c>
      <c r="AB40" s="7" t="s">
        <v>153</v>
      </c>
      <c r="AC40" s="7">
        <v>0.75</v>
      </c>
      <c r="AD40" s="49" t="s">
        <v>1153</v>
      </c>
      <c r="AE40" s="4">
        <v>0</v>
      </c>
      <c r="AF40" s="4"/>
      <c r="AG40" s="4">
        <v>0.25</v>
      </c>
      <c r="AH40" s="9" t="s">
        <v>154</v>
      </c>
      <c r="AI40" s="9" t="s">
        <v>155</v>
      </c>
      <c r="AJ40" s="9"/>
      <c r="AK40" s="9" t="s">
        <v>156</v>
      </c>
      <c r="AL40" s="10" t="s">
        <v>157</v>
      </c>
      <c r="AM40" s="10" t="s">
        <v>158</v>
      </c>
      <c r="AN40" s="10" t="s">
        <v>159</v>
      </c>
      <c r="AO40" s="10" t="s">
        <v>158</v>
      </c>
      <c r="AP40" s="10" t="s">
        <v>160</v>
      </c>
      <c r="AQ40" s="11" t="s">
        <v>161</v>
      </c>
      <c r="AR40" s="4"/>
      <c r="AS40" s="10"/>
      <c r="AT40" s="10" t="s">
        <v>897</v>
      </c>
      <c r="AU40" s="10" t="s">
        <v>1075</v>
      </c>
      <c r="AV40" s="10"/>
      <c r="AW40" s="10"/>
      <c r="AX40" s="10"/>
      <c r="AY40" s="10"/>
      <c r="AZ40" s="10"/>
      <c r="BA40" s="10"/>
      <c r="BB40" s="10"/>
      <c r="BC40" s="10" t="s">
        <v>150</v>
      </c>
      <c r="BD40" s="10" t="s">
        <v>151</v>
      </c>
      <c r="BE40" s="10"/>
      <c r="BF40" s="10"/>
    </row>
    <row r="41" spans="1:58" ht="30" hidden="1" x14ac:dyDescent="0.25">
      <c r="A41" s="4" t="s">
        <v>182</v>
      </c>
      <c r="B41" s="4"/>
      <c r="C41" s="4" t="s">
        <v>22</v>
      </c>
      <c r="D41" s="4" t="s">
        <v>23</v>
      </c>
      <c r="E41" s="5" t="s">
        <v>34</v>
      </c>
      <c r="F41" s="6" t="s">
        <v>25</v>
      </c>
      <c r="G41" s="6" t="s">
        <v>26</v>
      </c>
      <c r="H41" s="4" t="s">
        <v>1202</v>
      </c>
      <c r="I41" s="12">
        <v>3.4201000000000001</v>
      </c>
      <c r="J41" s="12">
        <v>3.4201000000000001</v>
      </c>
      <c r="K41" s="12">
        <v>0.75</v>
      </c>
      <c r="L41" s="12">
        <v>3.7490000000000002E-3</v>
      </c>
      <c r="M41" s="51">
        <v>3.7490000000000002E-3</v>
      </c>
      <c r="N41" s="12">
        <v>0.75</v>
      </c>
      <c r="O41" s="12"/>
      <c r="P41" s="12">
        <v>0</v>
      </c>
      <c r="Q41" s="12">
        <v>0.5</v>
      </c>
      <c r="R41" s="7">
        <v>7.64</v>
      </c>
      <c r="S41" s="7">
        <v>7.64</v>
      </c>
      <c r="T41" s="7">
        <v>0.75</v>
      </c>
      <c r="U41" s="12"/>
      <c r="V41" s="12"/>
      <c r="W41" s="7"/>
      <c r="X41" s="12"/>
      <c r="Y41" s="7">
        <v>8</v>
      </c>
      <c r="Z41" s="7"/>
      <c r="AA41" s="7"/>
      <c r="AB41" s="7">
        <v>483000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c r="BF41" s="10"/>
    </row>
    <row r="42" spans="1:58" ht="30" hidden="1" x14ac:dyDescent="0.25">
      <c r="A42" s="4" t="s">
        <v>184</v>
      </c>
      <c r="B42" s="4"/>
      <c r="C42" s="4" t="s">
        <v>22</v>
      </c>
      <c r="D42" s="4" t="s">
        <v>101</v>
      </c>
      <c r="E42" s="5" t="s">
        <v>34</v>
      </c>
      <c r="F42" s="6" t="s">
        <v>25</v>
      </c>
      <c r="G42" s="6" t="s">
        <v>26</v>
      </c>
      <c r="H42" s="4" t="s">
        <v>992</v>
      </c>
      <c r="I42" s="12">
        <v>1.0886</v>
      </c>
      <c r="J42" s="12">
        <f>technologies[[#This Row],[Mass
Literature]]</f>
        <v>1.0886</v>
      </c>
      <c r="K42" s="12">
        <v>0.75</v>
      </c>
      <c r="L42" s="12">
        <v>1.9599999999999999E-4</v>
      </c>
      <c r="M42" s="51">
        <f>technologies[[#This Row],[Volume
Literature]]</f>
        <v>1.9599999999999999E-4</v>
      </c>
      <c r="N42" s="12">
        <v>0.75</v>
      </c>
      <c r="O42" s="12"/>
      <c r="P42" s="12">
        <v>0</v>
      </c>
      <c r="Q42" s="12">
        <v>0.5</v>
      </c>
      <c r="R42" s="7">
        <v>11.5</v>
      </c>
      <c r="S42" s="7">
        <v>11.5</v>
      </c>
      <c r="T42" s="7">
        <v>0.75</v>
      </c>
      <c r="U42" s="12"/>
      <c r="V42" s="12"/>
      <c r="W42" s="7"/>
      <c r="X42" s="12"/>
      <c r="Y42" s="7">
        <v>8</v>
      </c>
      <c r="Z42" s="7"/>
      <c r="AA42" s="7"/>
      <c r="AB42" s="7">
        <v>936000</v>
      </c>
      <c r="AC42" s="7"/>
      <c r="AD42" s="4"/>
      <c r="AE42" s="4"/>
      <c r="AF42" s="4"/>
      <c r="AG42" s="4"/>
      <c r="AH42" s="9"/>
      <c r="AI42" s="9"/>
      <c r="AJ42" s="9"/>
      <c r="AK42" s="9" t="s">
        <v>30</v>
      </c>
      <c r="AL42" s="10"/>
      <c r="AM42" s="10"/>
      <c r="AN42" s="10"/>
      <c r="AO42" s="10"/>
      <c r="AP42" s="10"/>
      <c r="AQ42" s="11">
        <v>10</v>
      </c>
      <c r="AR42" s="4" t="s">
        <v>32</v>
      </c>
      <c r="AS42" s="10"/>
      <c r="AT42" s="10"/>
      <c r="AU42" s="10"/>
      <c r="AV42" s="10"/>
      <c r="AW42" s="10"/>
      <c r="AX42" s="10"/>
      <c r="AY42" s="10"/>
      <c r="AZ42" s="10"/>
      <c r="BA42" s="10"/>
      <c r="BB42" s="10"/>
      <c r="BC42" s="10"/>
      <c r="BD42" s="10"/>
      <c r="BE42" s="10"/>
      <c r="BF42" s="10"/>
    </row>
    <row r="43" spans="1:58" ht="45" hidden="1" x14ac:dyDescent="0.25">
      <c r="A43" s="4" t="s">
        <v>978</v>
      </c>
      <c r="B43" s="4"/>
      <c r="C43" s="4" t="s">
        <v>22</v>
      </c>
      <c r="D43" s="4" t="s">
        <v>101</v>
      </c>
      <c r="E43" s="5" t="s">
        <v>34</v>
      </c>
      <c r="F43" s="6"/>
      <c r="G43" s="4" t="s">
        <v>26</v>
      </c>
      <c r="H43" s="4" t="s">
        <v>187</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c r="AI43" s="9" t="s">
        <v>188</v>
      </c>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c r="BF43" s="10"/>
    </row>
    <row r="44" spans="1:58" ht="165" x14ac:dyDescent="0.25">
      <c r="A44" s="4" t="s">
        <v>189</v>
      </c>
      <c r="B44" s="4" t="s">
        <v>1611</v>
      </c>
      <c r="C44" s="4" t="s">
        <v>22</v>
      </c>
      <c r="D44" s="4" t="s">
        <v>101</v>
      </c>
      <c r="E44" s="5" t="s">
        <v>34</v>
      </c>
      <c r="F44" s="4"/>
      <c r="G44" s="4" t="s">
        <v>35</v>
      </c>
      <c r="H44" s="49" t="s">
        <v>993</v>
      </c>
      <c r="I44" s="12"/>
      <c r="J44" s="12"/>
      <c r="K44" s="12"/>
      <c r="L44" s="12"/>
      <c r="M44" s="51"/>
      <c r="N44" s="12"/>
      <c r="O44" s="12"/>
      <c r="P44" s="12"/>
      <c r="Q44" s="12"/>
      <c r="R44" s="7"/>
      <c r="S44" s="7"/>
      <c r="T44" s="7"/>
      <c r="U44" s="12"/>
      <c r="V44" s="12"/>
      <c r="W44" s="7"/>
      <c r="X44" s="12"/>
      <c r="Y44" s="7"/>
      <c r="Z44" s="7"/>
      <c r="AA44" s="7"/>
      <c r="AB44" s="7"/>
      <c r="AC44" s="7"/>
      <c r="AD44" s="4"/>
      <c r="AE44" s="4"/>
      <c r="AF44" s="4"/>
      <c r="AG44" s="4"/>
      <c r="AH44" s="9" t="s">
        <v>190</v>
      </c>
      <c r="AI44" s="9"/>
      <c r="AJ44" s="9"/>
      <c r="AK44" s="9" t="s">
        <v>30</v>
      </c>
      <c r="AL44" s="10"/>
      <c r="AM44" s="10"/>
      <c r="AN44" s="10"/>
      <c r="AO44" s="10"/>
      <c r="AP44" s="10"/>
      <c r="AQ44" s="11">
        <v>1</v>
      </c>
      <c r="AR44" s="4"/>
      <c r="AS44" s="10" t="s">
        <v>857</v>
      </c>
      <c r="AT44" s="10"/>
      <c r="AU44" s="10"/>
      <c r="AV44" s="10"/>
      <c r="AW44" s="10"/>
      <c r="AX44" s="10"/>
      <c r="AY44" s="10"/>
      <c r="AZ44" s="10"/>
      <c r="BA44" s="10"/>
      <c r="BB44" s="10"/>
      <c r="BC44" s="10"/>
      <c r="BD44" s="10"/>
      <c r="BE44" s="10"/>
      <c r="BF44" s="10"/>
    </row>
    <row r="45" spans="1:58" ht="30" hidden="1" x14ac:dyDescent="0.25">
      <c r="A45" s="4" t="s">
        <v>199</v>
      </c>
      <c r="B45" s="4"/>
      <c r="C45" s="4" t="s">
        <v>22</v>
      </c>
      <c r="D45" s="4" t="s">
        <v>101</v>
      </c>
      <c r="E45" s="5" t="s">
        <v>34</v>
      </c>
      <c r="F45" s="4" t="s">
        <v>200</v>
      </c>
      <c r="G45" s="4" t="s">
        <v>26</v>
      </c>
      <c r="H45" s="4"/>
      <c r="I45" s="12">
        <v>4.3544999999999998</v>
      </c>
      <c r="J45" s="12">
        <v>4.3544999999999998</v>
      </c>
      <c r="K45" s="12"/>
      <c r="L45" s="12">
        <v>3.398E-3</v>
      </c>
      <c r="M45" s="12">
        <v>3.398E-3</v>
      </c>
      <c r="N45" s="12"/>
      <c r="O45" s="12"/>
      <c r="P45" s="12"/>
      <c r="Q45" s="12"/>
      <c r="R45" s="7"/>
      <c r="S45" s="7"/>
      <c r="T45" s="7"/>
      <c r="U45" s="12"/>
      <c r="V45" s="12"/>
      <c r="W45" s="7"/>
      <c r="X45" s="12"/>
      <c r="Y45" s="7"/>
      <c r="Z45" s="7"/>
      <c r="AA45" s="7"/>
      <c r="AB45" s="7" t="s">
        <v>1145</v>
      </c>
      <c r="AC45" s="7"/>
      <c r="AD45" s="4"/>
      <c r="AE45" s="4"/>
      <c r="AF45" s="4"/>
      <c r="AG45" s="4"/>
      <c r="AH45" s="9"/>
      <c r="AI45" s="9" t="s">
        <v>1144</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c r="BF45" s="10"/>
    </row>
    <row r="46" spans="1:58" ht="30" hidden="1" x14ac:dyDescent="0.25">
      <c r="A46" s="4" t="s">
        <v>201</v>
      </c>
      <c r="B46" s="4"/>
      <c r="C46" s="4" t="s">
        <v>22</v>
      </c>
      <c r="D46" s="4" t="s">
        <v>131</v>
      </c>
      <c r="E46" s="5" t="s">
        <v>34</v>
      </c>
      <c r="F46" s="4" t="s">
        <v>200</v>
      </c>
      <c r="G46" s="4" t="s">
        <v>26</v>
      </c>
      <c r="H46" s="4"/>
      <c r="I46" s="12">
        <v>161.61760000000001</v>
      </c>
      <c r="J46" s="12"/>
      <c r="K46" s="12"/>
      <c r="L46" s="12">
        <v>0.14669699999999999</v>
      </c>
      <c r="M46" s="12">
        <v>0.14669699999999999</v>
      </c>
      <c r="N46" s="12"/>
      <c r="O46" s="12"/>
      <c r="P46" s="12"/>
      <c r="Q46" s="12"/>
      <c r="R46" s="7"/>
      <c r="S46" s="7"/>
      <c r="T46" s="7"/>
      <c r="U46" s="12"/>
      <c r="V46" s="12"/>
      <c r="W46" s="7"/>
      <c r="X46" s="12"/>
      <c r="Y46" s="7"/>
      <c r="Z46" s="7"/>
      <c r="AA46" s="7"/>
      <c r="AB46" s="7" t="s">
        <v>1146</v>
      </c>
      <c r="AC46" s="7"/>
      <c r="AD46" s="4"/>
      <c r="AE46" s="4"/>
      <c r="AF46" s="4"/>
      <c r="AG46" s="4"/>
      <c r="AH46" s="9"/>
      <c r="AI46" s="9" t="s">
        <v>1135</v>
      </c>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c r="BF46" s="10"/>
    </row>
    <row r="47" spans="1:58" ht="30" hidden="1" x14ac:dyDescent="0.25">
      <c r="A47" s="4" t="s">
        <v>202</v>
      </c>
      <c r="B47" s="4"/>
      <c r="C47" s="4" t="s">
        <v>22</v>
      </c>
      <c r="D47" s="4" t="s">
        <v>62</v>
      </c>
      <c r="E47" s="5" t="s">
        <v>34</v>
      </c>
      <c r="F47" s="4" t="s">
        <v>200</v>
      </c>
      <c r="G47" s="4" t="s">
        <v>26</v>
      </c>
      <c r="H47" s="4" t="s">
        <v>203</v>
      </c>
      <c r="I47" s="12">
        <v>28.6675</v>
      </c>
      <c r="J47" s="12">
        <v>28.6675</v>
      </c>
      <c r="K47" s="12"/>
      <c r="L47" s="12">
        <v>2.9451999999999999E-2</v>
      </c>
      <c r="M47" s="12">
        <v>2.9451999999999999E-2</v>
      </c>
      <c r="N47" s="12"/>
      <c r="O47" s="12"/>
      <c r="P47" s="12"/>
      <c r="Q47" s="12"/>
      <c r="R47" s="7"/>
      <c r="S47" s="7"/>
      <c r="T47" s="7"/>
      <c r="U47" s="12"/>
      <c r="V47" s="12"/>
      <c r="W47" s="7"/>
      <c r="X47" s="12"/>
      <c r="Y47" s="7"/>
      <c r="Z47" s="7"/>
      <c r="AA47" s="7"/>
      <c r="AB47" s="7" t="s">
        <v>1147</v>
      </c>
      <c r="AC47" s="7"/>
      <c r="AD47" s="4"/>
      <c r="AE47" s="4"/>
      <c r="AF47" s="4"/>
      <c r="AG47" s="4"/>
      <c r="AH47" s="9"/>
      <c r="AI47" s="9"/>
      <c r="AJ47" s="9"/>
      <c r="AK47" s="9" t="s">
        <v>30</v>
      </c>
      <c r="AL47" s="10"/>
      <c r="AM47" s="10"/>
      <c r="AN47" s="10"/>
      <c r="AO47" s="10"/>
      <c r="AP47" s="10"/>
      <c r="AQ47" s="11">
        <v>10</v>
      </c>
      <c r="AR47" s="4" t="s">
        <v>32</v>
      </c>
      <c r="AS47" s="10"/>
      <c r="AT47" s="10"/>
      <c r="AU47" s="10"/>
      <c r="AV47" s="10"/>
      <c r="AW47" s="10"/>
      <c r="AX47" s="10"/>
      <c r="AY47" s="10"/>
      <c r="AZ47" s="10"/>
      <c r="BA47" s="10"/>
      <c r="BB47" s="10"/>
      <c r="BC47" s="10"/>
      <c r="BD47" s="10"/>
      <c r="BE47" s="10"/>
      <c r="BF47" s="10"/>
    </row>
    <row r="48" spans="1:58" ht="45" x14ac:dyDescent="0.25">
      <c r="A48" s="4" t="s">
        <v>975</v>
      </c>
      <c r="B48" s="4" t="s">
        <v>1612</v>
      </c>
      <c r="C48" s="4" t="s">
        <v>22</v>
      </c>
      <c r="D48" s="4" t="s">
        <v>101</v>
      </c>
      <c r="E48" s="5" t="s">
        <v>34</v>
      </c>
      <c r="F48" s="4"/>
      <c r="G48" s="4" t="s">
        <v>35</v>
      </c>
      <c r="H48" s="4" t="s">
        <v>204</v>
      </c>
      <c r="I48" s="12"/>
      <c r="J48" s="12"/>
      <c r="K48" s="12"/>
      <c r="L48" s="12"/>
      <c r="M48" s="51"/>
      <c r="N48" s="12"/>
      <c r="O48" s="12"/>
      <c r="P48" s="12"/>
      <c r="Q48" s="12"/>
      <c r="R48" s="7"/>
      <c r="S48" s="7"/>
      <c r="T48" s="7"/>
      <c r="U48" s="12"/>
      <c r="V48" s="12"/>
      <c r="W48" s="7"/>
      <c r="X48" s="12"/>
      <c r="Y48" s="7"/>
      <c r="Z48" s="7"/>
      <c r="AA48" s="7"/>
      <c r="AB48" s="7"/>
      <c r="AC48" s="7"/>
      <c r="AD48" s="4"/>
      <c r="AE48" s="4"/>
      <c r="AF48" s="4"/>
      <c r="AG48" s="4"/>
      <c r="AH48" s="9" t="s">
        <v>205</v>
      </c>
      <c r="AI48" s="9" t="s">
        <v>64</v>
      </c>
      <c r="AJ48" s="9"/>
      <c r="AK48" s="9" t="s">
        <v>30</v>
      </c>
      <c r="AL48" s="10"/>
      <c r="AM48" s="10"/>
      <c r="AN48" s="10"/>
      <c r="AO48" s="10"/>
      <c r="AP48" s="10"/>
      <c r="AQ48" s="11">
        <v>1</v>
      </c>
      <c r="AR48" s="4"/>
      <c r="AS48" s="10" t="s">
        <v>857</v>
      </c>
      <c r="AT48" s="10"/>
      <c r="AU48" s="10"/>
      <c r="AV48" s="10"/>
      <c r="AW48" s="10"/>
      <c r="AX48" s="10"/>
      <c r="AY48" s="10"/>
      <c r="AZ48" s="10"/>
      <c r="BA48" s="10"/>
      <c r="BB48" s="10"/>
      <c r="BC48" s="10"/>
      <c r="BD48" s="10"/>
      <c r="BE48" s="10"/>
      <c r="BF48" s="10"/>
    </row>
    <row r="49" spans="1:58" ht="195" x14ac:dyDescent="0.25">
      <c r="A49" s="4" t="s">
        <v>209</v>
      </c>
      <c r="B49" s="4" t="s">
        <v>1266</v>
      </c>
      <c r="C49" s="4" t="s">
        <v>22</v>
      </c>
      <c r="D49" s="4" t="s">
        <v>33</v>
      </c>
      <c r="E49" s="5" t="s">
        <v>24</v>
      </c>
      <c r="F49" s="4"/>
      <c r="G49" s="4" t="s">
        <v>35</v>
      </c>
      <c r="H49" s="49" t="s">
        <v>1116</v>
      </c>
      <c r="I49" s="12" t="s">
        <v>726</v>
      </c>
      <c r="J49" s="12">
        <v>14.966999999999999</v>
      </c>
      <c r="K49" s="12">
        <v>0.5</v>
      </c>
      <c r="L49" s="12" t="s">
        <v>727</v>
      </c>
      <c r="M49" s="51">
        <v>3.1099999999999999E-2</v>
      </c>
      <c r="N49" s="12">
        <v>0.5</v>
      </c>
      <c r="O49" s="12">
        <v>0</v>
      </c>
      <c r="P49" s="12">
        <v>0</v>
      </c>
      <c r="Q49" s="12">
        <v>0.75</v>
      </c>
      <c r="R49" s="12" t="s">
        <v>1115</v>
      </c>
      <c r="S49" s="8">
        <v>12</v>
      </c>
      <c r="T49" s="7">
        <v>0.25</v>
      </c>
      <c r="U49" s="12">
        <v>12.363252417177913</v>
      </c>
      <c r="V49" s="12">
        <v>12.363252417177913</v>
      </c>
      <c r="W49" s="7">
        <v>62.1</v>
      </c>
      <c r="X49" s="12">
        <v>1.268517382413088</v>
      </c>
      <c r="Y49" s="7" t="s">
        <v>210</v>
      </c>
      <c r="Z49" s="7">
        <v>9</v>
      </c>
      <c r="AA49" s="7">
        <v>1</v>
      </c>
      <c r="AB49" s="7">
        <f>1*10^7</f>
        <v>10000000</v>
      </c>
      <c r="AC49" s="7">
        <v>0.25</v>
      </c>
      <c r="AD49" s="4" t="s">
        <v>1154</v>
      </c>
      <c r="AE49" s="13">
        <f>SUM_CO2_Production/(0.84*2.27)*Crew_Size*Mission_Duration*8/60</f>
        <v>521.58590308369992</v>
      </c>
      <c r="AF49" s="13"/>
      <c r="AG49" s="4">
        <v>0.25</v>
      </c>
      <c r="AH49" s="9" t="s">
        <v>211</v>
      </c>
      <c r="AI49" s="9" t="s">
        <v>212</v>
      </c>
      <c r="AJ49" s="9"/>
      <c r="AK49" s="9" t="s">
        <v>30</v>
      </c>
      <c r="AL49" s="10" t="s">
        <v>213</v>
      </c>
      <c r="AM49" s="10" t="s">
        <v>214</v>
      </c>
      <c r="AN49" s="10" t="s">
        <v>215</v>
      </c>
      <c r="AO49" s="10" t="s">
        <v>1113</v>
      </c>
      <c r="AP49" s="10" t="s">
        <v>216</v>
      </c>
      <c r="AQ49" s="11" t="s">
        <v>217</v>
      </c>
      <c r="AR49" s="4" t="s">
        <v>218</v>
      </c>
      <c r="AS49" s="10" t="s">
        <v>850</v>
      </c>
      <c r="AT49" s="10" t="s">
        <v>1075</v>
      </c>
      <c r="AU49" s="10"/>
      <c r="AV49" s="10"/>
      <c r="AW49" s="10"/>
      <c r="AX49" s="10"/>
      <c r="AY49" s="10"/>
      <c r="AZ49" s="10"/>
      <c r="BA49" s="10"/>
      <c r="BB49" s="10"/>
      <c r="BC49" s="10">
        <v>293</v>
      </c>
      <c r="BD49" s="10">
        <v>101</v>
      </c>
      <c r="BE49" s="10"/>
      <c r="BF49" s="10"/>
    </row>
    <row r="50" spans="1:58" ht="105" hidden="1" x14ac:dyDescent="0.25">
      <c r="A50" s="4" t="s">
        <v>219</v>
      </c>
      <c r="B50" s="4"/>
      <c r="C50" s="4" t="s">
        <v>22</v>
      </c>
      <c r="D50" s="4" t="s">
        <v>23</v>
      </c>
      <c r="E50" s="5" t="s">
        <v>34</v>
      </c>
      <c r="F50" s="4" t="s">
        <v>25</v>
      </c>
      <c r="G50" s="4" t="s">
        <v>26</v>
      </c>
      <c r="H50" s="49" t="s">
        <v>1117</v>
      </c>
      <c r="I50" s="12">
        <v>4.1048999999999998</v>
      </c>
      <c r="J50" s="12">
        <f>technologies[[#This Row],[Mass
Literature]]</f>
        <v>4.1048999999999998</v>
      </c>
      <c r="K50" s="12">
        <v>0.75</v>
      </c>
      <c r="L50" s="12">
        <v>7.8230000000000001E-3</v>
      </c>
      <c r="M50" s="51">
        <f>technologies[[#This Row],[Volume
Literature]]</f>
        <v>7.8230000000000001E-3</v>
      </c>
      <c r="N50" s="12">
        <v>0.75</v>
      </c>
      <c r="O50" s="12">
        <v>0</v>
      </c>
      <c r="P50" s="12">
        <v>0</v>
      </c>
      <c r="Q50" s="12">
        <v>0.75</v>
      </c>
      <c r="R50" s="12">
        <v>0</v>
      </c>
      <c r="S50" s="7">
        <v>0</v>
      </c>
      <c r="T50" s="7">
        <v>0.75</v>
      </c>
      <c r="U50" s="12"/>
      <c r="V50" s="12"/>
      <c r="W50" s="7"/>
      <c r="X50" s="12"/>
      <c r="Y50" s="7"/>
      <c r="Z50" s="7"/>
      <c r="AA50" s="7"/>
      <c r="AB50" s="7">
        <v>241000</v>
      </c>
      <c r="AC50" s="7"/>
      <c r="AD50" s="4"/>
      <c r="AE50" s="4"/>
      <c r="AF50" s="4"/>
      <c r="AG50" s="4"/>
      <c r="AH50" s="9" t="s">
        <v>28</v>
      </c>
      <c r="AI50" s="9" t="s">
        <v>29</v>
      </c>
      <c r="AJ50" s="9"/>
      <c r="AK50" s="9" t="s">
        <v>30</v>
      </c>
      <c r="AL50" s="10"/>
      <c r="AM50" s="10"/>
      <c r="AN50" s="10"/>
      <c r="AO50" s="10"/>
      <c r="AP50" s="10"/>
      <c r="AQ50" s="11" t="s">
        <v>114</v>
      </c>
      <c r="AR50" s="4" t="s">
        <v>32</v>
      </c>
      <c r="AS50" s="10" t="s">
        <v>850</v>
      </c>
      <c r="AT50" s="10"/>
      <c r="AU50" s="10"/>
      <c r="AV50" s="10"/>
      <c r="AW50" s="10"/>
      <c r="AX50" s="10"/>
      <c r="AY50" s="10"/>
      <c r="AZ50" s="10"/>
      <c r="BA50" s="10"/>
      <c r="BB50" s="10"/>
      <c r="BC50" s="10">
        <f>63+273</f>
        <v>336</v>
      </c>
      <c r="BD50" s="10"/>
      <c r="BE50" s="10"/>
      <c r="BF50" s="10"/>
    </row>
    <row r="51" spans="1:58" ht="90" x14ac:dyDescent="0.25">
      <c r="A51" s="4" t="s">
        <v>224</v>
      </c>
      <c r="B51" s="4" t="s">
        <v>1453</v>
      </c>
      <c r="C51" s="4" t="s">
        <v>22</v>
      </c>
      <c r="D51" s="4" t="s">
        <v>101</v>
      </c>
      <c r="E51" s="5" t="s">
        <v>34</v>
      </c>
      <c r="F51" s="4"/>
      <c r="G51" s="4" t="s">
        <v>35</v>
      </c>
      <c r="H51" s="49" t="s">
        <v>225</v>
      </c>
      <c r="I51" s="12" t="s">
        <v>728</v>
      </c>
      <c r="J51" s="12">
        <f>54.7483</f>
        <v>54.7483</v>
      </c>
      <c r="K51" s="12">
        <v>1</v>
      </c>
      <c r="L51" s="12" t="s">
        <v>729</v>
      </c>
      <c r="M51" s="51">
        <f>0.43896</f>
        <v>0.43896000000000002</v>
      </c>
      <c r="N51" s="12">
        <v>1</v>
      </c>
      <c r="O51" s="12" t="s">
        <v>1132</v>
      </c>
      <c r="P51" s="12">
        <f>103.5</f>
        <v>103.5</v>
      </c>
      <c r="Q51" s="12">
        <v>0.75</v>
      </c>
      <c r="R51" s="12" t="s">
        <v>1133</v>
      </c>
      <c r="S51" s="12">
        <f>103.5</f>
        <v>103.5</v>
      </c>
      <c r="T51" s="12">
        <v>1</v>
      </c>
      <c r="U51" s="12">
        <v>33.943945999999997</v>
      </c>
      <c r="V51" s="12">
        <v>33.943945999999997</v>
      </c>
      <c r="W51" s="7"/>
      <c r="X51" s="12"/>
      <c r="Y51" s="7"/>
      <c r="Z51" s="7">
        <v>9</v>
      </c>
      <c r="AA51" s="7">
        <v>1</v>
      </c>
      <c r="AB51" s="7"/>
      <c r="AC51" s="7"/>
      <c r="AD51" s="4" t="s">
        <v>227</v>
      </c>
      <c r="AE51" s="4"/>
      <c r="AF51" s="4"/>
      <c r="AG51" s="4"/>
      <c r="AH51" s="9"/>
      <c r="AI51" s="9"/>
      <c r="AJ51" s="9"/>
      <c r="AK51" s="9" t="s">
        <v>30</v>
      </c>
      <c r="AL51" s="10"/>
      <c r="AM51" s="10"/>
      <c r="AN51" s="10"/>
      <c r="AO51" s="10"/>
      <c r="AP51" s="10"/>
      <c r="AQ51" s="11" t="s">
        <v>228</v>
      </c>
      <c r="AR51" s="4" t="s">
        <v>32</v>
      </c>
      <c r="AS51" s="10" t="s">
        <v>857</v>
      </c>
      <c r="AT51" s="10"/>
      <c r="AU51" s="10"/>
      <c r="AV51" s="10"/>
      <c r="AW51" s="10"/>
      <c r="AX51" s="10"/>
      <c r="AY51" s="10"/>
      <c r="AZ51" s="10"/>
      <c r="BA51" s="10"/>
      <c r="BB51" s="10"/>
      <c r="BC51" s="10" t="s">
        <v>226</v>
      </c>
      <c r="BD51" s="10" t="s">
        <v>1134</v>
      </c>
      <c r="BE51" s="10"/>
      <c r="BF51" s="10"/>
    </row>
    <row r="52" spans="1:58" ht="240" x14ac:dyDescent="0.25">
      <c r="A52" s="4" t="s">
        <v>233</v>
      </c>
      <c r="B52" s="4" t="s">
        <v>1464</v>
      </c>
      <c r="C52" s="4" t="s">
        <v>22</v>
      </c>
      <c r="D52" s="4" t="s">
        <v>33</v>
      </c>
      <c r="E52" s="5" t="s">
        <v>34</v>
      </c>
      <c r="F52" s="4"/>
      <c r="G52" s="4" t="s">
        <v>35</v>
      </c>
      <c r="H52" s="49" t="s">
        <v>1084</v>
      </c>
      <c r="I52" s="12">
        <f>(56*14.5+47.627*14)</f>
        <v>1478.778</v>
      </c>
      <c r="J52" s="12">
        <f>(56*14.5+47.627*14)/100</f>
        <v>14.78778</v>
      </c>
      <c r="K52" s="12">
        <v>0.75</v>
      </c>
      <c r="L52" s="12">
        <f>56*8/1000+0.166*14</f>
        <v>2.7720000000000002</v>
      </c>
      <c r="M52" s="51">
        <f>technologies[[#This Row],[Volume
Literature]]/100</f>
        <v>2.7720000000000002E-2</v>
      </c>
      <c r="N52" s="12">
        <v>0.5</v>
      </c>
      <c r="O52" s="12"/>
      <c r="P52" s="12">
        <f>technologies[[#This Row],[Power]]</f>
        <v>140</v>
      </c>
      <c r="Q52" s="12">
        <v>0.5</v>
      </c>
      <c r="R52" s="12">
        <f>1000*14</f>
        <v>14000</v>
      </c>
      <c r="S52" s="12">
        <f>technologies[[#This Row],[Power required
Literature]]/100</f>
        <v>140</v>
      </c>
      <c r="T52" s="12">
        <v>0.75</v>
      </c>
      <c r="U52" s="12">
        <v>11.830224000000001</v>
      </c>
      <c r="V52" s="12">
        <v>11.830224000000001</v>
      </c>
      <c r="W52" s="7"/>
      <c r="X52" s="12"/>
      <c r="Y52" s="7">
        <v>9</v>
      </c>
      <c r="Z52" s="7">
        <v>9</v>
      </c>
      <c r="AA52" s="7">
        <v>0.25</v>
      </c>
      <c r="AB52" s="7"/>
      <c r="AC52" s="7"/>
      <c r="AD52" s="49" t="s">
        <v>1155</v>
      </c>
      <c r="AE52" s="4">
        <f>2*4*14/14/60*365*24</f>
        <v>1168</v>
      </c>
      <c r="AF52" s="4"/>
      <c r="AG52" s="4">
        <v>0.5</v>
      </c>
      <c r="AH52" s="9" t="s">
        <v>235</v>
      </c>
      <c r="AI52" s="9" t="s">
        <v>236</v>
      </c>
      <c r="AJ52" s="9"/>
      <c r="AK52" s="9" t="s">
        <v>30</v>
      </c>
      <c r="AL52" s="10"/>
      <c r="AM52" s="10"/>
      <c r="AN52" s="10"/>
      <c r="AO52" s="10"/>
      <c r="AP52" s="10"/>
      <c r="AQ52" s="11" t="s">
        <v>237</v>
      </c>
      <c r="AR52" s="4"/>
      <c r="AS52" s="10"/>
      <c r="AT52" s="10" t="s">
        <v>1075</v>
      </c>
      <c r="AU52" s="10"/>
      <c r="AV52" s="10"/>
      <c r="AW52" s="10"/>
      <c r="AX52" s="10"/>
      <c r="AY52" s="10"/>
      <c r="AZ52" s="10"/>
      <c r="BA52" s="10"/>
      <c r="BB52" s="10"/>
      <c r="BC52" s="10" t="s">
        <v>234</v>
      </c>
      <c r="BD52" s="10"/>
      <c r="BE52" s="10"/>
      <c r="BF52" s="10"/>
    </row>
    <row r="53" spans="1:58" ht="105" x14ac:dyDescent="0.25">
      <c r="A53" s="4" t="s">
        <v>957</v>
      </c>
      <c r="B53" s="4"/>
      <c r="C53" s="4" t="s">
        <v>22</v>
      </c>
      <c r="D53" s="4" t="s">
        <v>101</v>
      </c>
      <c r="E53" s="5" t="s">
        <v>24</v>
      </c>
      <c r="F53" s="4"/>
      <c r="G53" s="4" t="s">
        <v>35</v>
      </c>
      <c r="H53" s="49" t="s">
        <v>994</v>
      </c>
      <c r="I53" s="12">
        <v>100</v>
      </c>
      <c r="J53" s="12">
        <f>100*2/Crew_Size</f>
        <v>50</v>
      </c>
      <c r="K53" s="12">
        <v>0.25</v>
      </c>
      <c r="L53" s="12">
        <v>0.27</v>
      </c>
      <c r="M53" s="51">
        <f>technologies[[#This Row],[Volume
Literature]]*2/Crew_Size</f>
        <v>0.13500000000000001</v>
      </c>
      <c r="N53" s="12">
        <v>0.25</v>
      </c>
      <c r="O53" s="12"/>
      <c r="P53" s="12">
        <f>technologies[[#This Row],[Power]]</f>
        <v>25</v>
      </c>
      <c r="Q53" s="12">
        <v>0</v>
      </c>
      <c r="R53" s="12"/>
      <c r="S53" s="12">
        <f>100/Crew_Size</f>
        <v>25</v>
      </c>
      <c r="T53" s="12">
        <v>0</v>
      </c>
      <c r="U53" s="12">
        <v>124</v>
      </c>
      <c r="V53" s="12">
        <v>124</v>
      </c>
      <c r="W53" s="7"/>
      <c r="X53" s="12"/>
      <c r="Y53" s="7"/>
      <c r="Z53" s="7">
        <v>7</v>
      </c>
      <c r="AA53" s="7">
        <v>0.25</v>
      </c>
      <c r="AB53" s="7"/>
      <c r="AC53" s="7"/>
      <c r="AD53" s="4" t="s">
        <v>238</v>
      </c>
      <c r="AE53" s="13">
        <f>2</f>
        <v>2</v>
      </c>
      <c r="AF53" s="13"/>
      <c r="AG53" s="4">
        <v>0.75</v>
      </c>
      <c r="AH53" s="9"/>
      <c r="AI53" s="9"/>
      <c r="AJ53" s="9"/>
      <c r="AK53" s="9" t="s">
        <v>30</v>
      </c>
      <c r="AL53" s="10"/>
      <c r="AM53" s="10"/>
      <c r="AN53" s="10"/>
      <c r="AO53" s="10"/>
      <c r="AP53" s="10"/>
      <c r="AQ53" s="11" t="s">
        <v>239</v>
      </c>
      <c r="AR53" s="4" t="s">
        <v>32</v>
      </c>
      <c r="AS53" s="10" t="s">
        <v>865</v>
      </c>
      <c r="AT53" s="10"/>
      <c r="AU53" s="10"/>
      <c r="AV53" s="10"/>
      <c r="AW53" s="10"/>
      <c r="AX53" s="10"/>
      <c r="AY53" s="10"/>
      <c r="AZ53" s="10"/>
      <c r="BA53" s="10"/>
      <c r="BB53" s="10"/>
      <c r="BC53" s="10"/>
      <c r="BD53" s="10"/>
      <c r="BE53" s="10"/>
      <c r="BF53" s="10"/>
    </row>
    <row r="54" spans="1:58" ht="240" x14ac:dyDescent="0.25">
      <c r="A54" s="4" t="s">
        <v>973</v>
      </c>
      <c r="B54" s="4" t="s">
        <v>1465</v>
      </c>
      <c r="C54" s="4" t="s">
        <v>22</v>
      </c>
      <c r="D54" s="4" t="s">
        <v>33</v>
      </c>
      <c r="E54" s="5" t="s">
        <v>34</v>
      </c>
      <c r="F54" s="4"/>
      <c r="G54" s="4" t="s">
        <v>35</v>
      </c>
      <c r="H54" s="49" t="s">
        <v>1125</v>
      </c>
      <c r="I54" s="12" t="s">
        <v>730</v>
      </c>
      <c r="J54" s="12">
        <v>39.5</v>
      </c>
      <c r="K54" s="12">
        <v>0.75</v>
      </c>
      <c r="L54" s="12" t="s">
        <v>731</v>
      </c>
      <c r="M54" s="51">
        <v>8.666666666666667E-2</v>
      </c>
      <c r="N54" s="12">
        <v>0.75</v>
      </c>
      <c r="O54" s="12"/>
      <c r="P54" s="12">
        <v>76.666666666666657</v>
      </c>
      <c r="Q54" s="12">
        <v>0.5</v>
      </c>
      <c r="R54" s="12" t="s">
        <v>244</v>
      </c>
      <c r="S54" s="12">
        <v>76.666666666666657</v>
      </c>
      <c r="T54" s="12">
        <v>0.75</v>
      </c>
      <c r="U54" s="12">
        <v>39.5</v>
      </c>
      <c r="V54" s="12">
        <v>39.5</v>
      </c>
      <c r="W54" s="7">
        <v>90</v>
      </c>
      <c r="X54" s="12">
        <v>6.6666666666666662E-3</v>
      </c>
      <c r="Y54" s="7" t="s">
        <v>246</v>
      </c>
      <c r="Z54" s="7">
        <v>4</v>
      </c>
      <c r="AA54" s="7">
        <v>0.75</v>
      </c>
      <c r="AB54" s="7"/>
      <c r="AC54" s="7"/>
      <c r="AD54" s="4"/>
      <c r="AE54" s="4"/>
      <c r="AF54" s="4"/>
      <c r="AG54" s="4"/>
      <c r="AH54" s="9" t="s">
        <v>247</v>
      </c>
      <c r="AI54" s="9" t="s">
        <v>248</v>
      </c>
      <c r="AJ54" s="9"/>
      <c r="AK54" s="9" t="s">
        <v>30</v>
      </c>
      <c r="AL54" s="10"/>
      <c r="AM54" s="10"/>
      <c r="AN54" s="10"/>
      <c r="AO54" s="10"/>
      <c r="AP54" s="10"/>
      <c r="AQ54" s="11" t="s">
        <v>249</v>
      </c>
      <c r="AR54" s="4"/>
      <c r="AS54" s="10" t="s">
        <v>850</v>
      </c>
      <c r="AT54" s="10" t="s">
        <v>897</v>
      </c>
      <c r="AU54" s="10" t="s">
        <v>1075</v>
      </c>
      <c r="AV54" s="10" t="s">
        <v>899</v>
      </c>
      <c r="AW54" s="10"/>
      <c r="AX54" s="10"/>
      <c r="AY54" s="10"/>
      <c r="AZ54" s="10"/>
      <c r="BA54" s="10"/>
      <c r="BB54" s="10"/>
      <c r="BC54" s="10" t="s">
        <v>245</v>
      </c>
      <c r="BD54" s="10" t="s">
        <v>1094</v>
      </c>
      <c r="BE54" s="10"/>
      <c r="BF54" s="10"/>
    </row>
    <row r="55" spans="1:58" ht="345" x14ac:dyDescent="0.25">
      <c r="A55" s="4" t="s">
        <v>1085</v>
      </c>
      <c r="B55" s="4" t="s">
        <v>1466</v>
      </c>
      <c r="C55" s="4" t="s">
        <v>22</v>
      </c>
      <c r="D55" s="4" t="s">
        <v>33</v>
      </c>
      <c r="E55" s="5" t="s">
        <v>34</v>
      </c>
      <c r="F55" s="4"/>
      <c r="G55" s="4" t="s">
        <v>35</v>
      </c>
      <c r="H55" s="49" t="s">
        <v>995</v>
      </c>
      <c r="I55" s="12" t="s">
        <v>1203</v>
      </c>
      <c r="J55" s="12">
        <f>195.4/6</f>
        <v>32.56666666666667</v>
      </c>
      <c r="K55" s="12">
        <v>1</v>
      </c>
      <c r="L55" s="12" t="s">
        <v>732</v>
      </c>
      <c r="M55" s="51">
        <f>0.39/6</f>
        <v>6.5000000000000002E-2</v>
      </c>
      <c r="N55" s="12">
        <v>1</v>
      </c>
      <c r="O55" s="12" t="s">
        <v>1086</v>
      </c>
      <c r="P55" s="12">
        <f>860/6</f>
        <v>143.33333333333334</v>
      </c>
      <c r="Q55" s="12">
        <v>0.75</v>
      </c>
      <c r="R55" s="12" t="s">
        <v>250</v>
      </c>
      <c r="S55" s="12">
        <f>860/6</f>
        <v>143.33333333333334</v>
      </c>
      <c r="T55" s="12">
        <v>0.75</v>
      </c>
      <c r="U55" s="12">
        <v>0</v>
      </c>
      <c r="V55" s="12">
        <v>50.67562920000001</v>
      </c>
      <c r="W55" s="7" t="s">
        <v>252</v>
      </c>
      <c r="X55" s="12">
        <v>6.0999999999999999E-2</v>
      </c>
      <c r="Y55" s="7" t="s">
        <v>253</v>
      </c>
      <c r="Z55" s="7">
        <v>9</v>
      </c>
      <c r="AA55" s="7">
        <v>1</v>
      </c>
      <c r="AB55" s="8">
        <f>1/(1/156200+1/129700+1/100000+1/77100+1/242700+1/129700+1/2272000+1/117000+1/77100)</f>
        <v>14110.333149554977</v>
      </c>
      <c r="AC55" s="7">
        <v>0.75</v>
      </c>
      <c r="AD55" s="4" t="s">
        <v>1148</v>
      </c>
      <c r="AE55" s="13"/>
      <c r="AF55" s="13">
        <v>2.7</v>
      </c>
      <c r="AG55" s="4">
        <v>0.75</v>
      </c>
      <c r="AH55" s="9"/>
      <c r="AI55" s="9"/>
      <c r="AJ55" s="9"/>
      <c r="AK55" s="9" t="s">
        <v>30</v>
      </c>
      <c r="AL55" s="10"/>
      <c r="AM55" s="10" t="s">
        <v>254</v>
      </c>
      <c r="AN55" s="10" t="s">
        <v>255</v>
      </c>
      <c r="AO55" s="10" t="s">
        <v>254</v>
      </c>
      <c r="AP55" s="10" t="s">
        <v>256</v>
      </c>
      <c r="AQ55" s="11" t="s">
        <v>257</v>
      </c>
      <c r="AR55" s="4" t="s">
        <v>258</v>
      </c>
      <c r="AS55" s="10"/>
      <c r="AT55" s="10" t="s">
        <v>1075</v>
      </c>
      <c r="AU55" s="10"/>
      <c r="AV55" s="10"/>
      <c r="AW55" s="10"/>
      <c r="AX55" s="10"/>
      <c r="AY55" s="10"/>
      <c r="AZ55" s="10"/>
      <c r="BA55" s="10"/>
      <c r="BB55" s="10"/>
      <c r="BC55" s="10" t="s">
        <v>251</v>
      </c>
      <c r="BD55" s="10" t="s">
        <v>1091</v>
      </c>
      <c r="BE55" s="10"/>
      <c r="BF55" s="10"/>
    </row>
    <row r="56" spans="1:58" ht="375" x14ac:dyDescent="0.25">
      <c r="A56" s="4" t="s">
        <v>259</v>
      </c>
      <c r="B56" s="4" t="s">
        <v>25</v>
      </c>
      <c r="C56" s="4" t="s">
        <v>22</v>
      </c>
      <c r="D56" s="4" t="s">
        <v>23</v>
      </c>
      <c r="E56" s="5" t="s">
        <v>24</v>
      </c>
      <c r="F56" s="4"/>
      <c r="G56" s="4" t="s">
        <v>35</v>
      </c>
      <c r="H56" s="49" t="s">
        <v>260</v>
      </c>
      <c r="I56" s="12" t="s">
        <v>733</v>
      </c>
      <c r="J56" s="12">
        <v>79.831800000000001</v>
      </c>
      <c r="K56" s="12">
        <v>1</v>
      </c>
      <c r="L56" s="12" t="s">
        <v>734</v>
      </c>
      <c r="M56" s="51">
        <f>0.271866</f>
        <v>0.271866</v>
      </c>
      <c r="N56" s="12">
        <v>1</v>
      </c>
      <c r="O56" s="12" t="s">
        <v>1093</v>
      </c>
      <c r="P56" s="12">
        <f>130</f>
        <v>130</v>
      </c>
      <c r="Q56" s="12">
        <v>1</v>
      </c>
      <c r="R56" s="12" t="s">
        <v>1092</v>
      </c>
      <c r="S56" s="12">
        <f>180</f>
        <v>180</v>
      </c>
      <c r="T56" s="12">
        <v>1</v>
      </c>
      <c r="U56" s="12">
        <v>49.495716000000002</v>
      </c>
      <c r="V56" s="12">
        <v>49.495716000000002</v>
      </c>
      <c r="W56" s="7"/>
      <c r="X56" s="12">
        <v>6.6027397260273971E-2</v>
      </c>
      <c r="Y56" s="7" t="s">
        <v>262</v>
      </c>
      <c r="Z56" s="7">
        <v>9</v>
      </c>
      <c r="AA56" s="7">
        <v>1</v>
      </c>
      <c r="AB56" s="8">
        <f>1/(1/215000+1/121500+1/89500+1/483000+1/936000+1/241000)</f>
        <v>31905.104662908674</v>
      </c>
      <c r="AC56" s="7">
        <v>0.75</v>
      </c>
      <c r="AD56" s="4" t="s">
        <v>1131</v>
      </c>
      <c r="AE56" s="13"/>
      <c r="AF56" s="13">
        <f>4.37</f>
        <v>4.37</v>
      </c>
      <c r="AG56" s="4">
        <v>0.75</v>
      </c>
      <c r="AH56" s="9" t="s">
        <v>263</v>
      </c>
      <c r="AI56" s="9" t="s">
        <v>264</v>
      </c>
      <c r="AJ56" s="9" t="s">
        <v>265</v>
      </c>
      <c r="AK56" s="9" t="s">
        <v>30</v>
      </c>
      <c r="AL56" s="10"/>
      <c r="AM56" s="10" t="s">
        <v>266</v>
      </c>
      <c r="AN56" s="10" t="s">
        <v>267</v>
      </c>
      <c r="AO56" s="10"/>
      <c r="AP56" s="10" t="s">
        <v>268</v>
      </c>
      <c r="AQ56" s="11" t="s">
        <v>269</v>
      </c>
      <c r="AR56" s="4" t="s">
        <v>32</v>
      </c>
      <c r="AS56" s="10" t="s">
        <v>849</v>
      </c>
      <c r="AT56" s="10"/>
      <c r="AU56" s="10"/>
      <c r="AV56" s="10"/>
      <c r="AW56" s="10"/>
      <c r="AX56" s="10"/>
      <c r="AY56" s="10"/>
      <c r="AZ56" s="10"/>
      <c r="BA56" s="10"/>
      <c r="BB56" s="10"/>
      <c r="BC56" s="10" t="s">
        <v>261</v>
      </c>
      <c r="BD56" s="10">
        <v>101</v>
      </c>
      <c r="BE56" s="10"/>
      <c r="BF56" s="10"/>
    </row>
    <row r="57" spans="1:58" ht="60" hidden="1" x14ac:dyDescent="0.25">
      <c r="A57" s="4" t="s">
        <v>291</v>
      </c>
      <c r="B57" s="4"/>
      <c r="C57" s="4" t="s">
        <v>22</v>
      </c>
      <c r="D57" s="4" t="s">
        <v>292</v>
      </c>
      <c r="E57" s="5" t="s">
        <v>24</v>
      </c>
      <c r="F57" s="6"/>
      <c r="G57" s="4" t="s">
        <v>26</v>
      </c>
      <c r="H57" s="49" t="s">
        <v>996</v>
      </c>
      <c r="I57" s="12"/>
      <c r="J57" s="12"/>
      <c r="K57" s="12"/>
      <c r="L57" s="12"/>
      <c r="M57" s="51"/>
      <c r="N57" s="12"/>
      <c r="O57" s="12"/>
      <c r="P57" s="12"/>
      <c r="Q57" s="12"/>
      <c r="R57" s="12"/>
      <c r="S57" s="12"/>
      <c r="T57" s="12"/>
      <c r="U57" s="12"/>
      <c r="V57" s="12"/>
      <c r="W57" s="7"/>
      <c r="X57" s="12"/>
      <c r="Y57" s="7"/>
      <c r="Z57" s="7"/>
      <c r="AA57" s="7"/>
      <c r="AB57" s="7"/>
      <c r="AC57" s="7"/>
      <c r="AD57" s="4"/>
      <c r="AE57" s="4"/>
      <c r="AF57" s="4"/>
      <c r="AG57" s="4"/>
      <c r="AH57" s="9"/>
      <c r="AI57" s="9" t="s">
        <v>293</v>
      </c>
      <c r="AJ57" s="9"/>
      <c r="AK57" s="9" t="s">
        <v>294</v>
      </c>
      <c r="AL57" s="10" t="s">
        <v>295</v>
      </c>
      <c r="AM57" s="10"/>
      <c r="AN57" s="10"/>
      <c r="AO57" s="10"/>
      <c r="AP57" s="10"/>
      <c r="AQ57" s="11">
        <v>1</v>
      </c>
      <c r="AR57" s="4"/>
      <c r="AS57" s="10"/>
      <c r="AT57" s="10"/>
      <c r="AU57" s="10"/>
      <c r="AV57" s="10"/>
      <c r="AW57" s="10"/>
      <c r="AX57" s="10"/>
      <c r="AY57" s="10"/>
      <c r="AZ57" s="10"/>
      <c r="BA57" s="10"/>
      <c r="BB57" s="10"/>
      <c r="BC57" s="10"/>
      <c r="BD57" s="10"/>
      <c r="BE57" s="10"/>
      <c r="BF57" s="10"/>
    </row>
    <row r="58" spans="1:58" ht="135" hidden="1" x14ac:dyDescent="0.25">
      <c r="A58" s="4" t="s">
        <v>296</v>
      </c>
      <c r="B58" s="4"/>
      <c r="C58" s="4" t="s">
        <v>22</v>
      </c>
      <c r="D58" s="4" t="s">
        <v>292</v>
      </c>
      <c r="E58" s="5" t="s">
        <v>24</v>
      </c>
      <c r="F58" s="6"/>
      <c r="G58" s="4" t="s">
        <v>26</v>
      </c>
      <c r="H58" s="49" t="s">
        <v>997</v>
      </c>
      <c r="I58" s="12"/>
      <c r="J58" s="12"/>
      <c r="K58" s="12"/>
      <c r="L58" s="12"/>
      <c r="M58" s="51"/>
      <c r="N58" s="12"/>
      <c r="O58" s="12"/>
      <c r="P58" s="12"/>
      <c r="Q58" s="12"/>
      <c r="R58" s="12"/>
      <c r="S58" s="12"/>
      <c r="T58" s="12"/>
      <c r="U58" s="12"/>
      <c r="V58" s="12"/>
      <c r="W58" s="7"/>
      <c r="X58" s="12"/>
      <c r="Y58" s="7"/>
      <c r="Z58" s="7"/>
      <c r="AA58" s="7"/>
      <c r="AB58" s="7"/>
      <c r="AC58" s="7"/>
      <c r="AD58" s="4"/>
      <c r="AE58" s="4"/>
      <c r="AF58" s="4"/>
      <c r="AG58" s="4"/>
      <c r="AH58" s="9" t="s">
        <v>297</v>
      </c>
      <c r="AI58" s="9" t="s">
        <v>298</v>
      </c>
      <c r="AJ58" s="9"/>
      <c r="AK58" s="9" t="s">
        <v>299</v>
      </c>
      <c r="AL58" s="10" t="s">
        <v>300</v>
      </c>
      <c r="AM58" s="10"/>
      <c r="AN58" s="10"/>
      <c r="AO58" s="10"/>
      <c r="AP58" s="10"/>
      <c r="AQ58" s="11">
        <v>1</v>
      </c>
      <c r="AR58" s="4"/>
      <c r="AS58" s="10"/>
      <c r="AT58" s="10"/>
      <c r="AU58" s="10" t="s">
        <v>861</v>
      </c>
      <c r="AV58" s="10"/>
      <c r="AW58" s="10"/>
      <c r="AX58" s="10"/>
      <c r="AY58" s="10"/>
      <c r="AZ58" s="10"/>
      <c r="BA58" s="10"/>
      <c r="BB58" s="10"/>
      <c r="BC58" s="10">
        <v>1005</v>
      </c>
      <c r="BD58" s="10" t="s">
        <v>1090</v>
      </c>
      <c r="BE58" s="10"/>
      <c r="BF58" s="10"/>
    </row>
    <row r="59" spans="1:58" ht="30" hidden="1" x14ac:dyDescent="0.25">
      <c r="A59" s="4" t="s">
        <v>308</v>
      </c>
      <c r="B59" s="4"/>
      <c r="C59" s="4" t="s">
        <v>22</v>
      </c>
      <c r="D59" s="4" t="s">
        <v>23</v>
      </c>
      <c r="E59" s="5" t="s">
        <v>34</v>
      </c>
      <c r="F59" s="4" t="s">
        <v>200</v>
      </c>
      <c r="G59" s="4" t="s">
        <v>26</v>
      </c>
      <c r="H59" s="4"/>
      <c r="I59" s="12">
        <v>34.2468</v>
      </c>
      <c r="J59" s="12"/>
      <c r="K59" s="12"/>
      <c r="L59" s="12"/>
      <c r="M59" s="51"/>
      <c r="N59" s="12"/>
      <c r="O59" s="12"/>
      <c r="P59" s="12"/>
      <c r="Q59" s="12"/>
      <c r="R59" s="12"/>
      <c r="S59" s="12"/>
      <c r="T59" s="12"/>
      <c r="U59" s="12"/>
      <c r="V59" s="12"/>
      <c r="W59" s="7"/>
      <c r="X59" s="12"/>
      <c r="Y59" s="7"/>
      <c r="Z59" s="7"/>
      <c r="AA59" s="7"/>
      <c r="AB59" s="7">
        <v>138408</v>
      </c>
      <c r="AC59" s="7"/>
      <c r="AD59" s="4"/>
      <c r="AE59" s="4"/>
      <c r="AF59" s="4"/>
      <c r="AG59" s="4"/>
      <c r="AH59" s="9"/>
      <c r="AI59" s="9"/>
      <c r="AJ59" s="9"/>
      <c r="AK59" s="9" t="s">
        <v>30</v>
      </c>
      <c r="AL59" s="10"/>
      <c r="AM59" s="10"/>
      <c r="AN59" s="10"/>
      <c r="AO59" s="10"/>
      <c r="AP59" s="10"/>
      <c r="AQ59" s="11">
        <v>10</v>
      </c>
      <c r="AR59" s="4" t="s">
        <v>32</v>
      </c>
      <c r="AS59" s="10" t="s">
        <v>860</v>
      </c>
      <c r="AT59" s="10"/>
      <c r="AU59" s="10"/>
      <c r="AV59" s="10"/>
      <c r="AW59" s="10"/>
      <c r="AX59" s="10"/>
      <c r="AY59" s="10"/>
      <c r="AZ59" s="10"/>
      <c r="BA59" s="10"/>
      <c r="BB59" s="10"/>
      <c r="BC59" s="10"/>
      <c r="BD59" s="10"/>
      <c r="BE59" s="10"/>
      <c r="BF59" s="10"/>
    </row>
    <row r="60" spans="1:58" ht="60" hidden="1" x14ac:dyDescent="0.25">
      <c r="A60" s="4" t="s">
        <v>309</v>
      </c>
      <c r="B60" s="4"/>
      <c r="C60" s="4" t="s">
        <v>22</v>
      </c>
      <c r="D60" s="4" t="s">
        <v>33</v>
      </c>
      <c r="E60" s="5" t="s">
        <v>34</v>
      </c>
      <c r="F60" s="6"/>
      <c r="G60" s="4" t="s">
        <v>26</v>
      </c>
      <c r="H60" s="4" t="s">
        <v>1070</v>
      </c>
      <c r="I60" s="12"/>
      <c r="J60" s="12"/>
      <c r="K60" s="12"/>
      <c r="L60" s="12"/>
      <c r="M60" s="51"/>
      <c r="N60" s="12"/>
      <c r="O60" s="12"/>
      <c r="P60" s="12"/>
      <c r="Q60" s="12"/>
      <c r="R60" s="12"/>
      <c r="S60" s="12"/>
      <c r="T60" s="12"/>
      <c r="U60" s="12"/>
      <c r="V60" s="12"/>
      <c r="W60" s="7"/>
      <c r="X60" s="12"/>
      <c r="Y60" s="7"/>
      <c r="Z60" s="7">
        <v>4</v>
      </c>
      <c r="AA60" s="7">
        <v>0</v>
      </c>
      <c r="AB60" s="7"/>
      <c r="AC60" s="7"/>
      <c r="AD60" s="4"/>
      <c r="AE60" s="4"/>
      <c r="AF60" s="4"/>
      <c r="AG60" s="4"/>
      <c r="AH60" s="9" t="s">
        <v>310</v>
      </c>
      <c r="AI60" s="9" t="s">
        <v>311</v>
      </c>
      <c r="AJ60" s="9"/>
      <c r="AK60" s="9" t="s">
        <v>30</v>
      </c>
      <c r="AL60" s="10"/>
      <c r="AM60" s="10"/>
      <c r="AN60" s="10"/>
      <c r="AO60" s="10"/>
      <c r="AP60" s="10"/>
      <c r="AQ60" s="11" t="s">
        <v>312</v>
      </c>
      <c r="AR60" s="4"/>
      <c r="AS60" s="10" t="s">
        <v>849</v>
      </c>
      <c r="AT60" s="10" t="s">
        <v>1075</v>
      </c>
      <c r="AU60" s="10"/>
      <c r="AV60" s="10"/>
      <c r="AW60" s="10"/>
      <c r="AX60" s="10"/>
      <c r="AY60" s="10"/>
      <c r="AZ60" s="10"/>
      <c r="BA60" s="10"/>
      <c r="BB60" s="10"/>
      <c r="BC60" s="10"/>
      <c r="BD60" s="10"/>
      <c r="BE60" s="10"/>
      <c r="BF60" s="10"/>
    </row>
    <row r="61" spans="1:58" ht="30" hidden="1" x14ac:dyDescent="0.25">
      <c r="A61" s="4" t="s">
        <v>326</v>
      </c>
      <c r="B61" s="4"/>
      <c r="C61" s="4" t="s">
        <v>22</v>
      </c>
      <c r="D61" s="4" t="s">
        <v>23</v>
      </c>
      <c r="E61" s="5" t="s">
        <v>34</v>
      </c>
      <c r="F61" s="4" t="s">
        <v>200</v>
      </c>
      <c r="G61" s="4" t="s">
        <v>26</v>
      </c>
      <c r="H61" s="4" t="s">
        <v>999</v>
      </c>
      <c r="I61" s="12">
        <v>48.1723</v>
      </c>
      <c r="J61" s="12">
        <v>48.1723</v>
      </c>
      <c r="K61" s="12"/>
      <c r="L61" s="12">
        <v>3.1151999999999999E-2</v>
      </c>
      <c r="M61" s="51"/>
      <c r="N61" s="12"/>
      <c r="O61" s="12"/>
      <c r="P61" s="12"/>
      <c r="Q61" s="12"/>
      <c r="R61" s="12"/>
      <c r="S61" s="12"/>
      <c r="T61" s="12"/>
      <c r="U61" s="12"/>
      <c r="V61" s="12"/>
      <c r="W61" s="7"/>
      <c r="X61" s="12"/>
      <c r="Y61" s="7"/>
      <c r="Z61" s="7"/>
      <c r="AA61" s="7"/>
      <c r="AB61" s="7">
        <v>98112</v>
      </c>
      <c r="AC61" s="7"/>
      <c r="AD61" s="4"/>
      <c r="AE61" s="4"/>
      <c r="AF61" s="4"/>
      <c r="AG61" s="4"/>
      <c r="AH61" s="9"/>
      <c r="AI61" s="9"/>
      <c r="AJ61" s="9"/>
      <c r="AK61" s="9" t="s">
        <v>30</v>
      </c>
      <c r="AL61" s="10"/>
      <c r="AM61" s="10"/>
      <c r="AN61" s="10"/>
      <c r="AO61" s="10"/>
      <c r="AP61" s="10"/>
      <c r="AQ61" s="11">
        <v>10</v>
      </c>
      <c r="AR61" s="4" t="s">
        <v>32</v>
      </c>
      <c r="AS61" s="10" t="s">
        <v>862</v>
      </c>
      <c r="AT61" s="10"/>
      <c r="AU61" s="10"/>
      <c r="AV61" s="10"/>
      <c r="AW61" s="10"/>
      <c r="AX61" s="10"/>
      <c r="AY61" s="10"/>
      <c r="AZ61" s="10"/>
      <c r="BA61" s="10"/>
      <c r="BB61" s="10"/>
      <c r="BC61" s="10"/>
      <c r="BD61" s="10"/>
      <c r="BE61" s="10"/>
      <c r="BF61" s="10"/>
    </row>
    <row r="62" spans="1:58" ht="30" hidden="1" x14ac:dyDescent="0.25">
      <c r="A62" s="4" t="s">
        <v>336</v>
      </c>
      <c r="B62" s="4"/>
      <c r="C62" s="4" t="s">
        <v>22</v>
      </c>
      <c r="D62" s="4" t="s">
        <v>23</v>
      </c>
      <c r="E62" s="5" t="s">
        <v>34</v>
      </c>
      <c r="F62" s="6" t="s">
        <v>200</v>
      </c>
      <c r="G62" s="4" t="s">
        <v>26</v>
      </c>
      <c r="H62" s="4" t="s">
        <v>1003</v>
      </c>
      <c r="I62" s="12">
        <v>42.638399999999997</v>
      </c>
      <c r="J62" s="12"/>
      <c r="K62" s="12"/>
      <c r="L62" s="12">
        <v>6.4852000000000007E-2</v>
      </c>
      <c r="M62" s="51"/>
      <c r="N62" s="12"/>
      <c r="O62" s="12"/>
      <c r="P62" s="12"/>
      <c r="Q62" s="12"/>
      <c r="R62" s="12"/>
      <c r="S62" s="12"/>
      <c r="T62" s="12"/>
      <c r="U62" s="12"/>
      <c r="V62" s="12"/>
      <c r="W62" s="7"/>
      <c r="X62" s="12"/>
      <c r="Y62" s="7"/>
      <c r="Z62" s="7"/>
      <c r="AA62" s="7"/>
      <c r="AB62" s="7">
        <v>47479</v>
      </c>
      <c r="AC62" s="7"/>
      <c r="AD62" s="4"/>
      <c r="AE62" s="4"/>
      <c r="AF62" s="4"/>
      <c r="AG62" s="4"/>
      <c r="AH62" s="9"/>
      <c r="AI62" s="9"/>
      <c r="AJ62" s="9"/>
      <c r="AK62" s="9" t="s">
        <v>30</v>
      </c>
      <c r="AL62" s="10"/>
      <c r="AM62" s="10"/>
      <c r="AN62" s="10"/>
      <c r="AO62" s="10"/>
      <c r="AP62" s="10"/>
      <c r="AQ62" s="11">
        <v>10</v>
      </c>
      <c r="AR62" s="4" t="s">
        <v>32</v>
      </c>
      <c r="AS62" s="10"/>
      <c r="AT62" s="10"/>
      <c r="AU62" s="10"/>
      <c r="AV62" s="10"/>
      <c r="AW62" s="10"/>
      <c r="AX62" s="10"/>
      <c r="AY62" s="10"/>
      <c r="AZ62" s="10"/>
      <c r="BA62" s="10"/>
      <c r="BB62" s="10"/>
      <c r="BC62" s="10"/>
      <c r="BD62" s="10"/>
      <c r="BE62" s="10"/>
      <c r="BF62" s="10"/>
    </row>
    <row r="63" spans="1:58" ht="30" hidden="1" x14ac:dyDescent="0.25">
      <c r="A63" s="4" t="s">
        <v>344</v>
      </c>
      <c r="B63" s="4"/>
      <c r="C63" s="4" t="s">
        <v>22</v>
      </c>
      <c r="D63" s="4" t="s">
        <v>23</v>
      </c>
      <c r="E63" s="5" t="s">
        <v>34</v>
      </c>
      <c r="F63" s="6" t="s">
        <v>200</v>
      </c>
      <c r="G63" s="4" t="s">
        <v>26</v>
      </c>
      <c r="H63" s="4" t="s">
        <v>1002</v>
      </c>
      <c r="I63" s="12">
        <v>47.083599999999997</v>
      </c>
      <c r="J63" s="12">
        <v>47.083599999999997</v>
      </c>
      <c r="K63" s="12"/>
      <c r="L63" s="12">
        <v>8.3826999999999999E-2</v>
      </c>
      <c r="M63" s="12">
        <v>8.3826999999999999E-2</v>
      </c>
      <c r="N63" s="12"/>
      <c r="O63" s="12"/>
      <c r="P63" s="12"/>
      <c r="Q63" s="12"/>
      <c r="R63" s="12"/>
      <c r="S63" s="12"/>
      <c r="T63" s="12"/>
      <c r="U63" s="12"/>
      <c r="V63" s="12"/>
      <c r="W63" s="7"/>
      <c r="X63" s="12"/>
      <c r="Y63" s="7"/>
      <c r="Z63" s="7"/>
      <c r="AA63" s="7"/>
      <c r="AB63" s="7">
        <v>103280</v>
      </c>
      <c r="AC63" s="7"/>
      <c r="AD63" s="4"/>
      <c r="AE63" s="4"/>
      <c r="AF63" s="4"/>
      <c r="AG63" s="4"/>
      <c r="AH63" s="9"/>
      <c r="AI63" s="9"/>
      <c r="AJ63" s="9"/>
      <c r="AK63" s="9" t="s">
        <v>30</v>
      </c>
      <c r="AL63" s="10"/>
      <c r="AM63" s="10"/>
      <c r="AN63" s="10"/>
      <c r="AO63" s="10"/>
      <c r="AP63" s="10"/>
      <c r="AQ63" s="11">
        <v>10</v>
      </c>
      <c r="AR63" s="4" t="s">
        <v>32</v>
      </c>
      <c r="AS63" s="10"/>
      <c r="AT63" s="10"/>
      <c r="AU63" s="10"/>
      <c r="AV63" s="10"/>
      <c r="AW63" s="10"/>
      <c r="AX63" s="10"/>
      <c r="AY63" s="10"/>
      <c r="AZ63" s="10"/>
      <c r="BA63" s="10"/>
      <c r="BB63" s="10"/>
      <c r="BC63" s="10"/>
      <c r="BD63" s="10"/>
      <c r="BE63" s="10"/>
      <c r="BF63" s="10"/>
    </row>
    <row r="64" spans="1:58" ht="30" hidden="1" x14ac:dyDescent="0.25">
      <c r="A64" s="4" t="s">
        <v>587</v>
      </c>
      <c r="B64" s="4"/>
      <c r="C64" s="4" t="s">
        <v>22</v>
      </c>
      <c r="D64" s="4" t="s">
        <v>23</v>
      </c>
      <c r="E64" s="5" t="s">
        <v>34</v>
      </c>
      <c r="F64" s="6" t="s">
        <v>200</v>
      </c>
      <c r="G64" s="4" t="s">
        <v>26</v>
      </c>
      <c r="H64" s="4"/>
      <c r="I64" s="12">
        <v>17.962499999999999</v>
      </c>
      <c r="J64" s="12">
        <v>17.962499999999999</v>
      </c>
      <c r="K64" s="12"/>
      <c r="L64" s="12">
        <v>1.0152E-2</v>
      </c>
      <c r="M64" s="12">
        <v>1.0152E-2</v>
      </c>
      <c r="N64" s="12"/>
      <c r="O64" s="12"/>
      <c r="P64" s="12"/>
      <c r="Q64" s="12"/>
      <c r="R64" s="12"/>
      <c r="S64" s="12"/>
      <c r="T64" s="12"/>
      <c r="U64" s="12"/>
      <c r="V64" s="12"/>
      <c r="W64" s="7"/>
      <c r="X64" s="12"/>
      <c r="Y64" s="7"/>
      <c r="Z64" s="7"/>
      <c r="AA64" s="7"/>
      <c r="AB64" s="7">
        <v>144540</v>
      </c>
      <c r="AC64" s="7"/>
      <c r="AD64" s="4"/>
      <c r="AE64" s="4"/>
      <c r="AF64" s="4"/>
      <c r="AG64" s="4"/>
      <c r="AH64" s="9"/>
      <c r="AI64" s="9" t="s">
        <v>345</v>
      </c>
      <c r="AJ64" s="9"/>
      <c r="AK64" s="9" t="s">
        <v>30</v>
      </c>
      <c r="AL64" s="10"/>
      <c r="AM64" s="10"/>
      <c r="AN64" s="10"/>
      <c r="AO64" s="10"/>
      <c r="AP64" s="10"/>
      <c r="AQ64" s="11">
        <v>10</v>
      </c>
      <c r="AR64" s="4" t="s">
        <v>32</v>
      </c>
      <c r="AS64" s="10"/>
      <c r="AT64" s="10"/>
      <c r="AU64" s="10"/>
      <c r="AV64" s="10"/>
      <c r="AW64" s="10"/>
      <c r="AX64" s="10"/>
      <c r="AY64" s="10"/>
      <c r="AZ64" s="10"/>
      <c r="BA64" s="10"/>
      <c r="BB64" s="10"/>
      <c r="BC64" s="10"/>
      <c r="BD64" s="10"/>
      <c r="BE64" s="10"/>
      <c r="BF64" s="10"/>
    </row>
    <row r="65" spans="1:58" ht="150" x14ac:dyDescent="0.25">
      <c r="A65" s="4" t="s">
        <v>971</v>
      </c>
      <c r="B65" s="4" t="s">
        <v>1468</v>
      </c>
      <c r="C65" s="4" t="s">
        <v>22</v>
      </c>
      <c r="D65" s="4" t="s">
        <v>23</v>
      </c>
      <c r="E65" s="5" t="s">
        <v>34</v>
      </c>
      <c r="F65" s="4"/>
      <c r="G65" s="4" t="s">
        <v>35</v>
      </c>
      <c r="H65" s="49" t="s">
        <v>1004</v>
      </c>
      <c r="I65" s="12"/>
      <c r="J65" s="12"/>
      <c r="K65" s="12"/>
      <c r="L65" s="12"/>
      <c r="M65" s="51"/>
      <c r="N65" s="12"/>
      <c r="O65" s="12"/>
      <c r="P65" s="12"/>
      <c r="Q65" s="12"/>
      <c r="R65" s="12"/>
      <c r="S65" s="12"/>
      <c r="T65" s="12"/>
      <c r="U65" s="12"/>
      <c r="V65" s="12"/>
      <c r="W65" s="7"/>
      <c r="X65" s="12"/>
      <c r="Y65" s="7"/>
      <c r="Z65" s="7">
        <v>4</v>
      </c>
      <c r="AA65" s="7">
        <v>0.75</v>
      </c>
      <c r="AB65" s="7"/>
      <c r="AC65" s="7"/>
      <c r="AD65" s="4"/>
      <c r="AE65" s="4"/>
      <c r="AF65" s="4"/>
      <c r="AG65" s="4"/>
      <c r="AH65" s="9" t="s">
        <v>346</v>
      </c>
      <c r="AI65" s="9" t="s">
        <v>347</v>
      </c>
      <c r="AJ65" s="9"/>
      <c r="AK65" s="9" t="s">
        <v>30</v>
      </c>
      <c r="AL65" s="10"/>
      <c r="AM65" s="10"/>
      <c r="AN65" s="10"/>
      <c r="AO65" s="10"/>
      <c r="AP65" s="10"/>
      <c r="AQ65" s="11">
        <v>1</v>
      </c>
      <c r="AR65" s="4"/>
      <c r="AS65" s="10" t="s">
        <v>849</v>
      </c>
      <c r="AT65" s="10"/>
      <c r="AU65" s="10"/>
      <c r="AV65" s="10"/>
      <c r="AW65" s="10"/>
      <c r="AX65" s="10"/>
      <c r="AY65" s="10"/>
      <c r="AZ65" s="10"/>
      <c r="BA65" s="10"/>
      <c r="BB65" s="10"/>
      <c r="BC65" s="10">
        <v>394</v>
      </c>
      <c r="BD65" s="10"/>
      <c r="BE65" s="10"/>
      <c r="BF65" s="10"/>
    </row>
    <row r="66" spans="1:58" ht="255" x14ac:dyDescent="0.25">
      <c r="A66" s="4" t="s">
        <v>359</v>
      </c>
      <c r="B66" s="4" t="s">
        <v>1470</v>
      </c>
      <c r="C66" s="4" t="s">
        <v>22</v>
      </c>
      <c r="D66" s="4" t="s">
        <v>116</v>
      </c>
      <c r="E66" s="5" t="s">
        <v>34</v>
      </c>
      <c r="F66" s="4"/>
      <c r="G66" s="4" t="s">
        <v>35</v>
      </c>
      <c r="H66" s="49" t="s">
        <v>360</v>
      </c>
      <c r="I66" s="12" t="s">
        <v>740</v>
      </c>
      <c r="J66" s="13">
        <f>329/6</f>
        <v>54.833333333333336</v>
      </c>
      <c r="K66" s="12">
        <v>0.75</v>
      </c>
      <c r="L66" s="12" t="s">
        <v>739</v>
      </c>
      <c r="M66" s="51">
        <f>0.68/6</f>
        <v>0.11333333333333334</v>
      </c>
      <c r="N66" s="12">
        <v>0.75</v>
      </c>
      <c r="O66" s="12" t="s">
        <v>1089</v>
      </c>
      <c r="P66" s="12">
        <f>361/6</f>
        <v>60.166666666666664</v>
      </c>
      <c r="Q66" s="12">
        <v>0.5</v>
      </c>
      <c r="R66" s="12" t="s">
        <v>1088</v>
      </c>
      <c r="S66" s="12">
        <f>90/6</f>
        <v>15</v>
      </c>
      <c r="T66" s="12">
        <v>0.75</v>
      </c>
      <c r="U66" s="12">
        <v>21.833841336300004</v>
      </c>
      <c r="V66" s="12">
        <v>21.833841336300004</v>
      </c>
      <c r="W66" s="7">
        <v>99</v>
      </c>
      <c r="X66" s="12">
        <f>0.103/6</f>
        <v>1.7166666666666667E-2</v>
      </c>
      <c r="Y66" s="7" t="s">
        <v>361</v>
      </c>
      <c r="Z66" s="7">
        <v>9</v>
      </c>
      <c r="AA66" s="7">
        <v>1</v>
      </c>
      <c r="AB66" s="7"/>
      <c r="AC66" s="7"/>
      <c r="AD66" s="4" t="s">
        <v>1123</v>
      </c>
      <c r="AE66" s="4">
        <v>2.7</v>
      </c>
      <c r="AF66" s="4"/>
      <c r="AG66" s="4">
        <v>0.25</v>
      </c>
      <c r="AH66" s="9" t="s">
        <v>362</v>
      </c>
      <c r="AI66" s="9" t="s">
        <v>363</v>
      </c>
      <c r="AJ66" s="9" t="s">
        <v>364</v>
      </c>
      <c r="AK66" s="9" t="s">
        <v>30</v>
      </c>
      <c r="AL66" s="10" t="s">
        <v>365</v>
      </c>
      <c r="AM66" s="10" t="s">
        <v>1121</v>
      </c>
      <c r="AN66" s="10" t="s">
        <v>1122</v>
      </c>
      <c r="AO66" s="10" t="s">
        <v>1120</v>
      </c>
      <c r="AP66" s="10" t="s">
        <v>1119</v>
      </c>
      <c r="AQ66" s="11" t="s">
        <v>366</v>
      </c>
      <c r="AR66" s="4"/>
      <c r="AS66" s="10" t="s">
        <v>850</v>
      </c>
      <c r="AT66" s="10" t="s">
        <v>1076</v>
      </c>
      <c r="AU66" s="10"/>
      <c r="AV66" s="10"/>
      <c r="AW66" s="10"/>
      <c r="AX66" s="10"/>
      <c r="AY66" s="10"/>
      <c r="AZ66" s="10"/>
      <c r="BA66" s="10"/>
      <c r="BB66" s="10"/>
      <c r="BC66" s="10" t="s">
        <v>1087</v>
      </c>
      <c r="BD66" s="10"/>
      <c r="BE66" s="10"/>
      <c r="BF66" s="10"/>
    </row>
    <row r="67" spans="1:58" ht="165" x14ac:dyDescent="0.25">
      <c r="A67" s="4" t="s">
        <v>368</v>
      </c>
      <c r="B67" s="4" t="s">
        <v>2095</v>
      </c>
      <c r="C67" s="4" t="s">
        <v>22</v>
      </c>
      <c r="D67" s="4" t="s">
        <v>116</v>
      </c>
      <c r="E67" s="5" t="s">
        <v>24</v>
      </c>
      <c r="F67" s="4"/>
      <c r="G67" s="4" t="s">
        <v>35</v>
      </c>
      <c r="H67" s="49" t="s">
        <v>1005</v>
      </c>
      <c r="I67" s="12">
        <v>165.56</v>
      </c>
      <c r="J67" s="12">
        <f>1*3*1.5*Mission_Duration+10.43*10*0.75</f>
        <v>1878.2249999999999</v>
      </c>
      <c r="K67" s="12">
        <v>0.25</v>
      </c>
      <c r="L67" s="12">
        <v>0.2082</v>
      </c>
      <c r="M67" s="51">
        <f>M25</f>
        <v>1.41E-2</v>
      </c>
      <c r="N67" s="12">
        <v>0.25</v>
      </c>
      <c r="O67" s="12">
        <v>0</v>
      </c>
      <c r="P67" s="12">
        <v>0</v>
      </c>
      <c r="Q67" s="12">
        <v>0.75</v>
      </c>
      <c r="R67" s="12">
        <v>0</v>
      </c>
      <c r="S67" s="12">
        <f>S25</f>
        <v>30</v>
      </c>
      <c r="T67" s="12">
        <v>0.25</v>
      </c>
      <c r="U67" s="12">
        <v>55.425750000000001</v>
      </c>
      <c r="V67" s="12">
        <v>55.425750000000001</v>
      </c>
      <c r="W67" s="7"/>
      <c r="X67" s="12"/>
      <c r="Y67" s="7"/>
      <c r="Z67" s="7">
        <v>6</v>
      </c>
      <c r="AA67" s="7">
        <v>0.25</v>
      </c>
      <c r="AB67" s="7">
        <f>1*10^7</f>
        <v>10000000</v>
      </c>
      <c r="AC67" s="7">
        <v>0.25</v>
      </c>
      <c r="AD67" s="4"/>
      <c r="AE67" s="4"/>
      <c r="AF67" s="4"/>
      <c r="AG67" s="4"/>
      <c r="AH67" s="9"/>
      <c r="AI67" s="9"/>
      <c r="AJ67" s="9"/>
      <c r="AK67" s="9" t="s">
        <v>30</v>
      </c>
      <c r="AL67" s="10" t="s">
        <v>369</v>
      </c>
      <c r="AM67" s="10"/>
      <c r="AN67" s="10"/>
      <c r="AO67" s="10"/>
      <c r="AP67" s="10"/>
      <c r="AQ67" s="11" t="s">
        <v>370</v>
      </c>
      <c r="AR67" s="4"/>
      <c r="AS67" s="10"/>
      <c r="AT67" s="10" t="s">
        <v>1076</v>
      </c>
      <c r="AU67" s="10"/>
      <c r="AV67" s="10"/>
      <c r="AW67" s="10"/>
      <c r="AX67" s="10"/>
      <c r="AY67" s="10"/>
      <c r="AZ67" s="10"/>
      <c r="BA67" s="10"/>
      <c r="BB67" s="10"/>
      <c r="BC67" s="10">
        <v>293</v>
      </c>
      <c r="BD67" s="10">
        <v>101</v>
      </c>
      <c r="BE67" s="10"/>
      <c r="BF67" s="10"/>
    </row>
    <row r="68" spans="1:58" ht="165" x14ac:dyDescent="0.25">
      <c r="A68" s="4" t="s">
        <v>371</v>
      </c>
      <c r="B68" s="4" t="s">
        <v>612</v>
      </c>
      <c r="C68" s="4" t="s">
        <v>22</v>
      </c>
      <c r="D68" s="4" t="s">
        <v>33</v>
      </c>
      <c r="E68" s="5" t="s">
        <v>34</v>
      </c>
      <c r="F68" s="4"/>
      <c r="G68" s="4" t="s">
        <v>35</v>
      </c>
      <c r="H68" s="49" t="s">
        <v>1006</v>
      </c>
      <c r="I68" s="12" t="s">
        <v>741</v>
      </c>
      <c r="J68" s="12">
        <v>47.280449999999995</v>
      </c>
      <c r="K68" s="12">
        <v>0.75</v>
      </c>
      <c r="L68" s="12" t="s">
        <v>742</v>
      </c>
      <c r="M68" s="51">
        <v>8.1585000000000005E-2</v>
      </c>
      <c r="N68" s="12">
        <v>0.75</v>
      </c>
      <c r="O68" s="12" t="s">
        <v>372</v>
      </c>
      <c r="P68" s="12">
        <v>133.64400000000001</v>
      </c>
      <c r="Q68" s="12">
        <v>0.75</v>
      </c>
      <c r="R68" s="12" t="s">
        <v>373</v>
      </c>
      <c r="S68" s="12">
        <v>133.64400000000001</v>
      </c>
      <c r="T68" s="12">
        <v>0.75</v>
      </c>
      <c r="U68" s="12">
        <v>38.959090799999998</v>
      </c>
      <c r="V68" s="12">
        <v>38.959090799999998</v>
      </c>
      <c r="W68" s="7"/>
      <c r="X68" s="12">
        <v>0</v>
      </c>
      <c r="Y68" s="7" t="s">
        <v>376</v>
      </c>
      <c r="Z68" s="7">
        <v>8</v>
      </c>
      <c r="AA68" s="7">
        <v>0.75</v>
      </c>
      <c r="AB68" s="7">
        <v>17000</v>
      </c>
      <c r="AC68" s="7">
        <v>0.5</v>
      </c>
      <c r="AD68" s="4" t="s">
        <v>1095</v>
      </c>
      <c r="AE68" s="4">
        <v>0</v>
      </c>
      <c r="AF68" s="4"/>
      <c r="AG68" s="4">
        <v>0.25</v>
      </c>
      <c r="AH68" s="9"/>
      <c r="AI68" s="9" t="s">
        <v>377</v>
      </c>
      <c r="AJ68" s="9" t="s">
        <v>378</v>
      </c>
      <c r="AK68" s="9" t="s">
        <v>30</v>
      </c>
      <c r="AL68" s="10" t="s">
        <v>379</v>
      </c>
      <c r="AM68" s="10" t="s">
        <v>380</v>
      </c>
      <c r="AN68" s="10" t="s">
        <v>381</v>
      </c>
      <c r="AO68" s="10" t="s">
        <v>382</v>
      </c>
      <c r="AP68" s="10" t="s">
        <v>383</v>
      </c>
      <c r="AQ68" s="11" t="s">
        <v>384</v>
      </c>
      <c r="AR68" s="4"/>
      <c r="AS68" s="10"/>
      <c r="AT68" s="10" t="s">
        <v>1075</v>
      </c>
      <c r="AU68" s="10"/>
      <c r="AV68" s="10"/>
      <c r="AW68" s="10"/>
      <c r="AX68" s="10"/>
      <c r="AY68" s="10"/>
      <c r="AZ68" s="10"/>
      <c r="BA68" s="10"/>
      <c r="BB68" s="10"/>
      <c r="BC68" s="10" t="s">
        <v>374</v>
      </c>
      <c r="BD68" s="10" t="s">
        <v>375</v>
      </c>
      <c r="BE68" s="10"/>
      <c r="BF68" s="10"/>
    </row>
    <row r="69" spans="1:58" ht="135" x14ac:dyDescent="0.25">
      <c r="A69" s="4" t="s">
        <v>1472</v>
      </c>
      <c r="B69" s="4" t="s">
        <v>1473</v>
      </c>
      <c r="C69" s="4" t="s">
        <v>22</v>
      </c>
      <c r="D69" s="4" t="s">
        <v>62</v>
      </c>
      <c r="E69" s="5" t="s">
        <v>34</v>
      </c>
      <c r="F69" s="4"/>
      <c r="G69" s="4" t="s">
        <v>35</v>
      </c>
      <c r="H69" s="4" t="s">
        <v>1096</v>
      </c>
      <c r="I69" s="12" t="s">
        <v>743</v>
      </c>
      <c r="J69" s="12">
        <f>676/6</f>
        <v>112.66666666666667</v>
      </c>
      <c r="K69" s="12">
        <v>0.75</v>
      </c>
      <c r="L69" s="12" t="s">
        <v>744</v>
      </c>
      <c r="M69" s="51">
        <f>0.79/6</f>
        <v>0.13166666666666668</v>
      </c>
      <c r="N69" s="12">
        <v>0.75</v>
      </c>
      <c r="O69" s="12" t="s">
        <v>1097</v>
      </c>
      <c r="P69" s="12">
        <f>330/6</f>
        <v>55</v>
      </c>
      <c r="Q69" s="12">
        <v>0.75</v>
      </c>
      <c r="R69" s="12" t="s">
        <v>1098</v>
      </c>
      <c r="S69" s="12">
        <f>3219/6</f>
        <v>536.5</v>
      </c>
      <c r="T69" s="12">
        <v>0.75</v>
      </c>
      <c r="U69" s="12">
        <v>43.901899109433955</v>
      </c>
      <c r="V69" s="12">
        <v>43.901899109433955</v>
      </c>
      <c r="W69" s="7"/>
      <c r="X69" s="12">
        <v>5.7119999999999997E-2</v>
      </c>
      <c r="Y69" s="7" t="s">
        <v>387</v>
      </c>
      <c r="Z69" s="7">
        <v>9</v>
      </c>
      <c r="AA69" s="7">
        <v>1</v>
      </c>
      <c r="AB69" s="8">
        <f>1/(1/27156+1/61846+1/296701+1/138408+1/98112+1/47479+1/103280+1/144540+1/33288)</f>
        <v>7067.8855543274412</v>
      </c>
      <c r="AC69" s="7">
        <v>0.75</v>
      </c>
      <c r="AD69" s="4" t="s">
        <v>1687</v>
      </c>
      <c r="AE69" s="13"/>
      <c r="AF69" s="13">
        <f>66.48/6</f>
        <v>11.08</v>
      </c>
      <c r="AG69" s="4">
        <v>0.75</v>
      </c>
      <c r="AH69" s="9"/>
      <c r="AI69" s="9"/>
      <c r="AJ69" s="9"/>
      <c r="AK69" s="9" t="s">
        <v>30</v>
      </c>
      <c r="AL69" s="10" t="s">
        <v>388</v>
      </c>
      <c r="AM69" s="10"/>
      <c r="AN69" s="10"/>
      <c r="AO69" s="10"/>
      <c r="AP69" s="10"/>
      <c r="AQ69" s="11" t="s">
        <v>389</v>
      </c>
      <c r="AR69" s="4" t="s">
        <v>32</v>
      </c>
      <c r="AS69" s="10" t="s">
        <v>1456</v>
      </c>
      <c r="AT69" s="10"/>
      <c r="AU69" s="10"/>
      <c r="AV69" s="10" t="s">
        <v>851</v>
      </c>
      <c r="AW69" s="10"/>
      <c r="AX69" s="10"/>
      <c r="AY69" s="10"/>
      <c r="AZ69" s="10"/>
      <c r="BA69" s="10"/>
      <c r="BB69" s="10"/>
      <c r="BC69" s="10" t="s">
        <v>385</v>
      </c>
      <c r="BD69" s="10" t="s">
        <v>386</v>
      </c>
      <c r="BE69" s="10"/>
      <c r="BF69" s="10"/>
    </row>
    <row r="70" spans="1:58" ht="195" x14ac:dyDescent="0.25">
      <c r="A70" s="4" t="s">
        <v>394</v>
      </c>
      <c r="B70" s="4" t="s">
        <v>619</v>
      </c>
      <c r="C70" s="4" t="s">
        <v>22</v>
      </c>
      <c r="D70" s="4" t="s">
        <v>62</v>
      </c>
      <c r="E70" s="5" t="s">
        <v>34</v>
      </c>
      <c r="F70" s="4"/>
      <c r="G70" s="4" t="s">
        <v>35</v>
      </c>
      <c r="H70" s="49" t="s">
        <v>1099</v>
      </c>
      <c r="I70" s="12" t="s">
        <v>395</v>
      </c>
      <c r="J70" s="12">
        <v>28.25</v>
      </c>
      <c r="K70" s="12">
        <v>0.75</v>
      </c>
      <c r="L70" s="12" t="s">
        <v>745</v>
      </c>
      <c r="M70" s="51">
        <v>3.5000000000000003E-2</v>
      </c>
      <c r="N70" s="12">
        <v>0.75</v>
      </c>
      <c r="O70" s="12" t="s">
        <v>396</v>
      </c>
      <c r="P70" s="12">
        <v>9.75</v>
      </c>
      <c r="Q70" s="12">
        <v>0.75</v>
      </c>
      <c r="R70" s="12" t="s">
        <v>397</v>
      </c>
      <c r="S70" s="12">
        <v>367.5</v>
      </c>
      <c r="T70" s="12">
        <v>0.75</v>
      </c>
      <c r="U70" s="12">
        <v>17.167524999999998</v>
      </c>
      <c r="V70" s="12">
        <v>17.167524999999998</v>
      </c>
      <c r="W70" s="7"/>
      <c r="X70" s="12">
        <v>0</v>
      </c>
      <c r="Y70" s="7" t="s">
        <v>399</v>
      </c>
      <c r="Z70" s="7">
        <v>8</v>
      </c>
      <c r="AA70" s="7">
        <v>0.75</v>
      </c>
      <c r="AB70" s="8">
        <f>1/(1/27156+1/61846+1/296701+1/138408+1/98112+1/47479+1/103280+1/144540+1/33288)</f>
        <v>7067.8855543274412</v>
      </c>
      <c r="AC70" s="7">
        <v>0.5</v>
      </c>
      <c r="AD70" s="4" t="s">
        <v>400</v>
      </c>
      <c r="AE70" s="13">
        <f>(10/360)*Mission_Duration</f>
        <v>11.111111111111111</v>
      </c>
      <c r="AF70" s="13"/>
      <c r="AG70" s="4">
        <v>0.25</v>
      </c>
      <c r="AH70" s="9"/>
      <c r="AI70" s="9" t="s">
        <v>401</v>
      </c>
      <c r="AJ70" s="9" t="s">
        <v>402</v>
      </c>
      <c r="AK70" s="9" t="s">
        <v>30</v>
      </c>
      <c r="AL70" s="10" t="s">
        <v>403</v>
      </c>
      <c r="AM70" s="10"/>
      <c r="AN70" s="10"/>
      <c r="AO70" s="10"/>
      <c r="AP70" s="10"/>
      <c r="AQ70" s="11" t="s">
        <v>404</v>
      </c>
      <c r="AR70" s="4"/>
      <c r="AS70" s="10" t="s">
        <v>1456</v>
      </c>
      <c r="AT70" s="10"/>
      <c r="AU70" s="10"/>
      <c r="AV70" s="10" t="s">
        <v>851</v>
      </c>
      <c r="AW70" s="10"/>
      <c r="AX70" s="10"/>
      <c r="AY70" s="10"/>
      <c r="AZ70" s="10"/>
      <c r="BA70" s="10"/>
      <c r="BB70" s="10"/>
      <c r="BC70" s="10"/>
      <c r="BD70" s="10" t="s">
        <v>398</v>
      </c>
      <c r="BE70" s="10"/>
      <c r="BF70" s="10"/>
    </row>
    <row r="71" spans="1:58" ht="289.5" x14ac:dyDescent="0.25">
      <c r="A71" s="4" t="s">
        <v>421</v>
      </c>
      <c r="B71" s="4" t="s">
        <v>2096</v>
      </c>
      <c r="C71" s="4" t="s">
        <v>22</v>
      </c>
      <c r="D71" s="4" t="s">
        <v>116</v>
      </c>
      <c r="E71" s="5" t="s">
        <v>24</v>
      </c>
      <c r="F71" s="4"/>
      <c r="G71" s="4" t="s">
        <v>35</v>
      </c>
      <c r="H71" s="49" t="s">
        <v>1007</v>
      </c>
      <c r="I71" s="12">
        <f>ROUNDUP(SUM_O2_Consumption*Mission_Duration/1.7,0)*15.2</f>
        <v>13178.4</v>
      </c>
      <c r="J71" s="12">
        <f>technologies[[#This Row],[Mass
Literature]]/Crew_Size</f>
        <v>3294.6</v>
      </c>
      <c r="K71" s="12">
        <v>0.75</v>
      </c>
      <c r="L71" s="12">
        <f>ROUNDUP(SUM_O2_Consumption*Mission_Duration/1.7,0)*0.02</f>
        <v>17.34</v>
      </c>
      <c r="M71" s="51">
        <f>technologies[[#This Row],[Volume
Literature]]/Crew_Size</f>
        <v>4.335</v>
      </c>
      <c r="N71" s="12">
        <v>0.75</v>
      </c>
      <c r="O71" s="12"/>
      <c r="P71" s="12">
        <v>0</v>
      </c>
      <c r="Q71" s="12">
        <v>0.5</v>
      </c>
      <c r="R71" s="12">
        <f>45/6*Crew_Size</f>
        <v>30</v>
      </c>
      <c r="S71" s="12">
        <f>technologies[[#This Row],[Power required
Literature]]/100</f>
        <v>0.3</v>
      </c>
      <c r="T71" s="12">
        <v>0.5</v>
      </c>
      <c r="U71" s="12">
        <v>10.183999999999999</v>
      </c>
      <c r="V71" s="12">
        <v>10.183999999999999</v>
      </c>
      <c r="W71" s="7">
        <v>0.5</v>
      </c>
      <c r="X71" s="12"/>
      <c r="Y71" s="7">
        <v>9</v>
      </c>
      <c r="Z71" s="7">
        <v>9</v>
      </c>
      <c r="AA71" s="7">
        <v>1</v>
      </c>
      <c r="AB71" s="7">
        <f>1*10^7</f>
        <v>10000000</v>
      </c>
      <c r="AC71" s="7">
        <v>0.75</v>
      </c>
      <c r="AD71" s="4"/>
      <c r="AE71" s="13">
        <f>6.22/7*365*10</f>
        <v>3243.2857142857142</v>
      </c>
      <c r="AF71" s="13"/>
      <c r="AG71" s="4">
        <v>0.25</v>
      </c>
      <c r="AH71" s="9" t="s">
        <v>423</v>
      </c>
      <c r="AI71" s="9" t="s">
        <v>424</v>
      </c>
      <c r="AJ71" s="9"/>
      <c r="AK71" s="9" t="s">
        <v>425</v>
      </c>
      <c r="AL71" s="10" t="s">
        <v>426</v>
      </c>
      <c r="AM71" s="10" t="s">
        <v>427</v>
      </c>
      <c r="AN71" s="10" t="s">
        <v>428</v>
      </c>
      <c r="AO71" s="10" t="s">
        <v>429</v>
      </c>
      <c r="AP71" s="10" t="s">
        <v>430</v>
      </c>
      <c r="AQ71" s="11" t="s">
        <v>431</v>
      </c>
      <c r="AR71" s="4"/>
      <c r="AS71" s="10"/>
      <c r="AT71" s="10"/>
      <c r="AU71" s="10"/>
      <c r="AV71" s="10" t="s">
        <v>851</v>
      </c>
      <c r="AW71" s="10" t="s">
        <v>850</v>
      </c>
      <c r="AX71" s="10"/>
      <c r="AY71" s="10" t="s">
        <v>1076</v>
      </c>
      <c r="AZ71" s="10"/>
      <c r="BA71" s="10"/>
      <c r="BB71" s="10"/>
      <c r="BC71" s="10" t="s">
        <v>422</v>
      </c>
      <c r="BD71" s="10"/>
      <c r="BE71" s="10"/>
      <c r="BF71" s="10"/>
    </row>
    <row r="72" spans="1:58" ht="30" hidden="1" x14ac:dyDescent="0.25">
      <c r="A72" s="4" t="s">
        <v>962</v>
      </c>
      <c r="B72" s="4"/>
      <c r="C72" s="4" t="s">
        <v>22</v>
      </c>
      <c r="D72" s="4" t="s">
        <v>131</v>
      </c>
      <c r="E72" s="5" t="s">
        <v>34</v>
      </c>
      <c r="F72" s="6" t="s">
        <v>200</v>
      </c>
      <c r="G72" s="6" t="s">
        <v>26</v>
      </c>
      <c r="H72" s="4"/>
      <c r="I72" s="12">
        <v>61.054499999999997</v>
      </c>
      <c r="J72" s="12"/>
      <c r="K72" s="12"/>
      <c r="L72" s="12">
        <v>7.5614000000000001E-2</v>
      </c>
      <c r="M72" s="51"/>
      <c r="N72" s="12"/>
      <c r="O72" s="12"/>
      <c r="P72" s="12">
        <v>0</v>
      </c>
      <c r="Q72" s="12">
        <v>0.5</v>
      </c>
      <c r="R72" s="12"/>
      <c r="S72" s="12">
        <v>0</v>
      </c>
      <c r="T72" s="12">
        <v>0.5</v>
      </c>
      <c r="U72" s="12"/>
      <c r="V72" s="12"/>
      <c r="W72" s="7"/>
      <c r="X72" s="12"/>
      <c r="Y72" s="7"/>
      <c r="Z72" s="7">
        <v>9</v>
      </c>
      <c r="AA72" s="7">
        <v>0.75</v>
      </c>
      <c r="AB72" s="7">
        <v>38000</v>
      </c>
      <c r="AC72" s="7"/>
      <c r="AD72" s="4"/>
      <c r="AE72" s="4"/>
      <c r="AF72" s="4"/>
      <c r="AG72" s="4"/>
      <c r="AH72" s="9"/>
      <c r="AI72" s="9" t="s">
        <v>482</v>
      </c>
      <c r="AJ72" s="9"/>
      <c r="AK72" s="9" t="s">
        <v>30</v>
      </c>
      <c r="AL72" s="10"/>
      <c r="AM72" s="10"/>
      <c r="AN72" s="10"/>
      <c r="AO72" s="10"/>
      <c r="AP72" s="10"/>
      <c r="AQ72" s="11">
        <v>10</v>
      </c>
      <c r="AR72" s="4" t="s">
        <v>32</v>
      </c>
      <c r="AS72" s="10" t="s">
        <v>868</v>
      </c>
      <c r="AT72" s="10"/>
      <c r="AU72" s="10"/>
      <c r="AV72" s="10"/>
      <c r="AW72" s="10"/>
      <c r="AX72" s="10"/>
      <c r="AY72" s="10"/>
      <c r="AZ72" s="10"/>
      <c r="BA72" s="10"/>
      <c r="BB72" s="10"/>
      <c r="BC72" s="10"/>
      <c r="BD72" s="10"/>
      <c r="BE72" s="10"/>
      <c r="BF72" s="10"/>
    </row>
    <row r="73" spans="1:58" ht="90" x14ac:dyDescent="0.25">
      <c r="A73" s="4" t="s">
        <v>964</v>
      </c>
      <c r="B73" s="4" t="s">
        <v>1479</v>
      </c>
      <c r="C73" s="4" t="s">
        <v>22</v>
      </c>
      <c r="D73" s="4" t="s">
        <v>62</v>
      </c>
      <c r="E73" s="5" t="s">
        <v>34</v>
      </c>
      <c r="F73" s="4"/>
      <c r="G73" s="4" t="s">
        <v>35</v>
      </c>
      <c r="H73" s="49" t="s">
        <v>1011</v>
      </c>
      <c r="I73" s="12" t="s">
        <v>753</v>
      </c>
      <c r="J73" s="12"/>
      <c r="K73" s="12"/>
      <c r="L73" s="12">
        <v>5.8700000000000002E-2</v>
      </c>
      <c r="M73" s="51"/>
      <c r="N73" s="12"/>
      <c r="O73" s="12">
        <v>270</v>
      </c>
      <c r="P73" s="12"/>
      <c r="Q73" s="12"/>
      <c r="R73" s="12">
        <v>702</v>
      </c>
      <c r="S73" s="12"/>
      <c r="T73" s="12"/>
      <c r="U73" s="12"/>
      <c r="V73" s="12"/>
      <c r="W73" s="7"/>
      <c r="X73" s="12"/>
      <c r="Y73" s="7"/>
      <c r="Z73" s="7">
        <v>4</v>
      </c>
      <c r="AA73" s="7">
        <v>0.25</v>
      </c>
      <c r="AB73" s="7">
        <f>10*365*24</f>
        <v>87600</v>
      </c>
      <c r="AC73" s="7"/>
      <c r="AD73" s="4"/>
      <c r="AE73" s="4"/>
      <c r="AF73" s="4"/>
      <c r="AG73" s="4"/>
      <c r="AH73" s="9" t="s">
        <v>483</v>
      </c>
      <c r="AI73" s="9" t="s">
        <v>484</v>
      </c>
      <c r="AJ73" s="9"/>
      <c r="AK73" s="9" t="s">
        <v>30</v>
      </c>
      <c r="AL73" s="10" t="s">
        <v>485</v>
      </c>
      <c r="AM73" s="10"/>
      <c r="AN73" s="10"/>
      <c r="AO73" s="10" t="s">
        <v>486</v>
      </c>
      <c r="AP73" s="10" t="s">
        <v>487</v>
      </c>
      <c r="AQ73" s="11" t="s">
        <v>488</v>
      </c>
      <c r="AR73" s="4"/>
      <c r="AS73" s="10"/>
      <c r="AT73" s="10"/>
      <c r="AU73" s="10"/>
      <c r="AV73" s="10" t="s">
        <v>851</v>
      </c>
      <c r="AW73" s="10" t="s">
        <v>897</v>
      </c>
      <c r="AX73" s="10" t="s">
        <v>899</v>
      </c>
      <c r="AY73" s="10"/>
      <c r="AZ73" s="10"/>
      <c r="BA73" s="10"/>
      <c r="BB73" s="10"/>
      <c r="BC73" s="10">
        <v>293</v>
      </c>
      <c r="BD73" s="10">
        <v>101</v>
      </c>
      <c r="BE73" s="10"/>
      <c r="BF73" s="10"/>
    </row>
    <row r="74" spans="1:58" ht="60" x14ac:dyDescent="0.25">
      <c r="A74" s="4" t="s">
        <v>541</v>
      </c>
      <c r="B74" s="4" t="s">
        <v>1480</v>
      </c>
      <c r="C74" s="4" t="s">
        <v>22</v>
      </c>
      <c r="D74" s="4" t="s">
        <v>62</v>
      </c>
      <c r="E74" s="5" t="s">
        <v>34</v>
      </c>
      <c r="F74" s="4"/>
      <c r="G74" s="4" t="s">
        <v>35</v>
      </c>
      <c r="H74" s="49" t="s">
        <v>542</v>
      </c>
      <c r="I74" s="12"/>
      <c r="J74" s="12"/>
      <c r="K74" s="12"/>
      <c r="L74" s="12"/>
      <c r="M74" s="51"/>
      <c r="N74" s="12"/>
      <c r="O74" s="12"/>
      <c r="P74" s="12"/>
      <c r="Q74" s="12"/>
      <c r="R74" s="12"/>
      <c r="S74" s="12"/>
      <c r="T74" s="12"/>
      <c r="U74" s="12"/>
      <c r="V74" s="12"/>
      <c r="W74" s="7"/>
      <c r="X74" s="12"/>
      <c r="Y74" s="7"/>
      <c r="Z74" s="7">
        <v>3</v>
      </c>
      <c r="AA74" s="7">
        <v>0.25</v>
      </c>
      <c r="AB74" s="7"/>
      <c r="AC74" s="7"/>
      <c r="AD74" s="4"/>
      <c r="AE74" s="4"/>
      <c r="AF74" s="4"/>
      <c r="AG74" s="4"/>
      <c r="AH74" s="9"/>
      <c r="AI74" s="9" t="s">
        <v>543</v>
      </c>
      <c r="AJ74" s="9"/>
      <c r="AK74" s="9" t="s">
        <v>30</v>
      </c>
      <c r="AL74" s="10"/>
      <c r="AM74" s="10"/>
      <c r="AN74" s="10"/>
      <c r="AO74" s="10"/>
      <c r="AP74" s="10"/>
      <c r="AQ74" s="11">
        <v>24</v>
      </c>
      <c r="AR74" s="4"/>
      <c r="AS74" s="10"/>
      <c r="AT74" s="10"/>
      <c r="AU74" s="10"/>
      <c r="AV74" s="10" t="s">
        <v>851</v>
      </c>
      <c r="AW74" s="10"/>
      <c r="AX74" s="10"/>
      <c r="AY74" s="10"/>
      <c r="AZ74" s="10"/>
      <c r="BA74" s="10"/>
      <c r="BB74" s="10"/>
      <c r="BC74" s="10"/>
      <c r="BD74" s="10"/>
      <c r="BE74" s="10"/>
      <c r="BF74" s="10"/>
    </row>
    <row r="75" spans="1:58" ht="30" x14ac:dyDescent="0.25">
      <c r="A75" s="4" t="s">
        <v>544</v>
      </c>
      <c r="B75" s="4" t="s">
        <v>1481</v>
      </c>
      <c r="C75" s="4" t="s">
        <v>22</v>
      </c>
      <c r="D75" s="4" t="s">
        <v>62</v>
      </c>
      <c r="E75" s="5" t="s">
        <v>34</v>
      </c>
      <c r="F75" s="4"/>
      <c r="G75" s="4" t="s">
        <v>35</v>
      </c>
      <c r="H75" s="4" t="s">
        <v>1027</v>
      </c>
      <c r="I75" s="12"/>
      <c r="J75" s="12"/>
      <c r="K75" s="12"/>
      <c r="L75" s="12"/>
      <c r="M75" s="51"/>
      <c r="N75" s="12"/>
      <c r="O75" s="12"/>
      <c r="P75" s="12"/>
      <c r="Q75" s="12"/>
      <c r="R75" s="12"/>
      <c r="S75" s="12"/>
      <c r="T75" s="12"/>
      <c r="U75" s="12"/>
      <c r="V75" s="12"/>
      <c r="W75" s="7"/>
      <c r="X75" s="12"/>
      <c r="Y75" s="7"/>
      <c r="Z75" s="7">
        <v>3</v>
      </c>
      <c r="AA75" s="7">
        <v>0.25</v>
      </c>
      <c r="AB75" s="7"/>
      <c r="AC75" s="7"/>
      <c r="AD75" s="4"/>
      <c r="AE75" s="4"/>
      <c r="AF75" s="4"/>
      <c r="AG75" s="4"/>
      <c r="AH75" s="9"/>
      <c r="AI75" s="9" t="s">
        <v>543</v>
      </c>
      <c r="AJ75" s="9"/>
      <c r="AK75" s="9" t="s">
        <v>30</v>
      </c>
      <c r="AL75" s="10"/>
      <c r="AM75" s="10"/>
      <c r="AN75" s="10"/>
      <c r="AO75" s="10"/>
      <c r="AP75" s="10"/>
      <c r="AQ75" s="11">
        <v>24</v>
      </c>
      <c r="AR75" s="4"/>
      <c r="AS75" s="10"/>
      <c r="AT75" s="10"/>
      <c r="AU75" s="10" t="s">
        <v>851</v>
      </c>
      <c r="AV75" s="10"/>
      <c r="AW75" s="10"/>
      <c r="AX75" s="10"/>
      <c r="AY75" s="10"/>
      <c r="AZ75" s="10"/>
      <c r="BA75" s="10"/>
      <c r="BB75" s="10"/>
      <c r="BC75" s="10"/>
      <c r="BD75" s="10"/>
      <c r="BE75" s="10"/>
      <c r="BF75" s="10"/>
    </row>
    <row r="76" spans="1:58" ht="30" hidden="1" x14ac:dyDescent="0.25">
      <c r="A76" s="4" t="s">
        <v>81</v>
      </c>
      <c r="B76" s="4"/>
      <c r="C76" s="4" t="s">
        <v>22</v>
      </c>
      <c r="D76" s="4" t="s">
        <v>23</v>
      </c>
      <c r="E76" s="5" t="s">
        <v>34</v>
      </c>
      <c r="F76" s="4" t="s">
        <v>580</v>
      </c>
      <c r="G76" s="4" t="s">
        <v>26</v>
      </c>
      <c r="H76" s="4" t="s">
        <v>1032</v>
      </c>
      <c r="I76" s="12">
        <v>2.2999999999999998</v>
      </c>
      <c r="J76" s="12"/>
      <c r="K76" s="12"/>
      <c r="L76" s="12"/>
      <c r="M76" s="51"/>
      <c r="N76" s="12"/>
      <c r="O76" s="12"/>
      <c r="P76" s="12"/>
      <c r="Q76" s="12"/>
      <c r="R76" s="12"/>
      <c r="S76" s="12"/>
      <c r="T76" s="12"/>
      <c r="U76" s="12"/>
      <c r="V76" s="12"/>
      <c r="W76" s="7"/>
      <c r="X76" s="12"/>
      <c r="Y76" s="7">
        <v>8</v>
      </c>
      <c r="Z76" s="7"/>
      <c r="AA76" s="7"/>
      <c r="AB76" s="7">
        <f>1/(8*10^-6)</f>
        <v>125000</v>
      </c>
      <c r="AC76" s="7"/>
      <c r="AD76" s="4"/>
      <c r="AE76" s="4"/>
      <c r="AF76" s="4"/>
      <c r="AG76" s="4"/>
      <c r="AH76" s="9"/>
      <c r="AI76" s="9"/>
      <c r="AJ76" s="9"/>
      <c r="AK76" s="9" t="s">
        <v>30</v>
      </c>
      <c r="AL76" s="10"/>
      <c r="AM76" s="10"/>
      <c r="AN76" s="10"/>
      <c r="AO76" s="10"/>
      <c r="AP76" s="10"/>
      <c r="AQ76" s="11">
        <v>13</v>
      </c>
      <c r="AR76" s="4"/>
      <c r="AS76" s="10"/>
      <c r="AT76" s="10"/>
      <c r="AU76" s="10"/>
      <c r="AV76" s="10"/>
      <c r="AW76" s="10"/>
      <c r="AX76" s="10"/>
      <c r="AY76" s="10"/>
      <c r="AZ76" s="10"/>
      <c r="BA76" s="10"/>
      <c r="BB76" s="10"/>
      <c r="BC76" s="10"/>
      <c r="BD76" s="10"/>
      <c r="BE76" s="10"/>
      <c r="BF76" s="10"/>
    </row>
    <row r="77" spans="1:58" ht="30" hidden="1" x14ac:dyDescent="0.25">
      <c r="A77" s="4" t="s">
        <v>581</v>
      </c>
      <c r="B77" s="4"/>
      <c r="C77" s="4" t="s">
        <v>22</v>
      </c>
      <c r="D77" s="4" t="s">
        <v>23</v>
      </c>
      <c r="E77" s="5" t="s">
        <v>34</v>
      </c>
      <c r="F77" s="4" t="s">
        <v>580</v>
      </c>
      <c r="G77" s="4" t="s">
        <v>26</v>
      </c>
      <c r="H77" s="4" t="s">
        <v>1033</v>
      </c>
      <c r="I77" s="12" t="s">
        <v>833</v>
      </c>
      <c r="J77" s="12">
        <f>(17.3+21.32)/2/4</f>
        <v>4.8275000000000006</v>
      </c>
      <c r="K77" s="12">
        <v>1</v>
      </c>
      <c r="L77" s="12" t="s">
        <v>834</v>
      </c>
      <c r="M77" s="51">
        <f>0.04248/4</f>
        <v>1.0619999999999999E-2</v>
      </c>
      <c r="N77" s="12">
        <v>0.75</v>
      </c>
      <c r="O77" s="12"/>
      <c r="P77" s="12">
        <v>0</v>
      </c>
      <c r="Q77" s="12">
        <v>0.75</v>
      </c>
      <c r="R77" s="12"/>
      <c r="S77" s="12">
        <v>0</v>
      </c>
      <c r="T77" s="12">
        <v>0.75</v>
      </c>
      <c r="U77" s="12"/>
      <c r="V77" s="12"/>
      <c r="W77" s="7"/>
      <c r="X77" s="12"/>
      <c r="Y77" s="7"/>
      <c r="Z77" s="7">
        <v>9</v>
      </c>
      <c r="AA77" s="7">
        <v>1</v>
      </c>
      <c r="AB77" s="7">
        <v>77100</v>
      </c>
      <c r="AC77" s="7">
        <v>1</v>
      </c>
      <c r="AD77" s="4"/>
      <c r="AE77" s="4"/>
      <c r="AF77" s="4"/>
      <c r="AG77" s="4"/>
      <c r="AH77" s="9"/>
      <c r="AI77" s="9"/>
      <c r="AJ77" s="9"/>
      <c r="AK77" s="9" t="s">
        <v>30</v>
      </c>
      <c r="AL77" s="10"/>
      <c r="AM77" s="10"/>
      <c r="AN77" s="10"/>
      <c r="AO77" s="10"/>
      <c r="AP77" s="10"/>
      <c r="AQ77" s="11" t="s">
        <v>582</v>
      </c>
      <c r="AR77" s="4"/>
      <c r="AS77" s="10" t="s">
        <v>899</v>
      </c>
      <c r="AT77" s="10"/>
      <c r="AU77" s="10"/>
      <c r="AV77" s="10"/>
      <c r="AW77" s="10"/>
      <c r="AX77" s="10"/>
      <c r="AY77" s="10"/>
      <c r="AZ77" s="10"/>
      <c r="BA77" s="10"/>
      <c r="BB77" s="10"/>
      <c r="BC77" s="10"/>
      <c r="BD77" s="10"/>
      <c r="BE77" s="10"/>
      <c r="BF77" s="10"/>
    </row>
    <row r="78" spans="1:58" ht="30" hidden="1" x14ac:dyDescent="0.25">
      <c r="A78" s="4" t="s">
        <v>583</v>
      </c>
      <c r="B78" s="4"/>
      <c r="C78" s="4" t="s">
        <v>22</v>
      </c>
      <c r="D78" s="4" t="s">
        <v>23</v>
      </c>
      <c r="E78" s="5" t="s">
        <v>34</v>
      </c>
      <c r="F78" s="4" t="s">
        <v>580</v>
      </c>
      <c r="G78" s="4" t="s">
        <v>26</v>
      </c>
      <c r="H78" s="4" t="s">
        <v>1037</v>
      </c>
      <c r="I78" s="12">
        <v>3.3</v>
      </c>
      <c r="J78" s="12">
        <v>3.3</v>
      </c>
      <c r="K78" s="12"/>
      <c r="L78" s="12"/>
      <c r="M78" s="51"/>
      <c r="N78" s="12"/>
      <c r="O78" s="12"/>
      <c r="P78" s="12"/>
      <c r="Q78" s="12"/>
      <c r="R78" s="12"/>
      <c r="S78" s="12"/>
      <c r="T78" s="12"/>
      <c r="U78" s="12"/>
      <c r="V78" s="12"/>
      <c r="W78" s="7"/>
      <c r="X78" s="12"/>
      <c r="Y78" s="7"/>
      <c r="Z78" s="7"/>
      <c r="AA78" s="7"/>
      <c r="AB78" s="8">
        <f>1/(5.99*10^-6)</f>
        <v>166944.9081803005</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c r="BF78" s="10"/>
    </row>
    <row r="79" spans="1:58" ht="30" hidden="1" x14ac:dyDescent="0.25">
      <c r="A79" s="4" t="s">
        <v>584</v>
      </c>
      <c r="B79" s="4"/>
      <c r="C79" s="4" t="s">
        <v>22</v>
      </c>
      <c r="D79" s="4" t="s">
        <v>23</v>
      </c>
      <c r="E79" s="5" t="s">
        <v>34</v>
      </c>
      <c r="F79" s="4" t="s">
        <v>580</v>
      </c>
      <c r="G79" s="4" t="s">
        <v>26</v>
      </c>
      <c r="H79" s="4" t="s">
        <v>1036</v>
      </c>
      <c r="I79" s="12">
        <v>0.1</v>
      </c>
      <c r="J79" s="12">
        <v>0.1</v>
      </c>
      <c r="K79" s="12"/>
      <c r="L79" s="12"/>
      <c r="M79" s="51"/>
      <c r="N79" s="12"/>
      <c r="O79" s="12"/>
      <c r="P79" s="12"/>
      <c r="Q79" s="12"/>
      <c r="R79" s="12"/>
      <c r="S79" s="12"/>
      <c r="T79" s="12"/>
      <c r="U79" s="12"/>
      <c r="V79" s="12"/>
      <c r="W79" s="7"/>
      <c r="X79" s="12"/>
      <c r="Y79" s="7"/>
      <c r="Z79" s="7"/>
      <c r="AA79" s="7"/>
      <c r="AB79" s="8">
        <f>1/(10^-6)</f>
        <v>1000000</v>
      </c>
      <c r="AC79" s="7"/>
      <c r="AD79" s="4"/>
      <c r="AE79" s="4"/>
      <c r="AF79" s="4"/>
      <c r="AG79" s="4"/>
      <c r="AH79" s="9"/>
      <c r="AI79" s="9"/>
      <c r="AJ79" s="9"/>
      <c r="AK79" s="9" t="s">
        <v>30</v>
      </c>
      <c r="AL79" s="10"/>
      <c r="AM79" s="10"/>
      <c r="AN79" s="10"/>
      <c r="AO79" s="10"/>
      <c r="AP79" s="10"/>
      <c r="AQ79" s="11">
        <v>13</v>
      </c>
      <c r="AR79" s="4"/>
      <c r="AS79" s="10"/>
      <c r="AT79" s="10"/>
      <c r="AU79" s="10"/>
      <c r="AV79" s="10"/>
      <c r="AW79" s="10"/>
      <c r="AX79" s="10"/>
      <c r="AY79" s="10"/>
      <c r="AZ79" s="10"/>
      <c r="BA79" s="10"/>
      <c r="BB79" s="10"/>
      <c r="BC79" s="10"/>
      <c r="BD79" s="10"/>
      <c r="BE79" s="10"/>
      <c r="BF79" s="10"/>
    </row>
    <row r="80" spans="1:58" ht="30" hidden="1" x14ac:dyDescent="0.25">
      <c r="A80" s="4" t="s">
        <v>585</v>
      </c>
      <c r="B80" s="4"/>
      <c r="C80" s="4" t="s">
        <v>22</v>
      </c>
      <c r="D80" s="4" t="s">
        <v>23</v>
      </c>
      <c r="E80" s="5" t="s">
        <v>34</v>
      </c>
      <c r="F80" s="4" t="s">
        <v>580</v>
      </c>
      <c r="G80" s="4" t="s">
        <v>26</v>
      </c>
      <c r="H80" s="4" t="s">
        <v>1036</v>
      </c>
      <c r="I80" s="12">
        <v>2.7</v>
      </c>
      <c r="J80" s="12">
        <v>2.7</v>
      </c>
      <c r="K80" s="12"/>
      <c r="L80" s="12"/>
      <c r="M80" s="51"/>
      <c r="N80" s="12"/>
      <c r="O80" s="12"/>
      <c r="P80" s="12"/>
      <c r="Q80" s="12"/>
      <c r="R80" s="12"/>
      <c r="S80" s="12"/>
      <c r="T80" s="12"/>
      <c r="U80" s="12"/>
      <c r="V80" s="12"/>
      <c r="W80" s="7"/>
      <c r="X80" s="12"/>
      <c r="Y80" s="7"/>
      <c r="Z80" s="7"/>
      <c r="AA80" s="7"/>
      <c r="AB80" s="8">
        <f>1/(5.99*10^-6)</f>
        <v>166944.9081803005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c r="BF80" s="10"/>
    </row>
    <row r="81" spans="1:58" ht="30" hidden="1" x14ac:dyDescent="0.25">
      <c r="A81" s="4" t="s">
        <v>586</v>
      </c>
      <c r="B81" s="4"/>
      <c r="C81" s="4" t="s">
        <v>22</v>
      </c>
      <c r="D81" s="4" t="s">
        <v>23</v>
      </c>
      <c r="E81" s="5" t="s">
        <v>34</v>
      </c>
      <c r="F81" s="4" t="s">
        <v>580</v>
      </c>
      <c r="G81" s="4" t="s">
        <v>26</v>
      </c>
      <c r="H81" s="4" t="s">
        <v>1034</v>
      </c>
      <c r="I81" s="12">
        <v>0.2</v>
      </c>
      <c r="J81" s="12">
        <v>0.2</v>
      </c>
      <c r="K81" s="12"/>
      <c r="L81" s="12"/>
      <c r="M81" s="51"/>
      <c r="N81" s="12"/>
      <c r="O81" s="12"/>
      <c r="P81" s="12"/>
      <c r="Q81" s="12"/>
      <c r="R81" s="12"/>
      <c r="S81" s="12"/>
      <c r="T81" s="12"/>
      <c r="U81" s="12"/>
      <c r="V81" s="12"/>
      <c r="W81" s="7"/>
      <c r="X81" s="12"/>
      <c r="Y81" s="7"/>
      <c r="Z81" s="7"/>
      <c r="AA81" s="7"/>
      <c r="AB81" s="8">
        <f>1/(10^-5)</f>
        <v>99999.999999999985</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c r="BF81" s="10"/>
    </row>
    <row r="82" spans="1:58" ht="30" hidden="1" x14ac:dyDescent="0.25">
      <c r="A82" s="4" t="s">
        <v>587</v>
      </c>
      <c r="B82" s="4"/>
      <c r="C82" s="4" t="s">
        <v>22</v>
      </c>
      <c r="D82" s="4" t="s">
        <v>23</v>
      </c>
      <c r="E82" s="5" t="s">
        <v>34</v>
      </c>
      <c r="F82" s="4" t="s">
        <v>580</v>
      </c>
      <c r="G82" s="4" t="s">
        <v>26</v>
      </c>
      <c r="H82" s="4" t="s">
        <v>1036</v>
      </c>
      <c r="I82" s="12">
        <v>9.5</v>
      </c>
      <c r="J82" s="12">
        <v>9.5</v>
      </c>
      <c r="K82" s="12"/>
      <c r="L82" s="12"/>
      <c r="M82" s="51"/>
      <c r="N82" s="12"/>
      <c r="O82" s="12"/>
      <c r="P82" s="12"/>
      <c r="Q82" s="12"/>
      <c r="R82" s="12"/>
      <c r="S82" s="12"/>
      <c r="T82" s="12"/>
      <c r="U82" s="12"/>
      <c r="V82" s="12"/>
      <c r="W82" s="7"/>
      <c r="X82" s="12"/>
      <c r="Y82" s="7"/>
      <c r="Z82" s="7"/>
      <c r="AA82" s="7"/>
      <c r="AB82" s="8">
        <f>1/(1.5*10^-5)</f>
        <v>66666.666666666657</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c r="BF82" s="10"/>
    </row>
    <row r="83" spans="1:58" ht="30" hidden="1" x14ac:dyDescent="0.25">
      <c r="A83" s="4" t="s">
        <v>588</v>
      </c>
      <c r="B83" s="4"/>
      <c r="C83" s="4" t="s">
        <v>22</v>
      </c>
      <c r="D83" s="4" t="s">
        <v>23</v>
      </c>
      <c r="E83" s="5" t="s">
        <v>34</v>
      </c>
      <c r="F83" s="4" t="s">
        <v>580</v>
      </c>
      <c r="G83" s="4" t="s">
        <v>26</v>
      </c>
      <c r="H83" s="4" t="s">
        <v>1034</v>
      </c>
      <c r="I83" s="12">
        <v>0.1</v>
      </c>
      <c r="J83" s="12">
        <v>0.01</v>
      </c>
      <c r="K83" s="12"/>
      <c r="L83" s="12"/>
      <c r="M83" s="51"/>
      <c r="N83" s="12"/>
      <c r="O83" s="12"/>
      <c r="P83" s="12"/>
      <c r="Q83" s="12"/>
      <c r="R83" s="12"/>
      <c r="S83" s="12"/>
      <c r="T83" s="12"/>
      <c r="U83" s="12"/>
      <c r="V83" s="12"/>
      <c r="W83" s="7"/>
      <c r="X83" s="12"/>
      <c r="Y83" s="7"/>
      <c r="Z83" s="7"/>
      <c r="AA83" s="7"/>
      <c r="AB83" s="8">
        <f>1/(10^-5)</f>
        <v>99999.999999999985</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c r="BF83" s="10"/>
    </row>
    <row r="84" spans="1:58" ht="30" hidden="1" x14ac:dyDescent="0.25">
      <c r="A84" s="4" t="s">
        <v>589</v>
      </c>
      <c r="B84" s="4"/>
      <c r="C84" s="4" t="s">
        <v>22</v>
      </c>
      <c r="D84" s="4" t="s">
        <v>23</v>
      </c>
      <c r="E84" s="5" t="s">
        <v>34</v>
      </c>
      <c r="F84" s="4" t="s">
        <v>580</v>
      </c>
      <c r="G84" s="4" t="s">
        <v>26</v>
      </c>
      <c r="H84" s="4" t="s">
        <v>1034</v>
      </c>
      <c r="I84" s="12">
        <v>23.6</v>
      </c>
      <c r="J84" s="12">
        <v>23.6</v>
      </c>
      <c r="K84" s="12"/>
      <c r="L84" s="12"/>
      <c r="M84" s="51"/>
      <c r="N84" s="12"/>
      <c r="O84" s="12"/>
      <c r="P84" s="12"/>
      <c r="Q84" s="12"/>
      <c r="R84" s="12"/>
      <c r="S84" s="12"/>
      <c r="T84" s="12"/>
      <c r="U84" s="12"/>
      <c r="V84" s="12"/>
      <c r="W84" s="7"/>
      <c r="X84" s="12"/>
      <c r="Y84" s="7"/>
      <c r="Z84" s="7"/>
      <c r="AA84" s="7"/>
      <c r="AB84" s="8">
        <f>1/(1.3*10^-5)</f>
        <v>76923.076923076922</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c r="BF84" s="10"/>
    </row>
    <row r="85" spans="1:58" ht="30" hidden="1" x14ac:dyDescent="0.25">
      <c r="A85" s="4" t="s">
        <v>590</v>
      </c>
      <c r="B85" s="4"/>
      <c r="C85" s="4" t="s">
        <v>22</v>
      </c>
      <c r="D85" s="4" t="s">
        <v>23</v>
      </c>
      <c r="E85" s="5" t="s">
        <v>34</v>
      </c>
      <c r="F85" s="4" t="s">
        <v>580</v>
      </c>
      <c r="G85" s="4" t="s">
        <v>26</v>
      </c>
      <c r="H85" s="4" t="s">
        <v>1037</v>
      </c>
      <c r="I85" s="12">
        <v>0.1</v>
      </c>
      <c r="J85" s="12">
        <v>0.01</v>
      </c>
      <c r="K85" s="12"/>
      <c r="L85" s="12"/>
      <c r="M85" s="51"/>
      <c r="N85" s="12"/>
      <c r="O85" s="12"/>
      <c r="P85" s="12"/>
      <c r="Q85" s="12"/>
      <c r="R85" s="12"/>
      <c r="S85" s="12"/>
      <c r="T85" s="12"/>
      <c r="U85" s="12"/>
      <c r="V85" s="12"/>
      <c r="W85" s="7"/>
      <c r="X85" s="12"/>
      <c r="Y85" s="7"/>
      <c r="Z85" s="7"/>
      <c r="AA85" s="7"/>
      <c r="AB85" s="8">
        <f>1/(10^-5)</f>
        <v>99999.999999999985</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c r="BF85" s="10"/>
    </row>
    <row r="86" spans="1:58" ht="30" hidden="1" x14ac:dyDescent="0.25">
      <c r="A86" s="4" t="s">
        <v>591</v>
      </c>
      <c r="B86" s="4"/>
      <c r="C86" s="4" t="s">
        <v>22</v>
      </c>
      <c r="D86" s="4" t="s">
        <v>23</v>
      </c>
      <c r="E86" s="5" t="s">
        <v>34</v>
      </c>
      <c r="F86" s="4" t="s">
        <v>580</v>
      </c>
      <c r="G86" s="4" t="s">
        <v>26</v>
      </c>
      <c r="H86" s="4" t="s">
        <v>1034</v>
      </c>
      <c r="I86" s="12">
        <v>0.1</v>
      </c>
      <c r="J86" s="12">
        <v>0.01</v>
      </c>
      <c r="K86" s="12"/>
      <c r="L86" s="12"/>
      <c r="M86" s="51"/>
      <c r="N86" s="12"/>
      <c r="O86" s="12"/>
      <c r="P86" s="12"/>
      <c r="Q86" s="12"/>
      <c r="R86" s="12"/>
      <c r="S86" s="12"/>
      <c r="T86" s="12"/>
      <c r="U86" s="12"/>
      <c r="V86" s="12"/>
      <c r="W86" s="7"/>
      <c r="X86" s="12"/>
      <c r="Y86" s="7"/>
      <c r="Z86" s="7"/>
      <c r="AA86" s="7"/>
      <c r="AB86" s="8">
        <f>1/(6*10^-6)</f>
        <v>166666.66666666666</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c r="BF86" s="10"/>
    </row>
    <row r="87" spans="1:58" ht="30" hidden="1" x14ac:dyDescent="0.25">
      <c r="A87" s="4" t="s">
        <v>592</v>
      </c>
      <c r="B87" s="4"/>
      <c r="C87" s="4" t="s">
        <v>22</v>
      </c>
      <c r="D87" s="4" t="s">
        <v>23</v>
      </c>
      <c r="E87" s="5" t="s">
        <v>34</v>
      </c>
      <c r="F87" s="4" t="s">
        <v>580</v>
      </c>
      <c r="G87" s="4" t="s">
        <v>26</v>
      </c>
      <c r="H87" s="4" t="s">
        <v>1039</v>
      </c>
      <c r="I87" s="12">
        <v>2</v>
      </c>
      <c r="J87" s="12">
        <v>2</v>
      </c>
      <c r="K87" s="12"/>
      <c r="L87" s="12"/>
      <c r="M87" s="51"/>
      <c r="N87" s="12"/>
      <c r="O87" s="12"/>
      <c r="P87" s="12"/>
      <c r="Q87" s="12"/>
      <c r="R87" s="12"/>
      <c r="S87" s="12"/>
      <c r="T87" s="12"/>
      <c r="U87" s="12"/>
      <c r="V87" s="12"/>
      <c r="W87" s="7"/>
      <c r="X87" s="12"/>
      <c r="Y87" s="7"/>
      <c r="Z87" s="7"/>
      <c r="AA87" s="7"/>
      <c r="AB87" s="8">
        <f>1/(10^-5)</f>
        <v>99999.999999999985</v>
      </c>
      <c r="AC87" s="7"/>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c r="BF87" s="10"/>
    </row>
    <row r="88" spans="1:58" ht="30" hidden="1" x14ac:dyDescent="0.25">
      <c r="A88" s="4" t="s">
        <v>593</v>
      </c>
      <c r="B88" s="4"/>
      <c r="C88" s="4" t="s">
        <v>22</v>
      </c>
      <c r="D88" s="4" t="s">
        <v>33</v>
      </c>
      <c r="E88" s="5" t="s">
        <v>34</v>
      </c>
      <c r="F88" s="4" t="s">
        <v>594</v>
      </c>
      <c r="G88" s="4" t="s">
        <v>26</v>
      </c>
      <c r="H88" s="4" t="s">
        <v>1036</v>
      </c>
      <c r="I88" s="12">
        <v>0.91</v>
      </c>
      <c r="J88" s="12">
        <v>0.91</v>
      </c>
      <c r="K88" s="12"/>
      <c r="L88" s="12"/>
      <c r="M88" s="51"/>
      <c r="N88" s="12"/>
      <c r="O88" s="12"/>
      <c r="P88" s="12"/>
      <c r="Q88" s="12"/>
      <c r="R88" s="12"/>
      <c r="S88" s="12"/>
      <c r="T88" s="12"/>
      <c r="U88" s="12"/>
      <c r="V88" s="12"/>
      <c r="W88" s="7"/>
      <c r="X88" s="12"/>
      <c r="Y88" s="7"/>
      <c r="Z88" s="7"/>
      <c r="AA88" s="7"/>
      <c r="AB88" s="8">
        <f>1/(5*10^-7)</f>
        <v>2000000</v>
      </c>
      <c r="AC88" s="8"/>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c r="BF88" s="10"/>
    </row>
    <row r="89" spans="1:58" ht="30" hidden="1" x14ac:dyDescent="0.25">
      <c r="A89" s="4" t="s">
        <v>595</v>
      </c>
      <c r="B89" s="4"/>
      <c r="C89" s="4" t="s">
        <v>22</v>
      </c>
      <c r="D89" s="4" t="s">
        <v>33</v>
      </c>
      <c r="E89" s="5" t="s">
        <v>34</v>
      </c>
      <c r="F89" s="4" t="s">
        <v>594</v>
      </c>
      <c r="G89" s="4" t="s">
        <v>26</v>
      </c>
      <c r="H89" s="4" t="s">
        <v>1037</v>
      </c>
      <c r="I89" s="12">
        <v>6.8</v>
      </c>
      <c r="J89" s="12">
        <v>6.8</v>
      </c>
      <c r="K89" s="12"/>
      <c r="L89" s="12"/>
      <c r="M89" s="51"/>
      <c r="N89" s="12"/>
      <c r="O89" s="12"/>
      <c r="P89" s="12"/>
      <c r="Q89" s="12"/>
      <c r="R89" s="12"/>
      <c r="S89" s="12"/>
      <c r="T89" s="12"/>
      <c r="U89" s="12"/>
      <c r="V89" s="12"/>
      <c r="W89" s="7"/>
      <c r="X89" s="12"/>
      <c r="Y89" s="7"/>
      <c r="Z89" s="7"/>
      <c r="AA89" s="7"/>
      <c r="AB89" s="8">
        <f>1/(3*10^-6)</f>
        <v>333333.33333333331</v>
      </c>
      <c r="AC89" s="8"/>
      <c r="AD89" s="4"/>
      <c r="AE89" s="4"/>
      <c r="AF89" s="4"/>
      <c r="AG89" s="4"/>
      <c r="AH89" s="9"/>
      <c r="AI89" s="9"/>
      <c r="AJ89" s="9"/>
      <c r="AK89" s="9" t="s">
        <v>30</v>
      </c>
      <c r="AL89" s="10"/>
      <c r="AM89" s="10"/>
      <c r="AN89" s="10"/>
      <c r="AO89" s="10"/>
      <c r="AP89" s="10"/>
      <c r="AQ89" s="11">
        <v>13</v>
      </c>
      <c r="AR89" s="4"/>
      <c r="AS89" s="10"/>
      <c r="AT89" s="10"/>
      <c r="AU89" s="10"/>
      <c r="AV89" s="10"/>
      <c r="AW89" s="10"/>
      <c r="AX89" s="10"/>
      <c r="AY89" s="10"/>
      <c r="AZ89" s="10"/>
      <c r="BA89" s="10"/>
      <c r="BB89" s="10"/>
      <c r="BC89" s="10"/>
      <c r="BD89" s="10"/>
      <c r="BE89" s="10"/>
      <c r="BF89" s="10"/>
    </row>
    <row r="90" spans="1:58" ht="30" hidden="1" x14ac:dyDescent="0.25">
      <c r="A90" s="4" t="s">
        <v>596</v>
      </c>
      <c r="B90" s="4"/>
      <c r="C90" s="4" t="s">
        <v>22</v>
      </c>
      <c r="D90" s="4" t="s">
        <v>33</v>
      </c>
      <c r="E90" s="5" t="s">
        <v>34</v>
      </c>
      <c r="F90" s="4" t="s">
        <v>594</v>
      </c>
      <c r="G90" s="4" t="s">
        <v>26</v>
      </c>
      <c r="H90" s="4" t="s">
        <v>1036</v>
      </c>
      <c r="I90" s="12">
        <v>0.2</v>
      </c>
      <c r="J90" s="12">
        <v>0.2</v>
      </c>
      <c r="K90" s="12"/>
      <c r="L90" s="12"/>
      <c r="M90" s="51"/>
      <c r="N90" s="12"/>
      <c r="O90" s="12"/>
      <c r="P90" s="12"/>
      <c r="Q90" s="12"/>
      <c r="R90" s="12"/>
      <c r="S90" s="12"/>
      <c r="T90" s="12"/>
      <c r="U90" s="12"/>
      <c r="V90" s="12"/>
      <c r="W90" s="7"/>
      <c r="X90" s="12"/>
      <c r="Y90" s="7"/>
      <c r="Z90" s="7"/>
      <c r="AA90" s="7"/>
      <c r="AB90" s="8">
        <f>1/(1*10^-5)</f>
        <v>99999.999999999985</v>
      </c>
      <c r="AC90" s="8"/>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c r="BF90" s="10"/>
    </row>
    <row r="91" spans="1:58" ht="30" hidden="1" x14ac:dyDescent="0.25">
      <c r="A91" s="4" t="s">
        <v>597</v>
      </c>
      <c r="B91" s="4"/>
      <c r="C91" s="4" t="s">
        <v>22</v>
      </c>
      <c r="D91" s="4" t="s">
        <v>33</v>
      </c>
      <c r="E91" s="5" t="s">
        <v>34</v>
      </c>
      <c r="F91" s="4" t="s">
        <v>594</v>
      </c>
      <c r="G91" s="4" t="s">
        <v>26</v>
      </c>
      <c r="H91" s="4" t="s">
        <v>1036</v>
      </c>
      <c r="I91" s="12">
        <v>0.91</v>
      </c>
      <c r="J91" s="12">
        <v>0.91</v>
      </c>
      <c r="K91" s="12"/>
      <c r="L91" s="12"/>
      <c r="M91" s="51"/>
      <c r="N91" s="12"/>
      <c r="O91" s="12"/>
      <c r="P91" s="12"/>
      <c r="Q91" s="12"/>
      <c r="R91" s="12"/>
      <c r="S91" s="12"/>
      <c r="T91" s="12"/>
      <c r="U91" s="12"/>
      <c r="V91" s="12"/>
      <c r="W91" s="7"/>
      <c r="X91" s="12"/>
      <c r="Y91" s="7"/>
      <c r="Z91" s="7"/>
      <c r="AA91" s="7"/>
      <c r="AB91" s="8">
        <f>1/(1*10^-6)</f>
        <v>1000000</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c r="BF91" s="10"/>
    </row>
    <row r="92" spans="1:58" ht="30" hidden="1" x14ac:dyDescent="0.25">
      <c r="A92" s="4" t="s">
        <v>598</v>
      </c>
      <c r="B92" s="4"/>
      <c r="C92" s="4" t="s">
        <v>22</v>
      </c>
      <c r="D92" s="4" t="s">
        <v>33</v>
      </c>
      <c r="E92" s="5" t="s">
        <v>34</v>
      </c>
      <c r="F92" s="4" t="s">
        <v>594</v>
      </c>
      <c r="G92" s="4" t="s">
        <v>26</v>
      </c>
      <c r="H92" s="4" t="s">
        <v>1036</v>
      </c>
      <c r="I92" s="12">
        <v>0.2</v>
      </c>
      <c r="J92" s="12">
        <v>0.2</v>
      </c>
      <c r="K92" s="12"/>
      <c r="L92" s="12"/>
      <c r="M92" s="51"/>
      <c r="N92" s="12"/>
      <c r="O92" s="12"/>
      <c r="P92" s="12"/>
      <c r="Q92" s="12"/>
      <c r="R92" s="12"/>
      <c r="S92" s="12"/>
      <c r="T92" s="12"/>
      <c r="U92" s="12"/>
      <c r="V92" s="12"/>
      <c r="W92" s="7"/>
      <c r="X92" s="12"/>
      <c r="Y92" s="7"/>
      <c r="Z92" s="7"/>
      <c r="AA92" s="7"/>
      <c r="AB92" s="8">
        <f>1/(2.14*10^-6)</f>
        <v>467289.71962616825</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c r="BF92" s="10"/>
    </row>
    <row r="93" spans="1:58" ht="30" hidden="1" x14ac:dyDescent="0.25">
      <c r="A93" s="4" t="s">
        <v>599</v>
      </c>
      <c r="B93" s="4"/>
      <c r="C93" s="4" t="s">
        <v>22</v>
      </c>
      <c r="D93" s="4" t="s">
        <v>33</v>
      </c>
      <c r="E93" s="5" t="s">
        <v>34</v>
      </c>
      <c r="F93" s="4" t="s">
        <v>594</v>
      </c>
      <c r="G93" s="4" t="s">
        <v>26</v>
      </c>
      <c r="H93" s="4" t="s">
        <v>1039</v>
      </c>
      <c r="I93" s="12">
        <v>2.09</v>
      </c>
      <c r="J93" s="12">
        <v>2.09</v>
      </c>
      <c r="K93" s="12"/>
      <c r="L93" s="12"/>
      <c r="M93" s="51"/>
      <c r="N93" s="12"/>
      <c r="O93" s="12"/>
      <c r="P93" s="12"/>
      <c r="Q93" s="12"/>
      <c r="R93" s="12"/>
      <c r="S93" s="12"/>
      <c r="T93" s="12"/>
      <c r="U93" s="12"/>
      <c r="V93" s="12"/>
      <c r="W93" s="7"/>
      <c r="X93" s="12"/>
      <c r="Y93" s="7"/>
      <c r="Z93" s="7"/>
      <c r="AA93" s="7"/>
      <c r="AB93" s="8">
        <f>1/(5*10^-6)</f>
        <v>200000.00000000003</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c r="BF93" s="10"/>
    </row>
    <row r="94" spans="1:58" ht="30" hidden="1" x14ac:dyDescent="0.25">
      <c r="A94" s="4" t="s">
        <v>600</v>
      </c>
      <c r="B94" s="4"/>
      <c r="C94" s="4" t="s">
        <v>22</v>
      </c>
      <c r="D94" s="4" t="s">
        <v>33</v>
      </c>
      <c r="E94" s="5" t="s">
        <v>34</v>
      </c>
      <c r="F94" s="4" t="s">
        <v>594</v>
      </c>
      <c r="G94" s="4" t="s">
        <v>26</v>
      </c>
      <c r="H94" s="4" t="s">
        <v>1034</v>
      </c>
      <c r="I94" s="12">
        <v>1</v>
      </c>
      <c r="J94" s="12">
        <v>1</v>
      </c>
      <c r="K94" s="12"/>
      <c r="L94" s="12"/>
      <c r="M94" s="51"/>
      <c r="N94" s="12"/>
      <c r="O94" s="12"/>
      <c r="P94" s="12"/>
      <c r="Q94" s="12"/>
      <c r="R94" s="12"/>
      <c r="S94" s="12"/>
      <c r="T94" s="12"/>
      <c r="U94" s="12"/>
      <c r="V94" s="12"/>
      <c r="W94" s="7"/>
      <c r="X94" s="12"/>
      <c r="Y94" s="7"/>
      <c r="Z94" s="7"/>
      <c r="AA94" s="7"/>
      <c r="AB94" s="8">
        <f>1/(1*10^-5)</f>
        <v>99999.999999999985</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c r="BF94" s="10"/>
    </row>
    <row r="95" spans="1:58" ht="30" hidden="1" x14ac:dyDescent="0.25">
      <c r="A95" s="4" t="s">
        <v>601</v>
      </c>
      <c r="B95" s="4"/>
      <c r="C95" s="4" t="s">
        <v>22</v>
      </c>
      <c r="D95" s="4" t="s">
        <v>33</v>
      </c>
      <c r="E95" s="5" t="s">
        <v>34</v>
      </c>
      <c r="F95" s="4" t="s">
        <v>594</v>
      </c>
      <c r="G95" s="4" t="s">
        <v>26</v>
      </c>
      <c r="H95" s="4" t="s">
        <v>1036</v>
      </c>
      <c r="I95" s="12">
        <v>5.9</v>
      </c>
      <c r="J95" s="12">
        <v>5.9</v>
      </c>
      <c r="K95" s="12"/>
      <c r="L95" s="12"/>
      <c r="M95" s="51"/>
      <c r="N95" s="12"/>
      <c r="O95" s="12"/>
      <c r="P95" s="12"/>
      <c r="Q95" s="12"/>
      <c r="R95" s="12"/>
      <c r="S95" s="12"/>
      <c r="T95" s="12"/>
      <c r="U95" s="12"/>
      <c r="V95" s="12"/>
      <c r="W95" s="7"/>
      <c r="X95" s="12"/>
      <c r="Y95" s="7"/>
      <c r="Z95" s="7"/>
      <c r="AA95" s="7"/>
      <c r="AB95" s="8">
        <f>1/(1*10^-5)</f>
        <v>99999.999999999985</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c r="BF95" s="10"/>
    </row>
    <row r="96" spans="1:58" ht="30" hidden="1" x14ac:dyDescent="0.25">
      <c r="A96" s="4" t="s">
        <v>583</v>
      </c>
      <c r="B96" s="4"/>
      <c r="C96" s="4" t="s">
        <v>22</v>
      </c>
      <c r="D96" s="4" t="s">
        <v>33</v>
      </c>
      <c r="E96" s="5" t="s">
        <v>34</v>
      </c>
      <c r="F96" s="4" t="s">
        <v>594</v>
      </c>
      <c r="G96" s="4" t="s">
        <v>26</v>
      </c>
      <c r="H96" s="4" t="s">
        <v>1034</v>
      </c>
      <c r="I96" s="12">
        <v>3.3</v>
      </c>
      <c r="J96" s="12">
        <v>3.3</v>
      </c>
      <c r="K96" s="12"/>
      <c r="L96" s="12"/>
      <c r="M96" s="51"/>
      <c r="N96" s="12"/>
      <c r="O96" s="12"/>
      <c r="P96" s="12"/>
      <c r="Q96" s="12"/>
      <c r="R96" s="12"/>
      <c r="S96" s="12"/>
      <c r="T96" s="12"/>
      <c r="U96" s="12"/>
      <c r="V96" s="12"/>
      <c r="W96" s="7"/>
      <c r="X96" s="12"/>
      <c r="Y96" s="7"/>
      <c r="Z96" s="7"/>
      <c r="AA96" s="7"/>
      <c r="AB96" s="8">
        <v>242700</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c r="BF96" s="10"/>
    </row>
    <row r="97" spans="1:58" ht="30" hidden="1" x14ac:dyDescent="0.25">
      <c r="A97" s="4" t="s">
        <v>584</v>
      </c>
      <c r="B97" s="4"/>
      <c r="C97" s="4" t="s">
        <v>22</v>
      </c>
      <c r="D97" s="4" t="s">
        <v>33</v>
      </c>
      <c r="E97" s="5" t="s">
        <v>34</v>
      </c>
      <c r="F97" s="4" t="s">
        <v>594</v>
      </c>
      <c r="G97" s="4" t="s">
        <v>26</v>
      </c>
      <c r="H97" s="4" t="s">
        <v>1034</v>
      </c>
      <c r="I97" s="12">
        <v>0.2</v>
      </c>
      <c r="J97" s="12">
        <v>0.2</v>
      </c>
      <c r="K97" s="12"/>
      <c r="L97" s="12"/>
      <c r="M97" s="51"/>
      <c r="N97" s="12"/>
      <c r="O97" s="12"/>
      <c r="P97" s="12"/>
      <c r="Q97" s="12"/>
      <c r="R97" s="12"/>
      <c r="S97" s="12"/>
      <c r="T97" s="12"/>
      <c r="U97" s="12"/>
      <c r="V97" s="12"/>
      <c r="W97" s="7"/>
      <c r="X97" s="12"/>
      <c r="Y97" s="7"/>
      <c r="Z97" s="7"/>
      <c r="AA97" s="7"/>
      <c r="AB97" s="8">
        <f>1/(1*10^-6)</f>
        <v>1000000</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c r="BF97" s="10"/>
    </row>
    <row r="98" spans="1:58" ht="30" hidden="1" x14ac:dyDescent="0.25">
      <c r="A98" s="4" t="s">
        <v>602</v>
      </c>
      <c r="B98" s="4"/>
      <c r="C98" s="4" t="s">
        <v>22</v>
      </c>
      <c r="D98" s="4" t="s">
        <v>33</v>
      </c>
      <c r="E98" s="5" t="s">
        <v>34</v>
      </c>
      <c r="F98" s="4" t="s">
        <v>594</v>
      </c>
      <c r="G98" s="4" t="s">
        <v>26</v>
      </c>
      <c r="H98" s="4" t="s">
        <v>1036</v>
      </c>
      <c r="I98" s="12">
        <v>0.6</v>
      </c>
      <c r="J98" s="12">
        <v>0.6</v>
      </c>
      <c r="K98" s="12"/>
      <c r="L98" s="12"/>
      <c r="M98" s="51"/>
      <c r="N98" s="12"/>
      <c r="O98" s="12"/>
      <c r="P98" s="12"/>
      <c r="Q98" s="12"/>
      <c r="R98" s="12"/>
      <c r="S98" s="12"/>
      <c r="T98" s="12"/>
      <c r="U98" s="12"/>
      <c r="V98" s="12"/>
      <c r="W98" s="7"/>
      <c r="X98" s="12"/>
      <c r="Y98" s="7"/>
      <c r="Z98" s="7"/>
      <c r="AA98" s="7"/>
      <c r="AB98" s="8">
        <f t="shared" ref="AB98:AB107" si="0">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c r="BF98" s="10"/>
    </row>
    <row r="99" spans="1:58" ht="30" hidden="1" x14ac:dyDescent="0.25">
      <c r="A99" s="4" t="s">
        <v>603</v>
      </c>
      <c r="B99" s="4"/>
      <c r="C99" s="4" t="s">
        <v>22</v>
      </c>
      <c r="D99" s="4" t="s">
        <v>33</v>
      </c>
      <c r="E99" s="5" t="s">
        <v>34</v>
      </c>
      <c r="F99" s="4" t="s">
        <v>594</v>
      </c>
      <c r="G99" s="4" t="s">
        <v>26</v>
      </c>
      <c r="H99" s="4" t="s">
        <v>1036</v>
      </c>
      <c r="I99" s="12">
        <v>1.36</v>
      </c>
      <c r="J99" s="12">
        <v>1.36</v>
      </c>
      <c r="K99" s="12"/>
      <c r="L99" s="12"/>
      <c r="M99" s="51"/>
      <c r="N99" s="12"/>
      <c r="O99" s="12"/>
      <c r="P99" s="12"/>
      <c r="Q99" s="12"/>
      <c r="R99" s="12"/>
      <c r="S99" s="12"/>
      <c r="T99" s="12"/>
      <c r="U99" s="12"/>
      <c r="V99" s="12"/>
      <c r="W99" s="7"/>
      <c r="X99" s="12"/>
      <c r="Y99" s="7"/>
      <c r="Z99" s="7"/>
      <c r="AA99" s="7"/>
      <c r="AB99" s="8">
        <f t="shared" si="0"/>
        <v>99999.999999999985</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c r="BF99" s="10"/>
    </row>
    <row r="100" spans="1:58" ht="30" hidden="1" x14ac:dyDescent="0.25">
      <c r="A100" s="4" t="s">
        <v>586</v>
      </c>
      <c r="B100" s="4"/>
      <c r="C100" s="4" t="s">
        <v>22</v>
      </c>
      <c r="D100" s="4" t="s">
        <v>33</v>
      </c>
      <c r="E100" s="5" t="s">
        <v>34</v>
      </c>
      <c r="F100" s="4" t="s">
        <v>594</v>
      </c>
      <c r="G100" s="4" t="s">
        <v>26</v>
      </c>
      <c r="H100" s="4" t="s">
        <v>1034</v>
      </c>
      <c r="I100" s="12">
        <v>0.2</v>
      </c>
      <c r="J100" s="12">
        <v>0.2</v>
      </c>
      <c r="K100" s="12"/>
      <c r="L100" s="12"/>
      <c r="M100" s="51"/>
      <c r="N100" s="12"/>
      <c r="O100" s="12"/>
      <c r="P100" s="12"/>
      <c r="Q100" s="12"/>
      <c r="R100" s="12"/>
      <c r="S100" s="12"/>
      <c r="T100" s="12"/>
      <c r="U100" s="12"/>
      <c r="V100" s="12"/>
      <c r="W100" s="7"/>
      <c r="X100" s="12"/>
      <c r="Y100" s="7"/>
      <c r="Z100" s="7"/>
      <c r="AA100" s="7"/>
      <c r="AB100" s="8">
        <f t="shared" si="0"/>
        <v>99999.999999999985</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c r="BF100" s="10"/>
    </row>
    <row r="101" spans="1:58" ht="30" hidden="1" x14ac:dyDescent="0.25">
      <c r="A101" s="4" t="s">
        <v>590</v>
      </c>
      <c r="B101" s="4"/>
      <c r="C101" s="4" t="s">
        <v>22</v>
      </c>
      <c r="D101" s="4" t="s">
        <v>33</v>
      </c>
      <c r="E101" s="5" t="s">
        <v>34</v>
      </c>
      <c r="F101" s="4" t="s">
        <v>594</v>
      </c>
      <c r="G101" s="4" t="s">
        <v>26</v>
      </c>
      <c r="H101" s="4" t="s">
        <v>1034</v>
      </c>
      <c r="I101" s="12">
        <v>0.1</v>
      </c>
      <c r="J101" s="12">
        <v>0.1</v>
      </c>
      <c r="K101" s="12"/>
      <c r="L101" s="12"/>
      <c r="M101" s="51"/>
      <c r="N101" s="12"/>
      <c r="O101" s="12"/>
      <c r="P101" s="12"/>
      <c r="Q101" s="12"/>
      <c r="R101" s="12"/>
      <c r="S101" s="12"/>
      <c r="T101" s="12"/>
      <c r="U101" s="12"/>
      <c r="V101" s="12"/>
      <c r="W101" s="7"/>
      <c r="X101" s="12"/>
      <c r="Y101" s="7"/>
      <c r="Z101" s="7"/>
      <c r="AA101" s="7"/>
      <c r="AB101" s="8">
        <f t="shared" si="0"/>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c r="BF101" s="10"/>
    </row>
    <row r="102" spans="1:58" ht="30" hidden="1" x14ac:dyDescent="0.25">
      <c r="A102" s="4" t="s">
        <v>592</v>
      </c>
      <c r="B102" s="4"/>
      <c r="C102" s="4" t="s">
        <v>22</v>
      </c>
      <c r="D102" s="4" t="s">
        <v>33</v>
      </c>
      <c r="E102" s="5" t="s">
        <v>34</v>
      </c>
      <c r="F102" s="4" t="s">
        <v>594</v>
      </c>
      <c r="G102" s="4" t="s">
        <v>26</v>
      </c>
      <c r="H102" s="4" t="s">
        <v>1036</v>
      </c>
      <c r="I102" s="12">
        <v>2.09</v>
      </c>
      <c r="J102" s="12">
        <v>2.09</v>
      </c>
      <c r="K102" s="12"/>
      <c r="L102" s="12"/>
      <c r="M102" s="51"/>
      <c r="N102" s="12"/>
      <c r="O102" s="12"/>
      <c r="P102" s="12"/>
      <c r="Q102" s="12"/>
      <c r="R102" s="12"/>
      <c r="S102" s="12"/>
      <c r="T102" s="12"/>
      <c r="U102" s="12"/>
      <c r="V102" s="12"/>
      <c r="W102" s="7"/>
      <c r="X102" s="12"/>
      <c r="Y102" s="7"/>
      <c r="Z102" s="7"/>
      <c r="AA102" s="7"/>
      <c r="AB102" s="8">
        <f t="shared" si="0"/>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c r="BF102" s="10"/>
    </row>
    <row r="103" spans="1:58" ht="30" hidden="1" x14ac:dyDescent="0.25">
      <c r="A103" s="4" t="s">
        <v>604</v>
      </c>
      <c r="B103" s="4"/>
      <c r="C103" s="4" t="s">
        <v>22</v>
      </c>
      <c r="D103" s="4" t="s">
        <v>33</v>
      </c>
      <c r="E103" s="5" t="s">
        <v>34</v>
      </c>
      <c r="F103" s="4" t="s">
        <v>594</v>
      </c>
      <c r="G103" s="4" t="s">
        <v>26</v>
      </c>
      <c r="H103" s="4" t="s">
        <v>1036</v>
      </c>
      <c r="I103" s="12">
        <v>2</v>
      </c>
      <c r="J103" s="12">
        <v>2</v>
      </c>
      <c r="K103" s="12"/>
      <c r="L103" s="12"/>
      <c r="M103" s="51"/>
      <c r="N103" s="12"/>
      <c r="O103" s="12"/>
      <c r="P103" s="12"/>
      <c r="Q103" s="12"/>
      <c r="R103" s="12"/>
      <c r="S103" s="12"/>
      <c r="T103" s="12"/>
      <c r="U103" s="12"/>
      <c r="V103" s="12"/>
      <c r="W103" s="7"/>
      <c r="X103" s="12"/>
      <c r="Y103" s="7"/>
      <c r="Z103" s="7"/>
      <c r="AA103" s="7"/>
      <c r="AB103" s="8">
        <f t="shared" si="0"/>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c r="BF103" s="10"/>
    </row>
    <row r="104" spans="1:58" ht="30" hidden="1" x14ac:dyDescent="0.25">
      <c r="A104" s="4" t="s">
        <v>605</v>
      </c>
      <c r="B104" s="4"/>
      <c r="C104" s="4" t="s">
        <v>22</v>
      </c>
      <c r="D104" s="4" t="s">
        <v>33</v>
      </c>
      <c r="E104" s="5" t="s">
        <v>34</v>
      </c>
      <c r="F104" s="4" t="s">
        <v>594</v>
      </c>
      <c r="G104" s="4" t="s">
        <v>26</v>
      </c>
      <c r="H104" s="4" t="s">
        <v>1038</v>
      </c>
      <c r="I104" s="12">
        <v>0.23</v>
      </c>
      <c r="J104" s="12">
        <v>0.23</v>
      </c>
      <c r="K104" s="12"/>
      <c r="L104" s="12"/>
      <c r="M104" s="51"/>
      <c r="N104" s="12"/>
      <c r="O104" s="12"/>
      <c r="P104" s="12"/>
      <c r="Q104" s="12"/>
      <c r="R104" s="12"/>
      <c r="S104" s="12"/>
      <c r="T104" s="12"/>
      <c r="U104" s="12"/>
      <c r="V104" s="12"/>
      <c r="W104" s="7"/>
      <c r="X104" s="12"/>
      <c r="Y104" s="7"/>
      <c r="Z104" s="7"/>
      <c r="AA104" s="7"/>
      <c r="AB104" s="8">
        <f t="shared" si="0"/>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c r="BF104" s="10"/>
    </row>
    <row r="105" spans="1:58" ht="30" hidden="1" x14ac:dyDescent="0.25">
      <c r="A105" s="4" t="s">
        <v>606</v>
      </c>
      <c r="B105" s="4"/>
      <c r="C105" s="4" t="s">
        <v>22</v>
      </c>
      <c r="D105" s="4" t="s">
        <v>33</v>
      </c>
      <c r="E105" s="5" t="s">
        <v>34</v>
      </c>
      <c r="F105" s="4" t="s">
        <v>594</v>
      </c>
      <c r="G105" s="4" t="s">
        <v>26</v>
      </c>
      <c r="H105" s="4" t="s">
        <v>1036</v>
      </c>
      <c r="I105" s="12">
        <v>0.45</v>
      </c>
      <c r="J105" s="12">
        <v>0.45</v>
      </c>
      <c r="K105" s="12"/>
      <c r="L105" s="12"/>
      <c r="M105" s="51"/>
      <c r="N105" s="12"/>
      <c r="O105" s="12"/>
      <c r="P105" s="12"/>
      <c r="Q105" s="12"/>
      <c r="R105" s="12"/>
      <c r="S105" s="12"/>
      <c r="T105" s="12"/>
      <c r="U105" s="12"/>
      <c r="V105" s="12"/>
      <c r="W105" s="7"/>
      <c r="X105" s="12"/>
      <c r="Y105" s="7"/>
      <c r="Z105" s="7"/>
      <c r="AA105" s="7"/>
      <c r="AB105" s="8">
        <f t="shared" si="0"/>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c r="BF105" s="10"/>
    </row>
    <row r="106" spans="1:58" ht="30" hidden="1" x14ac:dyDescent="0.25">
      <c r="A106" s="4" t="s">
        <v>607</v>
      </c>
      <c r="B106" s="4"/>
      <c r="C106" s="4" t="s">
        <v>22</v>
      </c>
      <c r="D106" s="4" t="s">
        <v>33</v>
      </c>
      <c r="E106" s="5" t="s">
        <v>34</v>
      </c>
      <c r="F106" s="4" t="s">
        <v>594</v>
      </c>
      <c r="G106" s="4" t="s">
        <v>26</v>
      </c>
      <c r="H106" s="4" t="s">
        <v>1034</v>
      </c>
      <c r="I106" s="12">
        <v>1.36</v>
      </c>
      <c r="J106" s="12">
        <v>1.36</v>
      </c>
      <c r="K106" s="12"/>
      <c r="L106" s="12"/>
      <c r="M106" s="51"/>
      <c r="N106" s="12"/>
      <c r="O106" s="12"/>
      <c r="P106" s="12"/>
      <c r="Q106" s="12"/>
      <c r="R106" s="12"/>
      <c r="S106" s="12"/>
      <c r="T106" s="12"/>
      <c r="U106" s="12"/>
      <c r="V106" s="12"/>
      <c r="W106" s="7"/>
      <c r="X106" s="12"/>
      <c r="Y106" s="7"/>
      <c r="Z106" s="7"/>
      <c r="AA106" s="7"/>
      <c r="AB106" s="8">
        <f t="shared" si="0"/>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c r="BF106" s="10"/>
    </row>
    <row r="107" spans="1:58" ht="30" hidden="1" x14ac:dyDescent="0.25">
      <c r="A107" s="4" t="s">
        <v>608</v>
      </c>
      <c r="B107" s="4"/>
      <c r="C107" s="4" t="s">
        <v>22</v>
      </c>
      <c r="D107" s="4" t="s">
        <v>33</v>
      </c>
      <c r="E107" s="5" t="s">
        <v>34</v>
      </c>
      <c r="F107" s="4" t="s">
        <v>594</v>
      </c>
      <c r="G107" s="4" t="s">
        <v>26</v>
      </c>
      <c r="H107" s="4" t="s">
        <v>1036</v>
      </c>
      <c r="I107" s="12">
        <v>0.91</v>
      </c>
      <c r="J107" s="12">
        <v>0.91</v>
      </c>
      <c r="K107" s="12"/>
      <c r="L107" s="12"/>
      <c r="M107" s="51"/>
      <c r="N107" s="12"/>
      <c r="O107" s="12"/>
      <c r="P107" s="12"/>
      <c r="Q107" s="12"/>
      <c r="R107" s="12"/>
      <c r="S107" s="12"/>
      <c r="T107" s="12"/>
      <c r="U107" s="12"/>
      <c r="V107" s="12"/>
      <c r="W107" s="7"/>
      <c r="X107" s="12"/>
      <c r="Y107" s="7"/>
      <c r="Z107" s="7"/>
      <c r="AA107" s="7"/>
      <c r="AB107" s="8">
        <f t="shared" si="0"/>
        <v>99999.999999999985</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c r="BF107" s="10"/>
    </row>
    <row r="108" spans="1:58" ht="30" hidden="1" x14ac:dyDescent="0.25">
      <c r="A108" s="4" t="s">
        <v>609</v>
      </c>
      <c r="B108" s="4"/>
      <c r="C108" s="4" t="s">
        <v>22</v>
      </c>
      <c r="D108" s="4" t="s">
        <v>33</v>
      </c>
      <c r="E108" s="5" t="s">
        <v>34</v>
      </c>
      <c r="F108" s="4" t="s">
        <v>594</v>
      </c>
      <c r="G108" s="4" t="s">
        <v>26</v>
      </c>
      <c r="H108" s="4" t="s">
        <v>1036</v>
      </c>
      <c r="I108" s="12">
        <v>1.36</v>
      </c>
      <c r="J108" s="12">
        <v>1.36</v>
      </c>
      <c r="K108" s="12"/>
      <c r="L108" s="12"/>
      <c r="M108" s="51"/>
      <c r="N108" s="12"/>
      <c r="O108" s="12"/>
      <c r="P108" s="12"/>
      <c r="Q108" s="12"/>
      <c r="R108" s="12"/>
      <c r="S108" s="12"/>
      <c r="T108" s="12"/>
      <c r="U108" s="12"/>
      <c r="V108" s="12"/>
      <c r="W108" s="7"/>
      <c r="X108" s="12"/>
      <c r="Y108" s="7"/>
      <c r="Z108" s="7"/>
      <c r="AA108" s="7"/>
      <c r="AB108" s="8">
        <f>1/(2.33*10^-5)</f>
        <v>42918.454935622307</v>
      </c>
      <c r="AC108" s="8"/>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c r="BF108" s="10"/>
    </row>
    <row r="109" spans="1:58" ht="30" hidden="1" x14ac:dyDescent="0.25">
      <c r="A109" s="4" t="s">
        <v>610</v>
      </c>
      <c r="B109" s="4"/>
      <c r="C109" s="4" t="s">
        <v>22</v>
      </c>
      <c r="D109" s="4" t="s">
        <v>33</v>
      </c>
      <c r="E109" s="5" t="s">
        <v>34</v>
      </c>
      <c r="F109" s="4" t="s">
        <v>594</v>
      </c>
      <c r="G109" s="4" t="s">
        <v>26</v>
      </c>
      <c r="H109" s="4" t="s">
        <v>1038</v>
      </c>
      <c r="I109" s="12">
        <v>0.2</v>
      </c>
      <c r="J109" s="12">
        <v>0.2</v>
      </c>
      <c r="K109" s="12"/>
      <c r="L109" s="12"/>
      <c r="M109" s="51"/>
      <c r="N109" s="12"/>
      <c r="O109" s="12"/>
      <c r="P109" s="12"/>
      <c r="Q109" s="12"/>
      <c r="R109" s="12"/>
      <c r="S109" s="12"/>
      <c r="T109" s="12"/>
      <c r="U109" s="12"/>
      <c r="V109" s="12"/>
      <c r="W109" s="7"/>
      <c r="X109" s="12"/>
      <c r="Y109" s="7"/>
      <c r="Z109" s="7"/>
      <c r="AA109" s="7"/>
      <c r="AB109" s="8"/>
      <c r="AC109" s="7"/>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c r="BF109" s="10"/>
    </row>
    <row r="110" spans="1:58" ht="30" hidden="1" x14ac:dyDescent="0.25">
      <c r="A110" s="4" t="s">
        <v>611</v>
      </c>
      <c r="B110" s="4"/>
      <c r="C110" s="4" t="s">
        <v>22</v>
      </c>
      <c r="D110" s="4" t="s">
        <v>33</v>
      </c>
      <c r="E110" s="5" t="s">
        <v>34</v>
      </c>
      <c r="F110" s="4" t="s">
        <v>612</v>
      </c>
      <c r="G110" s="4" t="s">
        <v>26</v>
      </c>
      <c r="H110" s="4" t="s">
        <v>613</v>
      </c>
      <c r="I110" s="12"/>
      <c r="J110" s="12"/>
      <c r="K110" s="12"/>
      <c r="L110" s="12"/>
      <c r="M110" s="51"/>
      <c r="N110" s="12"/>
      <c r="O110" s="12"/>
      <c r="P110" s="12"/>
      <c r="Q110" s="12"/>
      <c r="R110" s="12"/>
      <c r="S110" s="12"/>
      <c r="T110" s="12"/>
      <c r="U110" s="12"/>
      <c r="V110" s="12"/>
      <c r="W110" s="7"/>
      <c r="X110" s="12"/>
      <c r="Y110" s="7"/>
      <c r="Z110" s="7"/>
      <c r="AA110" s="7"/>
      <c r="AB110" s="8">
        <v>77100</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c r="BF110" s="10"/>
    </row>
    <row r="111" spans="1:58" ht="30" hidden="1" x14ac:dyDescent="0.25">
      <c r="A111" s="4" t="s">
        <v>81</v>
      </c>
      <c r="B111" s="4"/>
      <c r="C111" s="4" t="s">
        <v>22</v>
      </c>
      <c r="D111" s="4" t="s">
        <v>33</v>
      </c>
      <c r="E111" s="5" t="s">
        <v>34</v>
      </c>
      <c r="F111" s="4" t="s">
        <v>612</v>
      </c>
      <c r="G111" s="4" t="s">
        <v>26</v>
      </c>
      <c r="H111" s="4" t="s">
        <v>1048</v>
      </c>
      <c r="I111" s="12">
        <v>5.6</v>
      </c>
      <c r="J111" s="12">
        <v>5.6</v>
      </c>
      <c r="K111" s="12"/>
      <c r="L111" s="12"/>
      <c r="M111" s="51"/>
      <c r="N111" s="12"/>
      <c r="O111" s="12"/>
      <c r="P111" s="12"/>
      <c r="Q111" s="12"/>
      <c r="R111" s="12"/>
      <c r="S111" s="12"/>
      <c r="T111" s="12"/>
      <c r="U111" s="12"/>
      <c r="V111" s="12"/>
      <c r="W111" s="7"/>
      <c r="X111" s="12"/>
      <c r="Y111" s="7"/>
      <c r="Z111" s="7"/>
      <c r="AA111" s="7"/>
      <c r="AB111" s="8">
        <f>1/(8*10^-6)</f>
        <v>125000</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c r="BF111" s="10"/>
    </row>
    <row r="112" spans="1:58" ht="30" hidden="1" x14ac:dyDescent="0.25">
      <c r="A112" s="4" t="s">
        <v>614</v>
      </c>
      <c r="B112" s="4"/>
      <c r="C112" s="4" t="s">
        <v>22</v>
      </c>
      <c r="D112" s="4" t="s">
        <v>33</v>
      </c>
      <c r="E112" s="5" t="s">
        <v>34</v>
      </c>
      <c r="F112" s="4" t="s">
        <v>612</v>
      </c>
      <c r="G112" s="4" t="s">
        <v>26</v>
      </c>
      <c r="H112" s="4" t="s">
        <v>613</v>
      </c>
      <c r="I112" s="12"/>
      <c r="J112" s="12"/>
      <c r="K112" s="12"/>
      <c r="L112" s="12"/>
      <c r="M112" s="51"/>
      <c r="N112" s="12"/>
      <c r="O112" s="12"/>
      <c r="P112" s="12"/>
      <c r="Q112" s="12"/>
      <c r="R112" s="12"/>
      <c r="S112" s="12"/>
      <c r="T112" s="12"/>
      <c r="U112" s="12"/>
      <c r="V112" s="12"/>
      <c r="W112" s="7"/>
      <c r="X112" s="12"/>
      <c r="Y112" s="7"/>
      <c r="Z112" s="7"/>
      <c r="AA112" s="7"/>
      <c r="AB112" s="8">
        <f>1/(4.67*10^-5)</f>
        <v>21413.276231263382</v>
      </c>
      <c r="AC112" s="8"/>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c r="BF112" s="10"/>
    </row>
    <row r="113" spans="1:58" ht="30" hidden="1" x14ac:dyDescent="0.25">
      <c r="A113" s="4" t="s">
        <v>583</v>
      </c>
      <c r="B113" s="4"/>
      <c r="C113" s="4" t="s">
        <v>22</v>
      </c>
      <c r="D113" s="4" t="s">
        <v>33</v>
      </c>
      <c r="E113" s="5" t="s">
        <v>34</v>
      </c>
      <c r="F113" s="4" t="s">
        <v>612</v>
      </c>
      <c r="G113" s="4" t="s">
        <v>26</v>
      </c>
      <c r="H113" s="4" t="s">
        <v>613</v>
      </c>
      <c r="I113" s="12">
        <v>3.3</v>
      </c>
      <c r="J113" s="12">
        <v>3.3</v>
      </c>
      <c r="K113" s="12"/>
      <c r="L113" s="12"/>
      <c r="M113" s="51"/>
      <c r="N113" s="12"/>
      <c r="O113" s="12"/>
      <c r="P113" s="12"/>
      <c r="Q113" s="12"/>
      <c r="R113" s="12"/>
      <c r="S113" s="12"/>
      <c r="T113" s="12"/>
      <c r="U113" s="12"/>
      <c r="V113" s="12"/>
      <c r="W113" s="7"/>
      <c r="X113" s="12"/>
      <c r="Y113" s="7"/>
      <c r="Z113" s="7"/>
      <c r="AA113" s="7"/>
      <c r="AB113" s="8">
        <f>1/(5.99*10^-6)</f>
        <v>166944.9081803005</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c r="BF113" s="10"/>
    </row>
    <row r="114" spans="1:58" ht="30" hidden="1" x14ac:dyDescent="0.25">
      <c r="A114" s="4" t="s">
        <v>586</v>
      </c>
      <c r="B114" s="4"/>
      <c r="C114" s="4" t="s">
        <v>22</v>
      </c>
      <c r="D114" s="4" t="s">
        <v>33</v>
      </c>
      <c r="E114" s="5" t="s">
        <v>34</v>
      </c>
      <c r="F114" s="4" t="s">
        <v>612</v>
      </c>
      <c r="G114" s="4" t="s">
        <v>26</v>
      </c>
      <c r="H114" s="4" t="s">
        <v>615</v>
      </c>
      <c r="I114" s="12"/>
      <c r="J114" s="12"/>
      <c r="K114" s="12"/>
      <c r="L114" s="12"/>
      <c r="M114" s="51"/>
      <c r="N114" s="12"/>
      <c r="O114" s="12"/>
      <c r="P114" s="12"/>
      <c r="Q114" s="12"/>
      <c r="R114" s="12"/>
      <c r="S114" s="12"/>
      <c r="T114" s="12"/>
      <c r="U114" s="12"/>
      <c r="V114" s="12"/>
      <c r="W114" s="7"/>
      <c r="X114" s="12"/>
      <c r="Y114" s="7"/>
      <c r="Z114" s="7"/>
      <c r="AA114" s="7"/>
      <c r="AB114" s="8">
        <f>1/(1*10^-5)</f>
        <v>99999.999999999985</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c r="BF114" s="10"/>
    </row>
    <row r="115" spans="1:58" ht="30" hidden="1" x14ac:dyDescent="0.25">
      <c r="A115" s="4" t="s">
        <v>587</v>
      </c>
      <c r="B115" s="4"/>
      <c r="C115" s="4" t="s">
        <v>22</v>
      </c>
      <c r="D115" s="4" t="s">
        <v>33</v>
      </c>
      <c r="E115" s="5" t="s">
        <v>34</v>
      </c>
      <c r="F115" s="4" t="s">
        <v>612</v>
      </c>
      <c r="G115" s="4" t="s">
        <v>26</v>
      </c>
      <c r="H115" s="4" t="s">
        <v>615</v>
      </c>
      <c r="I115" s="12">
        <v>10.9</v>
      </c>
      <c r="J115" s="12">
        <v>10.9</v>
      </c>
      <c r="K115" s="12"/>
      <c r="L115" s="12"/>
      <c r="M115" s="51"/>
      <c r="N115" s="12"/>
      <c r="O115" s="12"/>
      <c r="P115" s="12"/>
      <c r="Q115" s="12"/>
      <c r="R115" s="12"/>
      <c r="S115" s="12"/>
      <c r="T115" s="12"/>
      <c r="U115" s="12"/>
      <c r="V115" s="12"/>
      <c r="W115" s="7"/>
      <c r="X115" s="12"/>
      <c r="Y115" s="7"/>
      <c r="Z115" s="7"/>
      <c r="AA115" s="7"/>
      <c r="AB115" s="8">
        <v>156200</v>
      </c>
      <c r="AC115" s="8"/>
      <c r="AD115" s="4"/>
      <c r="AE115" s="4"/>
      <c r="AF115" s="4"/>
      <c r="AG115" s="4"/>
      <c r="AH115" s="9"/>
      <c r="AI115" s="9"/>
      <c r="AJ115" s="9"/>
      <c r="AK115" s="9" t="s">
        <v>30</v>
      </c>
      <c r="AL115" s="10"/>
      <c r="AM115" s="10"/>
      <c r="AN115" s="10"/>
      <c r="AO115" s="10"/>
      <c r="AP115" s="10"/>
      <c r="AQ115" s="11">
        <v>13</v>
      </c>
      <c r="AR115" s="4"/>
      <c r="AS115" s="10"/>
      <c r="AT115" s="10"/>
      <c r="AU115" s="10"/>
      <c r="AV115" s="10"/>
      <c r="AW115" s="10"/>
      <c r="AX115" s="10"/>
      <c r="AY115" s="10"/>
      <c r="AZ115" s="10"/>
      <c r="BA115" s="10"/>
      <c r="BB115" s="10"/>
      <c r="BC115" s="10"/>
      <c r="BD115" s="10"/>
      <c r="BE115" s="10"/>
      <c r="BF115" s="10"/>
    </row>
    <row r="116" spans="1:58" ht="30" hidden="1" x14ac:dyDescent="0.25">
      <c r="A116" s="4" t="s">
        <v>1205</v>
      </c>
      <c r="B116" s="4"/>
      <c r="C116" s="4" t="s">
        <v>22</v>
      </c>
      <c r="D116" s="4" t="s">
        <v>33</v>
      </c>
      <c r="E116" s="5" t="s">
        <v>34</v>
      </c>
      <c r="F116" s="4"/>
      <c r="G116" s="4" t="s">
        <v>26</v>
      </c>
      <c r="H116" s="4" t="s">
        <v>615</v>
      </c>
      <c r="I116" s="12">
        <v>2.7</v>
      </c>
      <c r="J116" s="12">
        <v>2.7</v>
      </c>
      <c r="K116" s="12"/>
      <c r="L116" s="12"/>
      <c r="M116" s="51"/>
      <c r="N116" s="12"/>
      <c r="O116" s="12"/>
      <c r="P116" s="12"/>
      <c r="Q116" s="12"/>
      <c r="R116" s="12"/>
      <c r="S116" s="12"/>
      <c r="T116" s="12"/>
      <c r="U116" s="12"/>
      <c r="V116" s="12"/>
      <c r="W116" s="7"/>
      <c r="X116" s="12"/>
      <c r="Y116" s="7"/>
      <c r="Z116" s="7"/>
      <c r="AA116" s="7"/>
      <c r="AB116" s="8">
        <v>2272000</v>
      </c>
      <c r="AC116" s="8"/>
      <c r="AD116" s="4"/>
      <c r="AE116" s="4"/>
      <c r="AF116" s="4"/>
      <c r="AG116" s="4"/>
      <c r="AH116" s="9"/>
      <c r="AI116" s="9"/>
      <c r="AJ116" s="9"/>
      <c r="AK116" s="9"/>
      <c r="AL116" s="10"/>
      <c r="AM116" s="10"/>
      <c r="AN116" s="10"/>
      <c r="AO116" s="10"/>
      <c r="AP116" s="10"/>
      <c r="AQ116" s="11"/>
      <c r="AR116" s="4"/>
      <c r="AS116" s="10"/>
      <c r="AT116" s="10"/>
      <c r="AU116" s="10"/>
      <c r="AV116" s="10"/>
      <c r="AW116" s="10"/>
      <c r="AX116" s="10"/>
      <c r="AY116" s="10"/>
      <c r="AZ116" s="10"/>
      <c r="BA116" s="10"/>
      <c r="BB116" s="10"/>
      <c r="BC116" s="10"/>
      <c r="BD116" s="10"/>
      <c r="BE116" s="10"/>
      <c r="BF116" s="10"/>
    </row>
    <row r="117" spans="1:58" ht="30" hidden="1" x14ac:dyDescent="0.25">
      <c r="A117" s="4" t="s">
        <v>590</v>
      </c>
      <c r="B117" s="4"/>
      <c r="C117" s="4" t="s">
        <v>22</v>
      </c>
      <c r="D117" s="4" t="s">
        <v>33</v>
      </c>
      <c r="E117" s="5" t="s">
        <v>34</v>
      </c>
      <c r="F117" s="4" t="s">
        <v>612</v>
      </c>
      <c r="G117" s="4" t="s">
        <v>26</v>
      </c>
      <c r="H117" s="4" t="s">
        <v>616</v>
      </c>
      <c r="I117" s="12">
        <v>0.1</v>
      </c>
      <c r="J117" s="12">
        <v>0.1</v>
      </c>
      <c r="K117" s="12"/>
      <c r="L117" s="12"/>
      <c r="M117" s="51"/>
      <c r="N117" s="12"/>
      <c r="O117" s="12"/>
      <c r="P117" s="12"/>
      <c r="Q117" s="12"/>
      <c r="R117" s="12"/>
      <c r="S117" s="12"/>
      <c r="T117" s="12"/>
      <c r="U117" s="12"/>
      <c r="V117" s="12"/>
      <c r="W117" s="7"/>
      <c r="X117" s="12"/>
      <c r="Y117" s="7"/>
      <c r="Z117" s="7"/>
      <c r="AA117" s="7"/>
      <c r="AB117" s="8">
        <f>1/(1*10^-5)</f>
        <v>99999.999999999985</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c r="BF117" s="10"/>
    </row>
    <row r="118" spans="1:58" ht="30" hidden="1" x14ac:dyDescent="0.25">
      <c r="A118" s="4" t="s">
        <v>1204</v>
      </c>
      <c r="B118" s="4"/>
      <c r="C118" s="4" t="s">
        <v>22</v>
      </c>
      <c r="D118" s="4" t="s">
        <v>33</v>
      </c>
      <c r="E118" s="5" t="s">
        <v>34</v>
      </c>
      <c r="F118" s="4" t="s">
        <v>612</v>
      </c>
      <c r="G118" s="4" t="s">
        <v>26</v>
      </c>
      <c r="H118" s="4" t="s">
        <v>615</v>
      </c>
      <c r="I118" s="12">
        <v>3</v>
      </c>
      <c r="J118" s="12">
        <v>3</v>
      </c>
      <c r="K118" s="12"/>
      <c r="L118" s="12"/>
      <c r="M118" s="51"/>
      <c r="N118" s="12"/>
      <c r="O118" s="12"/>
      <c r="P118" s="12"/>
      <c r="Q118" s="12"/>
      <c r="R118" s="12"/>
      <c r="S118" s="12"/>
      <c r="T118" s="12"/>
      <c r="U118" s="12"/>
      <c r="V118" s="12"/>
      <c r="W118" s="7"/>
      <c r="X118" s="12"/>
      <c r="Y118" s="7"/>
      <c r="Z118" s="7"/>
      <c r="AA118" s="7"/>
      <c r="AB118" s="8">
        <v>117000</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c r="BF118" s="10"/>
    </row>
    <row r="119" spans="1:58" ht="30" hidden="1" x14ac:dyDescent="0.25">
      <c r="A119" s="4" t="s">
        <v>592</v>
      </c>
      <c r="B119" s="4"/>
      <c r="C119" s="4" t="s">
        <v>22</v>
      </c>
      <c r="D119" s="4" t="s">
        <v>33</v>
      </c>
      <c r="E119" s="5" t="s">
        <v>34</v>
      </c>
      <c r="F119" s="4" t="s">
        <v>612</v>
      </c>
      <c r="G119" s="4" t="s">
        <v>26</v>
      </c>
      <c r="H119" s="4" t="s">
        <v>613</v>
      </c>
      <c r="I119" s="12"/>
      <c r="J119" s="12"/>
      <c r="K119" s="12"/>
      <c r="L119" s="12"/>
      <c r="M119" s="51"/>
      <c r="N119" s="12"/>
      <c r="O119" s="12"/>
      <c r="P119" s="12"/>
      <c r="Q119" s="12"/>
      <c r="R119" s="12"/>
      <c r="S119" s="12"/>
      <c r="T119" s="12"/>
      <c r="U119" s="12"/>
      <c r="V119" s="12"/>
      <c r="W119" s="7"/>
      <c r="X119" s="12"/>
      <c r="Y119" s="7"/>
      <c r="Z119" s="7"/>
      <c r="AA119" s="7"/>
      <c r="AB119" s="8">
        <f>1/(1*10^-5)</f>
        <v>99999.999999999985</v>
      </c>
      <c r="AC119" s="8"/>
      <c r="AD119" s="4"/>
      <c r="AE119" s="4"/>
      <c r="AF119" s="4"/>
      <c r="AG119" s="4"/>
      <c r="AH119" s="9"/>
      <c r="AI119" s="9"/>
      <c r="AJ119" s="9"/>
      <c r="AK119" s="9" t="s">
        <v>30</v>
      </c>
      <c r="AL119" s="10"/>
      <c r="AM119" s="10"/>
      <c r="AN119" s="10"/>
      <c r="AO119" s="10"/>
      <c r="AP119" s="10"/>
      <c r="AQ119" s="11">
        <v>13</v>
      </c>
      <c r="AR119" s="4"/>
      <c r="AS119" s="10"/>
      <c r="AT119" s="10"/>
      <c r="AU119" s="10"/>
      <c r="AV119" s="10"/>
      <c r="AW119" s="10"/>
      <c r="AX119" s="10"/>
      <c r="AY119" s="10"/>
      <c r="AZ119" s="10"/>
      <c r="BA119" s="10"/>
      <c r="BB119" s="10"/>
      <c r="BC119" s="10"/>
      <c r="BD119" s="10"/>
      <c r="BE119" s="10"/>
      <c r="BF119" s="10"/>
    </row>
    <row r="120" spans="1:58" ht="30" hidden="1" x14ac:dyDescent="0.25">
      <c r="A120" s="4" t="s">
        <v>604</v>
      </c>
      <c r="B120" s="4"/>
      <c r="C120" s="4" t="s">
        <v>22</v>
      </c>
      <c r="D120" s="4" t="s">
        <v>33</v>
      </c>
      <c r="E120" s="5" t="s">
        <v>34</v>
      </c>
      <c r="F120" s="4" t="s">
        <v>612</v>
      </c>
      <c r="G120" s="4" t="s">
        <v>26</v>
      </c>
      <c r="H120" s="4" t="s">
        <v>1048</v>
      </c>
      <c r="I120" s="12"/>
      <c r="J120" s="12"/>
      <c r="K120" s="12"/>
      <c r="L120" s="12"/>
      <c r="M120" s="51"/>
      <c r="N120" s="12"/>
      <c r="O120" s="12"/>
      <c r="P120" s="12"/>
      <c r="Q120" s="12"/>
      <c r="R120" s="12"/>
      <c r="S120" s="12"/>
      <c r="T120" s="12"/>
      <c r="U120" s="12"/>
      <c r="V120" s="12"/>
      <c r="W120" s="7"/>
      <c r="X120" s="12"/>
      <c r="Y120" s="7"/>
      <c r="Z120" s="7"/>
      <c r="AA120" s="7"/>
      <c r="AB120" s="8">
        <f>1/(1*10^-5)</f>
        <v>99999.999999999985</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c r="BF120" s="10"/>
    </row>
    <row r="121" spans="1:58" ht="30" hidden="1" x14ac:dyDescent="0.25">
      <c r="A121" s="4" t="s">
        <v>591</v>
      </c>
      <c r="B121" s="4"/>
      <c r="C121" s="4" t="s">
        <v>22</v>
      </c>
      <c r="D121" s="4" t="s">
        <v>33</v>
      </c>
      <c r="E121" s="5" t="s">
        <v>34</v>
      </c>
      <c r="F121" s="4" t="s">
        <v>612</v>
      </c>
      <c r="G121" s="4" t="s">
        <v>26</v>
      </c>
      <c r="H121" s="4" t="s">
        <v>615</v>
      </c>
      <c r="I121" s="12">
        <v>39.9</v>
      </c>
      <c r="J121" s="12">
        <v>39.9</v>
      </c>
      <c r="K121" s="12"/>
      <c r="L121" s="12"/>
      <c r="M121" s="51"/>
      <c r="N121" s="12"/>
      <c r="O121" s="12"/>
      <c r="P121" s="12"/>
      <c r="Q121" s="12"/>
      <c r="R121" s="12"/>
      <c r="S121" s="12"/>
      <c r="T121" s="12"/>
      <c r="U121" s="12"/>
      <c r="V121" s="12"/>
      <c r="W121" s="7"/>
      <c r="X121" s="12"/>
      <c r="Y121" s="7"/>
      <c r="Z121" s="7"/>
      <c r="AA121" s="7"/>
      <c r="AB121" s="8">
        <f>1/(6*10^-6)</f>
        <v>166666.66666666666</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c r="BF121" s="10"/>
    </row>
    <row r="122" spans="1:58" ht="30" hidden="1" x14ac:dyDescent="0.25">
      <c r="A122" s="4" t="s">
        <v>617</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c r="BF122" s="10"/>
    </row>
    <row r="123" spans="1:58" ht="30" hidden="1" x14ac:dyDescent="0.25">
      <c r="A123" s="4" t="s">
        <v>618</v>
      </c>
      <c r="B123" s="4"/>
      <c r="C123" s="4" t="s">
        <v>22</v>
      </c>
      <c r="D123" s="4" t="s">
        <v>33</v>
      </c>
      <c r="E123" s="5" t="s">
        <v>34</v>
      </c>
      <c r="F123" s="4" t="s">
        <v>612</v>
      </c>
      <c r="G123" s="4" t="s">
        <v>26</v>
      </c>
      <c r="H123" s="4" t="s">
        <v>613</v>
      </c>
      <c r="I123" s="12"/>
      <c r="J123" s="12"/>
      <c r="K123" s="12"/>
      <c r="L123" s="12"/>
      <c r="M123" s="51"/>
      <c r="N123" s="12"/>
      <c r="O123" s="12"/>
      <c r="P123" s="12"/>
      <c r="Q123" s="12"/>
      <c r="R123" s="12"/>
      <c r="S123" s="12"/>
      <c r="T123" s="12"/>
      <c r="U123" s="12"/>
      <c r="V123" s="12"/>
      <c r="W123" s="7"/>
      <c r="X123" s="12"/>
      <c r="Y123" s="7"/>
      <c r="Z123" s="7"/>
      <c r="AA123" s="7"/>
      <c r="AB123" s="8">
        <f>1/(1*10^-5)</f>
        <v>99999.999999999985</v>
      </c>
      <c r="AC123" s="8"/>
      <c r="AD123" s="4"/>
      <c r="AE123" s="4"/>
      <c r="AF123" s="4"/>
      <c r="AG123" s="4"/>
      <c r="AH123" s="9"/>
      <c r="AI123" s="9"/>
      <c r="AJ123" s="9"/>
      <c r="AK123" s="9" t="s">
        <v>30</v>
      </c>
      <c r="AL123" s="10"/>
      <c r="AM123" s="10"/>
      <c r="AN123" s="10"/>
      <c r="AO123" s="10"/>
      <c r="AP123" s="10"/>
      <c r="AQ123" s="11">
        <v>13</v>
      </c>
      <c r="AR123" s="4"/>
      <c r="AS123" s="10"/>
      <c r="AT123" s="10"/>
      <c r="AU123" s="10"/>
      <c r="AV123" s="10"/>
      <c r="AW123" s="10"/>
      <c r="AX123" s="10"/>
      <c r="AY123" s="10"/>
      <c r="AZ123" s="10"/>
      <c r="BA123" s="10"/>
      <c r="BB123" s="10"/>
      <c r="BC123" s="10"/>
      <c r="BD123" s="10"/>
      <c r="BE123" s="10"/>
      <c r="BF123" s="10"/>
    </row>
    <row r="124" spans="1:58" ht="30" hidden="1" x14ac:dyDescent="0.25">
      <c r="A124" s="16" t="s">
        <v>1200</v>
      </c>
      <c r="B124" s="16"/>
      <c r="C124" s="4" t="s">
        <v>22</v>
      </c>
      <c r="D124" s="4" t="s">
        <v>33</v>
      </c>
      <c r="E124" s="5" t="s">
        <v>34</v>
      </c>
      <c r="F124" s="4"/>
      <c r="G124" s="4" t="s">
        <v>26</v>
      </c>
      <c r="H124" s="4" t="s">
        <v>1199</v>
      </c>
      <c r="I124" s="12"/>
      <c r="J124" s="12">
        <v>70.399999999999991</v>
      </c>
      <c r="K124" s="12"/>
      <c r="L124" s="12"/>
      <c r="M124" s="51"/>
      <c r="N124" s="12"/>
      <c r="O124" s="12"/>
      <c r="P124" s="12"/>
      <c r="Q124" s="12"/>
      <c r="R124" s="12"/>
      <c r="S124" s="12"/>
      <c r="T124" s="12"/>
      <c r="U124" s="12">
        <v>56.319999999999993</v>
      </c>
      <c r="V124" s="12">
        <v>56.319999999999993</v>
      </c>
      <c r="W124" s="7"/>
      <c r="X124" s="12"/>
      <c r="Y124" s="7"/>
      <c r="Z124" s="7"/>
      <c r="AA124" s="7"/>
      <c r="AB124" s="8"/>
      <c r="AC124" s="8"/>
      <c r="AD124" s="4"/>
      <c r="AE124" s="4"/>
      <c r="AF124" s="4"/>
      <c r="AG124" s="4"/>
      <c r="AH124" s="9"/>
      <c r="AI124" s="9"/>
      <c r="AJ124" s="9"/>
      <c r="AK124" s="9"/>
      <c r="AL124" s="10"/>
      <c r="AM124" s="10"/>
      <c r="AN124" s="10"/>
      <c r="AO124" s="10"/>
      <c r="AP124" s="10"/>
      <c r="AQ124" s="11"/>
      <c r="AR124" s="4"/>
      <c r="AS124" s="10"/>
      <c r="AT124" s="10"/>
      <c r="AU124" s="10"/>
      <c r="AV124" s="10"/>
      <c r="AW124" s="10"/>
      <c r="AX124" s="10"/>
      <c r="AY124" s="10"/>
      <c r="AZ124" s="10"/>
      <c r="BA124" s="10"/>
      <c r="BB124" s="10"/>
      <c r="BC124" s="10"/>
      <c r="BD124" s="10"/>
      <c r="BE124" s="10"/>
      <c r="BF124" s="10"/>
    </row>
    <row r="125" spans="1:58" ht="30" hidden="1" x14ac:dyDescent="0.25">
      <c r="A125" s="4" t="s">
        <v>593</v>
      </c>
      <c r="B125" s="4"/>
      <c r="C125" s="4" t="s">
        <v>22</v>
      </c>
      <c r="D125" s="4" t="s">
        <v>62</v>
      </c>
      <c r="E125" s="5" t="s">
        <v>34</v>
      </c>
      <c r="F125" s="4" t="s">
        <v>619</v>
      </c>
      <c r="G125" s="4" t="s">
        <v>26</v>
      </c>
      <c r="H125" s="4" t="s">
        <v>1034</v>
      </c>
      <c r="I125" s="12"/>
      <c r="J125" s="12"/>
      <c r="K125" s="12"/>
      <c r="L125" s="12"/>
      <c r="M125" s="51"/>
      <c r="N125" s="12"/>
      <c r="O125" s="12"/>
      <c r="P125" s="12"/>
      <c r="Q125" s="12"/>
      <c r="R125" s="12"/>
      <c r="S125" s="12"/>
      <c r="T125" s="12"/>
      <c r="U125" s="12"/>
      <c r="V125" s="12"/>
      <c r="W125" s="7"/>
      <c r="X125" s="12"/>
      <c r="Y125" s="7"/>
      <c r="Z125" s="7"/>
      <c r="AA125" s="7"/>
      <c r="AB125" s="8">
        <f>1/(5*10^-7)</f>
        <v>2000000</v>
      </c>
      <c r="AC125" s="7"/>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c r="BF125" s="10"/>
    </row>
    <row r="126" spans="1:58" ht="30" hidden="1" x14ac:dyDescent="0.25">
      <c r="A126" s="4" t="s">
        <v>596</v>
      </c>
      <c r="B126" s="4"/>
      <c r="C126" s="4" t="s">
        <v>22</v>
      </c>
      <c r="D126" s="4" t="s">
        <v>62</v>
      </c>
      <c r="E126" s="5" t="s">
        <v>34</v>
      </c>
      <c r="F126" s="4" t="s">
        <v>619</v>
      </c>
      <c r="G126" s="4" t="s">
        <v>26</v>
      </c>
      <c r="H126" s="4" t="s">
        <v>1035</v>
      </c>
      <c r="I126" s="12"/>
      <c r="J126" s="12"/>
      <c r="K126" s="12"/>
      <c r="L126" s="12"/>
      <c r="M126" s="51"/>
      <c r="N126" s="12"/>
      <c r="O126" s="12"/>
      <c r="P126" s="12"/>
      <c r="Q126" s="12"/>
      <c r="R126" s="12"/>
      <c r="S126" s="12"/>
      <c r="T126" s="12"/>
      <c r="U126" s="12"/>
      <c r="V126" s="12"/>
      <c r="W126" s="7"/>
      <c r="X126" s="12"/>
      <c r="Y126" s="7"/>
      <c r="Z126" s="7"/>
      <c r="AA126" s="7"/>
      <c r="AB126" s="8">
        <f>1/(1*10^-5)</f>
        <v>99999.999999999985</v>
      </c>
      <c r="AC126" s="7"/>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c r="BF126" s="10"/>
    </row>
    <row r="127" spans="1:58" ht="30" hidden="1" x14ac:dyDescent="0.25">
      <c r="A127" s="4" t="s">
        <v>620</v>
      </c>
      <c r="B127" s="4"/>
      <c r="C127" s="4" t="s">
        <v>22</v>
      </c>
      <c r="D127" s="4" t="s">
        <v>62</v>
      </c>
      <c r="E127" s="5" t="s">
        <v>34</v>
      </c>
      <c r="F127" s="4" t="s">
        <v>619</v>
      </c>
      <c r="G127" s="4" t="s">
        <v>26</v>
      </c>
      <c r="H127" s="4" t="s">
        <v>1034</v>
      </c>
      <c r="I127" s="12"/>
      <c r="J127" s="12"/>
      <c r="K127" s="12"/>
      <c r="L127" s="12"/>
      <c r="M127" s="51"/>
      <c r="N127" s="12"/>
      <c r="O127" s="12"/>
      <c r="P127" s="12"/>
      <c r="Q127" s="12"/>
      <c r="R127" s="12"/>
      <c r="S127" s="12"/>
      <c r="T127" s="12"/>
      <c r="U127" s="12"/>
      <c r="V127" s="12"/>
      <c r="W127" s="7"/>
      <c r="X127" s="12"/>
      <c r="Y127" s="7"/>
      <c r="Z127" s="7"/>
      <c r="AA127" s="7"/>
      <c r="AB127" s="8">
        <f>1/(1.7*10^-5)</f>
        <v>58823.529411764706</v>
      </c>
      <c r="AC127" s="7"/>
      <c r="AD127" s="4"/>
      <c r="AE127" s="4"/>
      <c r="AF127" s="4"/>
      <c r="AG127" s="4"/>
      <c r="AH127" s="9"/>
      <c r="AI127" s="9"/>
      <c r="AJ127" s="9"/>
      <c r="AK127" s="9" t="s">
        <v>30</v>
      </c>
      <c r="AL127" s="10"/>
      <c r="AM127" s="10"/>
      <c r="AN127" s="10"/>
      <c r="AO127" s="10"/>
      <c r="AP127" s="10"/>
      <c r="AQ127" s="11">
        <v>13</v>
      </c>
      <c r="AR127" s="4"/>
      <c r="AS127" s="10"/>
      <c r="AT127" s="10"/>
      <c r="AU127" s="10"/>
      <c r="AV127" s="10"/>
      <c r="AW127" s="10"/>
      <c r="AX127" s="10"/>
      <c r="AY127" s="10"/>
      <c r="AZ127" s="10"/>
      <c r="BA127" s="10"/>
      <c r="BB127" s="10"/>
      <c r="BC127" s="10"/>
      <c r="BD127" s="10"/>
      <c r="BE127" s="10"/>
      <c r="BF127" s="10"/>
    </row>
    <row r="128" spans="1:58" ht="30" hidden="1" x14ac:dyDescent="0.25">
      <c r="A128" s="4" t="s">
        <v>614</v>
      </c>
      <c r="B128" s="4"/>
      <c r="C128" s="4" t="s">
        <v>22</v>
      </c>
      <c r="D128" s="4" t="s">
        <v>62</v>
      </c>
      <c r="E128" s="5" t="s">
        <v>34</v>
      </c>
      <c r="F128" s="4" t="s">
        <v>619</v>
      </c>
      <c r="G128" s="4" t="s">
        <v>26</v>
      </c>
      <c r="H128" s="4" t="s">
        <v>1036</v>
      </c>
      <c r="I128" s="12"/>
      <c r="J128" s="12"/>
      <c r="K128" s="12"/>
      <c r="L128" s="12"/>
      <c r="M128" s="51"/>
      <c r="N128" s="12"/>
      <c r="O128" s="12"/>
      <c r="P128" s="12"/>
      <c r="Q128" s="12"/>
      <c r="R128" s="12"/>
      <c r="S128" s="12"/>
      <c r="T128" s="12"/>
      <c r="U128" s="12"/>
      <c r="V128" s="12"/>
      <c r="W128" s="7"/>
      <c r="X128" s="12"/>
      <c r="Y128" s="7"/>
      <c r="Z128" s="7"/>
      <c r="AA128" s="7"/>
      <c r="AB128" s="8">
        <f>1/(4.67*10^-5)</f>
        <v>21413.276231263382</v>
      </c>
      <c r="AC128" s="7"/>
      <c r="AD128" s="4"/>
      <c r="AE128" s="4"/>
      <c r="AF128" s="4"/>
      <c r="AG128" s="4"/>
      <c r="AH128" s="9"/>
      <c r="AI128" s="9"/>
      <c r="AJ128" s="9"/>
      <c r="AK128" s="9" t="s">
        <v>30</v>
      </c>
      <c r="AL128" s="10"/>
      <c r="AM128" s="10"/>
      <c r="AN128" s="10"/>
      <c r="AO128" s="10"/>
      <c r="AP128" s="10"/>
      <c r="AQ128" s="11">
        <v>13</v>
      </c>
      <c r="AR128" s="4"/>
      <c r="AS128" s="10"/>
      <c r="AT128" s="10"/>
      <c r="AU128" s="10"/>
      <c r="AV128" s="10"/>
      <c r="AW128" s="10"/>
      <c r="AX128" s="10"/>
      <c r="AY128" s="10"/>
      <c r="AZ128" s="10"/>
      <c r="BA128" s="10"/>
      <c r="BB128" s="10"/>
      <c r="BC128" s="10"/>
      <c r="BD128" s="10"/>
      <c r="BE128" s="10"/>
      <c r="BF128" s="10"/>
    </row>
    <row r="129" spans="1:58" ht="30" hidden="1" x14ac:dyDescent="0.25">
      <c r="A129" s="4" t="s">
        <v>581</v>
      </c>
      <c r="B129" s="4"/>
      <c r="C129" s="4" t="s">
        <v>22</v>
      </c>
      <c r="D129" s="4" t="s">
        <v>62</v>
      </c>
      <c r="E129" s="5" t="s">
        <v>34</v>
      </c>
      <c r="F129" s="4" t="s">
        <v>619</v>
      </c>
      <c r="G129" s="4" t="s">
        <v>26</v>
      </c>
      <c r="H129" s="4" t="s">
        <v>1036</v>
      </c>
      <c r="I129" s="12"/>
      <c r="J129" s="12"/>
      <c r="K129" s="12"/>
      <c r="L129" s="12"/>
      <c r="M129" s="51"/>
      <c r="N129" s="12"/>
      <c r="O129" s="12"/>
      <c r="P129" s="12"/>
      <c r="Q129" s="12"/>
      <c r="R129" s="12"/>
      <c r="S129" s="12"/>
      <c r="T129" s="12"/>
      <c r="U129" s="12"/>
      <c r="V129" s="12"/>
      <c r="W129" s="7"/>
      <c r="X129" s="12"/>
      <c r="Y129" s="7"/>
      <c r="Z129" s="7"/>
      <c r="AA129" s="7"/>
      <c r="AB129" s="8">
        <f>1/(1.3*10^-5)</f>
        <v>76923.076923076922</v>
      </c>
      <c r="AC129" s="7"/>
      <c r="AD129" s="4"/>
      <c r="AE129" s="4"/>
      <c r="AF129" s="4"/>
      <c r="AG129" s="4"/>
      <c r="AH129" s="9"/>
      <c r="AI129" s="9"/>
      <c r="AJ129" s="9"/>
      <c r="AK129" s="9" t="s">
        <v>30</v>
      </c>
      <c r="AL129" s="10"/>
      <c r="AM129" s="10"/>
      <c r="AN129" s="10"/>
      <c r="AO129" s="10"/>
      <c r="AP129" s="10"/>
      <c r="AQ129" s="11">
        <v>13</v>
      </c>
      <c r="AR129" s="4"/>
      <c r="AS129" s="10" t="s">
        <v>899</v>
      </c>
      <c r="AT129" s="10"/>
      <c r="AU129" s="10"/>
      <c r="AV129" s="10"/>
      <c r="AW129" s="10"/>
      <c r="AX129" s="10"/>
      <c r="AY129" s="10"/>
      <c r="AZ129" s="10"/>
      <c r="BA129" s="10"/>
      <c r="BB129" s="10"/>
      <c r="BC129" s="10"/>
      <c r="BD129" s="10"/>
      <c r="BE129" s="10"/>
      <c r="BF129" s="10"/>
    </row>
    <row r="130" spans="1:58" ht="30" hidden="1" x14ac:dyDescent="0.25">
      <c r="A130" s="4" t="s">
        <v>621</v>
      </c>
      <c r="B130" s="4"/>
      <c r="C130" s="4" t="s">
        <v>22</v>
      </c>
      <c r="D130" s="4" t="s">
        <v>62</v>
      </c>
      <c r="E130" s="5" t="s">
        <v>34</v>
      </c>
      <c r="F130" s="4" t="s">
        <v>619</v>
      </c>
      <c r="G130" s="4" t="s">
        <v>26</v>
      </c>
      <c r="H130" s="4" t="s">
        <v>1036</v>
      </c>
      <c r="I130" s="12"/>
      <c r="J130" s="12"/>
      <c r="K130" s="12"/>
      <c r="L130" s="12"/>
      <c r="M130" s="51"/>
      <c r="N130" s="12"/>
      <c r="O130" s="12"/>
      <c r="P130" s="12"/>
      <c r="Q130" s="12"/>
      <c r="R130" s="12"/>
      <c r="S130" s="12"/>
      <c r="T130" s="12"/>
      <c r="U130" s="12"/>
      <c r="V130" s="12"/>
      <c r="W130" s="7"/>
      <c r="X130" s="12"/>
      <c r="Y130" s="7"/>
      <c r="Z130" s="7"/>
      <c r="AA130" s="7"/>
      <c r="AB130" s="8">
        <f>1/(3*10^-6)</f>
        <v>333333.33333333331</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c r="BF130" s="10"/>
    </row>
    <row r="131" spans="1:58" ht="30" hidden="1" x14ac:dyDescent="0.25">
      <c r="A131" s="4" t="s">
        <v>600</v>
      </c>
      <c r="B131" s="4"/>
      <c r="C131" s="4" t="s">
        <v>22</v>
      </c>
      <c r="D131" s="4" t="s">
        <v>62</v>
      </c>
      <c r="E131" s="5" t="s">
        <v>34</v>
      </c>
      <c r="F131" s="4" t="s">
        <v>619</v>
      </c>
      <c r="G131" s="4" t="s">
        <v>26</v>
      </c>
      <c r="H131" s="4" t="s">
        <v>1036</v>
      </c>
      <c r="I131" s="12"/>
      <c r="J131" s="12"/>
      <c r="K131" s="12"/>
      <c r="L131" s="12"/>
      <c r="M131" s="51"/>
      <c r="N131" s="12"/>
      <c r="O131" s="12"/>
      <c r="P131" s="12"/>
      <c r="Q131" s="12"/>
      <c r="R131" s="12"/>
      <c r="S131" s="12"/>
      <c r="T131" s="12"/>
      <c r="U131" s="12"/>
      <c r="V131" s="12"/>
      <c r="W131" s="7"/>
      <c r="X131" s="12"/>
      <c r="Y131" s="7"/>
      <c r="Z131" s="7"/>
      <c r="AA131" s="7"/>
      <c r="AB131" s="8">
        <f>1/(1*10^-5)</f>
        <v>99999.999999999985</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c r="BF131" s="10"/>
    </row>
    <row r="132" spans="1:58" ht="30" hidden="1" x14ac:dyDescent="0.25">
      <c r="A132" s="4" t="s">
        <v>583</v>
      </c>
      <c r="B132" s="4"/>
      <c r="C132" s="4" t="s">
        <v>22</v>
      </c>
      <c r="D132" s="4" t="s">
        <v>62</v>
      </c>
      <c r="E132" s="5" t="s">
        <v>34</v>
      </c>
      <c r="F132" s="4" t="s">
        <v>619</v>
      </c>
      <c r="G132" s="4" t="s">
        <v>26</v>
      </c>
      <c r="H132" s="4" t="s">
        <v>1036</v>
      </c>
      <c r="I132" s="12"/>
      <c r="J132" s="12"/>
      <c r="K132" s="12"/>
      <c r="L132" s="12"/>
      <c r="M132" s="51"/>
      <c r="N132" s="12"/>
      <c r="O132" s="12"/>
      <c r="P132" s="12"/>
      <c r="Q132" s="12"/>
      <c r="R132" s="12"/>
      <c r="S132" s="12"/>
      <c r="T132" s="12"/>
      <c r="U132" s="12"/>
      <c r="V132" s="12"/>
      <c r="W132" s="7"/>
      <c r="X132" s="12"/>
      <c r="Y132" s="7"/>
      <c r="Z132" s="7"/>
      <c r="AA132" s="7"/>
      <c r="AB132" s="8">
        <f>1/(5.99*10^-6)</f>
        <v>166944.9081803005</v>
      </c>
      <c r="AC132" s="7"/>
      <c r="AD132" s="4"/>
      <c r="AE132" s="4"/>
      <c r="AF132" s="4"/>
      <c r="AG132" s="4"/>
      <c r="AH132" s="9"/>
      <c r="AI132" s="9"/>
      <c r="AJ132" s="9"/>
      <c r="AK132" s="9" t="s">
        <v>30</v>
      </c>
      <c r="AL132" s="10"/>
      <c r="AM132" s="10"/>
      <c r="AN132" s="10"/>
      <c r="AO132" s="10"/>
      <c r="AP132" s="10"/>
      <c r="AQ132" s="11">
        <v>13</v>
      </c>
      <c r="AR132" s="4"/>
      <c r="AS132" s="10"/>
      <c r="AT132" s="10"/>
      <c r="AU132" s="10"/>
      <c r="AV132" s="10"/>
      <c r="AW132" s="10"/>
      <c r="AX132" s="10"/>
      <c r="AY132" s="10"/>
      <c r="AZ132" s="10"/>
      <c r="BA132" s="10"/>
      <c r="BB132" s="10"/>
      <c r="BC132" s="10"/>
      <c r="BD132" s="10"/>
      <c r="BE132" s="10"/>
      <c r="BF132" s="10"/>
    </row>
    <row r="133" spans="1:58" ht="30" hidden="1" x14ac:dyDescent="0.25">
      <c r="A133" s="4" t="s">
        <v>603</v>
      </c>
      <c r="B133" s="4"/>
      <c r="C133" s="4" t="s">
        <v>22</v>
      </c>
      <c r="D133" s="4" t="s">
        <v>62</v>
      </c>
      <c r="E133" s="5" t="s">
        <v>34</v>
      </c>
      <c r="F133" s="4" t="s">
        <v>619</v>
      </c>
      <c r="G133" s="4" t="s">
        <v>26</v>
      </c>
      <c r="H133" s="4" t="s">
        <v>1037</v>
      </c>
      <c r="I133" s="12"/>
      <c r="J133" s="12"/>
      <c r="K133" s="12"/>
      <c r="L133" s="12"/>
      <c r="M133" s="51"/>
      <c r="N133" s="12"/>
      <c r="O133" s="12"/>
      <c r="P133" s="12"/>
      <c r="Q133" s="12"/>
      <c r="R133" s="12"/>
      <c r="S133" s="12"/>
      <c r="T133" s="12"/>
      <c r="U133" s="12"/>
      <c r="V133" s="12"/>
      <c r="W133" s="7"/>
      <c r="X133" s="12"/>
      <c r="Y133" s="7"/>
      <c r="Z133" s="7"/>
      <c r="AA133" s="7"/>
      <c r="AB133" s="8">
        <f>1/(1*10^-5)</f>
        <v>99999.999999999985</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c r="BF133" s="10"/>
    </row>
    <row r="134" spans="1:58" ht="30" hidden="1" x14ac:dyDescent="0.25">
      <c r="A134" s="4" t="s">
        <v>586</v>
      </c>
      <c r="B134" s="4"/>
      <c r="C134" s="4" t="s">
        <v>22</v>
      </c>
      <c r="D134" s="4" t="s">
        <v>62</v>
      </c>
      <c r="E134" s="5" t="s">
        <v>34</v>
      </c>
      <c r="F134" s="4" t="s">
        <v>619</v>
      </c>
      <c r="G134" s="4" t="s">
        <v>26</v>
      </c>
      <c r="H134" s="4" t="s">
        <v>1038</v>
      </c>
      <c r="I134" s="12"/>
      <c r="J134" s="12"/>
      <c r="K134" s="12"/>
      <c r="L134" s="12"/>
      <c r="M134" s="51"/>
      <c r="N134" s="12"/>
      <c r="O134" s="12"/>
      <c r="P134" s="12"/>
      <c r="Q134" s="12"/>
      <c r="R134" s="12"/>
      <c r="S134" s="12"/>
      <c r="T134" s="12"/>
      <c r="U134" s="12"/>
      <c r="V134" s="12"/>
      <c r="W134" s="7"/>
      <c r="X134" s="12"/>
      <c r="Y134" s="7"/>
      <c r="Z134" s="7"/>
      <c r="AA134" s="7"/>
      <c r="AB134" s="8">
        <f>1/(1*10^-5)</f>
        <v>99999.999999999985</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c r="BF134" s="10"/>
    </row>
    <row r="135" spans="1:58" ht="30" hidden="1" x14ac:dyDescent="0.25">
      <c r="A135" s="4" t="s">
        <v>587</v>
      </c>
      <c r="B135" s="4"/>
      <c r="C135" s="4" t="s">
        <v>22</v>
      </c>
      <c r="D135" s="4" t="s">
        <v>62</v>
      </c>
      <c r="E135" s="5" t="s">
        <v>34</v>
      </c>
      <c r="F135" s="4" t="s">
        <v>619</v>
      </c>
      <c r="G135" s="4" t="s">
        <v>26</v>
      </c>
      <c r="H135" s="4" t="s">
        <v>1036</v>
      </c>
      <c r="I135" s="12"/>
      <c r="J135" s="12"/>
      <c r="K135" s="12"/>
      <c r="L135" s="12"/>
      <c r="M135" s="51"/>
      <c r="N135" s="12"/>
      <c r="O135" s="12"/>
      <c r="P135" s="12"/>
      <c r="Q135" s="12"/>
      <c r="R135" s="12"/>
      <c r="S135" s="12"/>
      <c r="T135" s="12"/>
      <c r="U135" s="12"/>
      <c r="V135" s="12"/>
      <c r="W135" s="7"/>
      <c r="X135" s="12"/>
      <c r="Y135" s="7"/>
      <c r="Z135" s="7"/>
      <c r="AA135" s="7"/>
      <c r="AB135" s="8">
        <f>1/(1.5*10^-5)</f>
        <v>66666.666666666657</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c r="BF135" s="10"/>
    </row>
    <row r="136" spans="1:58" ht="30" hidden="1" x14ac:dyDescent="0.25">
      <c r="A136" s="4" t="s">
        <v>588</v>
      </c>
      <c r="B136" s="4"/>
      <c r="C136" s="4" t="s">
        <v>22</v>
      </c>
      <c r="D136" s="4" t="s">
        <v>62</v>
      </c>
      <c r="E136" s="5" t="s">
        <v>34</v>
      </c>
      <c r="F136" s="4" t="s">
        <v>619</v>
      </c>
      <c r="G136" s="4" t="s">
        <v>26</v>
      </c>
      <c r="H136" s="4" t="s">
        <v>1039</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c r="BF136" s="10"/>
    </row>
    <row r="137" spans="1:58" ht="30" hidden="1" x14ac:dyDescent="0.25">
      <c r="A137" s="4" t="s">
        <v>590</v>
      </c>
      <c r="B137" s="4"/>
      <c r="C137" s="4" t="s">
        <v>22</v>
      </c>
      <c r="D137" s="4" t="s">
        <v>62</v>
      </c>
      <c r="E137" s="5" t="s">
        <v>34</v>
      </c>
      <c r="F137" s="4" t="s">
        <v>619</v>
      </c>
      <c r="G137" s="4" t="s">
        <v>26</v>
      </c>
      <c r="H137" s="4" t="s">
        <v>1035</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c r="BF137" s="10"/>
    </row>
    <row r="138" spans="1:58" ht="30" hidden="1" x14ac:dyDescent="0.25">
      <c r="A138" s="4" t="s">
        <v>592</v>
      </c>
      <c r="B138" s="4"/>
      <c r="C138" s="4" t="s">
        <v>22</v>
      </c>
      <c r="D138" s="4" t="s">
        <v>62</v>
      </c>
      <c r="E138" s="5" t="s">
        <v>34</v>
      </c>
      <c r="F138" s="4" t="s">
        <v>619</v>
      </c>
      <c r="G138" s="4" t="s">
        <v>26</v>
      </c>
      <c r="H138" s="4" t="s">
        <v>1034</v>
      </c>
      <c r="I138" s="12"/>
      <c r="J138" s="12"/>
      <c r="K138" s="12"/>
      <c r="L138" s="12"/>
      <c r="M138" s="51"/>
      <c r="N138" s="12"/>
      <c r="O138" s="12"/>
      <c r="P138" s="12"/>
      <c r="Q138" s="12"/>
      <c r="R138" s="12"/>
      <c r="S138" s="12"/>
      <c r="T138" s="12"/>
      <c r="U138" s="12"/>
      <c r="V138" s="12"/>
      <c r="W138" s="7"/>
      <c r="X138" s="12"/>
      <c r="Y138" s="7"/>
      <c r="Z138" s="7"/>
      <c r="AA138" s="7"/>
      <c r="AB138" s="8">
        <f>1/(1*10^-5)</f>
        <v>99999.999999999985</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c r="BF138" s="10"/>
    </row>
    <row r="139" spans="1:58" ht="30" hidden="1" x14ac:dyDescent="0.25">
      <c r="A139" s="4" t="s">
        <v>591</v>
      </c>
      <c r="B139" s="4"/>
      <c r="C139" s="4" t="s">
        <v>22</v>
      </c>
      <c r="D139" s="4" t="s">
        <v>62</v>
      </c>
      <c r="E139" s="5" t="s">
        <v>34</v>
      </c>
      <c r="F139" s="4" t="s">
        <v>619</v>
      </c>
      <c r="G139" s="4" t="s">
        <v>26</v>
      </c>
      <c r="H139" s="4" t="s">
        <v>1040</v>
      </c>
      <c r="I139" s="12"/>
      <c r="J139" s="12"/>
      <c r="K139" s="12"/>
      <c r="L139" s="12"/>
      <c r="M139" s="51"/>
      <c r="N139" s="12"/>
      <c r="O139" s="12"/>
      <c r="P139" s="12"/>
      <c r="Q139" s="12"/>
      <c r="R139" s="12"/>
      <c r="S139" s="12"/>
      <c r="T139" s="12"/>
      <c r="U139" s="12"/>
      <c r="V139" s="12"/>
      <c r="W139" s="7"/>
      <c r="X139" s="12"/>
      <c r="Y139" s="7"/>
      <c r="Z139" s="7"/>
      <c r="AA139" s="7"/>
      <c r="AB139" s="8">
        <f>1/(6*10^-6)</f>
        <v>166666.66666666666</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c r="BF139" s="10"/>
    </row>
    <row r="140" spans="1:58" ht="30" hidden="1" x14ac:dyDescent="0.25">
      <c r="A140" s="4" t="s">
        <v>617</v>
      </c>
      <c r="B140" s="4"/>
      <c r="C140" s="4" t="s">
        <v>22</v>
      </c>
      <c r="D140" s="4" t="s">
        <v>62</v>
      </c>
      <c r="E140" s="5" t="s">
        <v>34</v>
      </c>
      <c r="F140" s="4" t="s">
        <v>619</v>
      </c>
      <c r="G140" s="4" t="s">
        <v>26</v>
      </c>
      <c r="H140" s="4" t="s">
        <v>1036</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c r="BF140" s="10"/>
    </row>
    <row r="141" spans="1:58" ht="30" hidden="1" x14ac:dyDescent="0.25">
      <c r="A141" s="4" t="s">
        <v>618</v>
      </c>
      <c r="B141" s="4"/>
      <c r="C141" s="4" t="s">
        <v>22</v>
      </c>
      <c r="D141" s="4" t="s">
        <v>62</v>
      </c>
      <c r="E141" s="5" t="s">
        <v>34</v>
      </c>
      <c r="F141" s="4" t="s">
        <v>619</v>
      </c>
      <c r="G141" s="4" t="s">
        <v>26</v>
      </c>
      <c r="H141" s="4" t="s">
        <v>1040</v>
      </c>
      <c r="I141" s="12"/>
      <c r="J141" s="12"/>
      <c r="K141" s="12"/>
      <c r="L141" s="12"/>
      <c r="M141" s="51"/>
      <c r="N141" s="12"/>
      <c r="O141" s="12"/>
      <c r="P141" s="12"/>
      <c r="Q141" s="12"/>
      <c r="R141" s="12"/>
      <c r="S141" s="12"/>
      <c r="T141" s="12"/>
      <c r="U141" s="12"/>
      <c r="V141" s="12"/>
      <c r="W141" s="7"/>
      <c r="X141" s="12"/>
      <c r="Y141" s="7"/>
      <c r="Z141" s="7"/>
      <c r="AA141" s="7"/>
      <c r="AB141" s="8">
        <f>1/(1*10^-5)</f>
        <v>99999.999999999985</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c r="BF141" s="10"/>
    </row>
    <row r="142" spans="1:58" ht="30" hidden="1" x14ac:dyDescent="0.25">
      <c r="A142" s="4" t="s">
        <v>593</v>
      </c>
      <c r="B142" s="4"/>
      <c r="C142" s="4" t="s">
        <v>22</v>
      </c>
      <c r="D142" s="4" t="s">
        <v>116</v>
      </c>
      <c r="E142" s="5" t="s">
        <v>34</v>
      </c>
      <c r="F142" s="4" t="s">
        <v>622</v>
      </c>
      <c r="G142" s="4" t="s">
        <v>26</v>
      </c>
      <c r="H142" s="4" t="s">
        <v>1049</v>
      </c>
      <c r="I142" s="12"/>
      <c r="J142" s="12"/>
      <c r="K142" s="12"/>
      <c r="L142" s="12"/>
      <c r="M142" s="51"/>
      <c r="N142" s="12"/>
      <c r="O142" s="12"/>
      <c r="P142" s="12"/>
      <c r="Q142" s="12"/>
      <c r="R142" s="12"/>
      <c r="S142" s="12"/>
      <c r="T142" s="12"/>
      <c r="U142" s="12"/>
      <c r="V142" s="12"/>
      <c r="W142" s="7"/>
      <c r="X142" s="12"/>
      <c r="Y142" s="7"/>
      <c r="Z142" s="7"/>
      <c r="AA142" s="7"/>
      <c r="AB142" s="8">
        <f>1/(5*10^-7)</f>
        <v>2000000</v>
      </c>
      <c r="AC142" s="8"/>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c r="BF142" s="10"/>
    </row>
    <row r="143" spans="1:58" ht="30" hidden="1" x14ac:dyDescent="0.25">
      <c r="A143" s="4" t="s">
        <v>623</v>
      </c>
      <c r="B143" s="4"/>
      <c r="C143" s="4" t="s">
        <v>22</v>
      </c>
      <c r="D143" s="4" t="s">
        <v>116</v>
      </c>
      <c r="E143" s="5" t="s">
        <v>34</v>
      </c>
      <c r="F143" s="4" t="s">
        <v>622</v>
      </c>
      <c r="G143" s="4" t="s">
        <v>26</v>
      </c>
      <c r="H143" s="4" t="s">
        <v>1042</v>
      </c>
      <c r="I143" s="12"/>
      <c r="J143" s="12"/>
      <c r="K143" s="12"/>
      <c r="L143" s="12"/>
      <c r="M143" s="51"/>
      <c r="N143" s="12"/>
      <c r="O143" s="12"/>
      <c r="P143" s="12"/>
      <c r="Q143" s="12"/>
      <c r="R143" s="12"/>
      <c r="S143" s="12"/>
      <c r="T143" s="12"/>
      <c r="U143" s="12"/>
      <c r="V143" s="12"/>
      <c r="W143" s="7"/>
      <c r="X143" s="12"/>
      <c r="Y143" s="7"/>
      <c r="Z143" s="7"/>
      <c r="AA143" s="7"/>
      <c r="AB143" s="8">
        <f>1/(2*10^-5)</f>
        <v>49999.999999999993</v>
      </c>
      <c r="AC143" s="8"/>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c r="BF143" s="10"/>
    </row>
    <row r="144" spans="1:58" ht="30" hidden="1" x14ac:dyDescent="0.25">
      <c r="A144" s="4" t="s">
        <v>596</v>
      </c>
      <c r="B144" s="4"/>
      <c r="C144" s="4" t="s">
        <v>22</v>
      </c>
      <c r="D144" s="4" t="s">
        <v>116</v>
      </c>
      <c r="E144" s="5" t="s">
        <v>34</v>
      </c>
      <c r="F144" s="4" t="s">
        <v>622</v>
      </c>
      <c r="G144" s="4" t="s">
        <v>26</v>
      </c>
      <c r="H144" s="4" t="s">
        <v>1049</v>
      </c>
      <c r="I144" s="12">
        <v>0.2</v>
      </c>
      <c r="J144" s="12">
        <v>0.2</v>
      </c>
      <c r="K144" s="12"/>
      <c r="L144" s="12"/>
      <c r="M144" s="51"/>
      <c r="N144" s="12"/>
      <c r="O144" s="12"/>
      <c r="P144" s="12"/>
      <c r="Q144" s="12"/>
      <c r="R144" s="12"/>
      <c r="S144" s="12"/>
      <c r="T144" s="12"/>
      <c r="U144" s="12"/>
      <c r="V144" s="12"/>
      <c r="W144" s="7"/>
      <c r="X144" s="12"/>
      <c r="Y144" s="7"/>
      <c r="Z144" s="7"/>
      <c r="AA144" s="7"/>
      <c r="AB144" s="8">
        <f>1/(1*10^-5)</f>
        <v>99999.999999999985</v>
      </c>
      <c r="AC144" s="8"/>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c r="BF144" s="10"/>
    </row>
    <row r="145" spans="1:58" ht="30" hidden="1" x14ac:dyDescent="0.25">
      <c r="A145" s="4" t="s">
        <v>624</v>
      </c>
      <c r="B145" s="4"/>
      <c r="C145" s="4" t="s">
        <v>22</v>
      </c>
      <c r="D145" s="4" t="s">
        <v>116</v>
      </c>
      <c r="E145" s="5" t="s">
        <v>34</v>
      </c>
      <c r="F145" s="4" t="s">
        <v>622</v>
      </c>
      <c r="G145" s="4" t="s">
        <v>26</v>
      </c>
      <c r="H145" s="4" t="s">
        <v>1049</v>
      </c>
      <c r="I145" s="12">
        <v>27</v>
      </c>
      <c r="J145" s="12">
        <v>27</v>
      </c>
      <c r="K145" s="12"/>
      <c r="L145" s="12"/>
      <c r="M145" s="51"/>
      <c r="N145" s="12"/>
      <c r="O145" s="12"/>
      <c r="P145" s="12"/>
      <c r="Q145" s="12"/>
      <c r="R145" s="12"/>
      <c r="S145" s="12"/>
      <c r="T145" s="12"/>
      <c r="U145" s="12"/>
      <c r="V145" s="12"/>
      <c r="W145" s="7"/>
      <c r="X145" s="12"/>
      <c r="Y145" s="7"/>
      <c r="Z145" s="7"/>
      <c r="AA145" s="7"/>
      <c r="AB145" s="8">
        <f>1/(1.5*10^-5)</f>
        <v>66666.666666666657</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c r="BF145" s="10"/>
    </row>
    <row r="146" spans="1:58" ht="30" hidden="1" x14ac:dyDescent="0.25">
      <c r="A146" s="4" t="s">
        <v>625</v>
      </c>
      <c r="B146" s="4"/>
      <c r="C146" s="4" t="s">
        <v>22</v>
      </c>
      <c r="D146" s="4" t="s">
        <v>116</v>
      </c>
      <c r="E146" s="5" t="s">
        <v>34</v>
      </c>
      <c r="F146" s="4" t="s">
        <v>622</v>
      </c>
      <c r="G146" s="4" t="s">
        <v>26</v>
      </c>
      <c r="H146" s="4" t="s">
        <v>1049</v>
      </c>
      <c r="I146" s="12">
        <v>11.99</v>
      </c>
      <c r="J146" s="12">
        <v>11.99</v>
      </c>
      <c r="K146" s="12"/>
      <c r="L146" s="12"/>
      <c r="M146" s="51"/>
      <c r="N146" s="12"/>
      <c r="O146" s="12"/>
      <c r="P146" s="12"/>
      <c r="Q146" s="12"/>
      <c r="R146" s="12"/>
      <c r="S146" s="12"/>
      <c r="T146" s="12"/>
      <c r="U146" s="12"/>
      <c r="V146" s="12"/>
      <c r="W146" s="7"/>
      <c r="X146" s="12"/>
      <c r="Y146" s="7"/>
      <c r="Z146" s="7"/>
      <c r="AA146" s="7"/>
      <c r="AB146" s="8">
        <f>1/(1.7*10^-5)</f>
        <v>58823.529411764706</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c r="BF146" s="10"/>
    </row>
    <row r="147" spans="1:58" ht="30" hidden="1" x14ac:dyDescent="0.25">
      <c r="A147" s="4" t="s">
        <v>621</v>
      </c>
      <c r="B147" s="4"/>
      <c r="C147" s="4" t="s">
        <v>22</v>
      </c>
      <c r="D147" s="4" t="s">
        <v>116</v>
      </c>
      <c r="E147" s="5" t="s">
        <v>34</v>
      </c>
      <c r="F147" s="4" t="s">
        <v>622</v>
      </c>
      <c r="G147" s="4" t="s">
        <v>26</v>
      </c>
      <c r="H147" s="4" t="s">
        <v>1049</v>
      </c>
      <c r="I147" s="12"/>
      <c r="J147" s="12"/>
      <c r="K147" s="12"/>
      <c r="L147" s="12"/>
      <c r="M147" s="51"/>
      <c r="N147" s="12"/>
      <c r="O147" s="12"/>
      <c r="P147" s="12"/>
      <c r="Q147" s="12"/>
      <c r="R147" s="12"/>
      <c r="S147" s="12"/>
      <c r="T147" s="12"/>
      <c r="U147" s="12"/>
      <c r="V147" s="12"/>
      <c r="W147" s="7"/>
      <c r="X147" s="12"/>
      <c r="Y147" s="7"/>
      <c r="Z147" s="7"/>
      <c r="AA147" s="7"/>
      <c r="AB147" s="8">
        <f>1/(3*10^-6)</f>
        <v>333333.33333333331</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c r="BF147" s="10"/>
    </row>
    <row r="148" spans="1:58" ht="30" hidden="1" x14ac:dyDescent="0.25">
      <c r="A148" s="4" t="s">
        <v>626</v>
      </c>
      <c r="B148" s="4"/>
      <c r="C148" s="4" t="s">
        <v>22</v>
      </c>
      <c r="D148" s="4" t="s">
        <v>116</v>
      </c>
      <c r="E148" s="5" t="s">
        <v>34</v>
      </c>
      <c r="F148" s="4" t="s">
        <v>622</v>
      </c>
      <c r="G148" s="4" t="s">
        <v>26</v>
      </c>
      <c r="H148" s="4" t="s">
        <v>1042</v>
      </c>
      <c r="I148" s="12"/>
      <c r="J148" s="12"/>
      <c r="K148" s="12"/>
      <c r="L148" s="12"/>
      <c r="M148" s="51"/>
      <c r="N148" s="12"/>
      <c r="O148" s="12"/>
      <c r="P148" s="12"/>
      <c r="Q148" s="12"/>
      <c r="R148" s="12"/>
      <c r="S148" s="12"/>
      <c r="T148" s="12"/>
      <c r="U148" s="12"/>
      <c r="V148" s="12"/>
      <c r="W148" s="7"/>
      <c r="X148" s="12"/>
      <c r="Y148" s="7"/>
      <c r="Z148" s="7"/>
      <c r="AA148" s="7"/>
      <c r="AB148" s="8">
        <f t="shared" ref="AB148:AB154" si="1">1/(1*10^-5)</f>
        <v>99999.999999999985</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c r="BF148" s="10"/>
    </row>
    <row r="149" spans="1:58" ht="30" hidden="1" x14ac:dyDescent="0.25">
      <c r="A149" s="4" t="s">
        <v>600</v>
      </c>
      <c r="B149" s="4"/>
      <c r="C149" s="4" t="s">
        <v>22</v>
      </c>
      <c r="D149" s="4" t="s">
        <v>116</v>
      </c>
      <c r="E149" s="5" t="s">
        <v>34</v>
      </c>
      <c r="F149" s="4" t="s">
        <v>622</v>
      </c>
      <c r="G149" s="4" t="s">
        <v>26</v>
      </c>
      <c r="H149" s="4" t="s">
        <v>1043</v>
      </c>
      <c r="I149" s="12">
        <v>0.2</v>
      </c>
      <c r="J149" s="12">
        <v>0.2</v>
      </c>
      <c r="K149" s="12"/>
      <c r="L149" s="12"/>
      <c r="M149" s="51"/>
      <c r="N149" s="12"/>
      <c r="O149" s="12"/>
      <c r="P149" s="12"/>
      <c r="Q149" s="12"/>
      <c r="R149" s="12"/>
      <c r="S149" s="12"/>
      <c r="T149" s="12"/>
      <c r="U149" s="12"/>
      <c r="V149" s="12"/>
      <c r="W149" s="7"/>
      <c r="X149" s="12"/>
      <c r="Y149" s="7"/>
      <c r="Z149" s="7"/>
      <c r="AA149" s="7"/>
      <c r="AB149" s="8">
        <f t="shared" si="1"/>
        <v>99999.999999999985</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c r="BF149" s="10"/>
    </row>
    <row r="150" spans="1:58" ht="30" hidden="1" x14ac:dyDescent="0.25">
      <c r="A150" s="4" t="s">
        <v>627</v>
      </c>
      <c r="B150" s="4"/>
      <c r="C150" s="4" t="s">
        <v>22</v>
      </c>
      <c r="D150" s="4" t="s">
        <v>116</v>
      </c>
      <c r="E150" s="5" t="s">
        <v>34</v>
      </c>
      <c r="F150" s="4" t="s">
        <v>622</v>
      </c>
      <c r="G150" s="4" t="s">
        <v>26</v>
      </c>
      <c r="H150" s="4" t="s">
        <v>1044</v>
      </c>
      <c r="I150" s="12">
        <v>49.71</v>
      </c>
      <c r="J150" s="12">
        <v>49.71</v>
      </c>
      <c r="K150" s="12"/>
      <c r="L150" s="12"/>
      <c r="M150" s="51"/>
      <c r="N150" s="12"/>
      <c r="O150" s="12"/>
      <c r="P150" s="12"/>
      <c r="Q150" s="12"/>
      <c r="R150" s="12"/>
      <c r="S150" s="12"/>
      <c r="T150" s="12"/>
      <c r="U150" s="12"/>
      <c r="V150" s="12"/>
      <c r="W150" s="7"/>
      <c r="X150" s="12"/>
      <c r="Y150" s="7"/>
      <c r="Z150" s="7"/>
      <c r="AA150" s="7"/>
      <c r="AB150" s="8">
        <f t="shared" si="1"/>
        <v>99999.999999999985</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c r="BF150" s="10"/>
    </row>
    <row r="151" spans="1:58" ht="30" hidden="1" x14ac:dyDescent="0.25">
      <c r="A151" s="4" t="s">
        <v>628</v>
      </c>
      <c r="B151" s="4"/>
      <c r="C151" s="4" t="s">
        <v>22</v>
      </c>
      <c r="D151" s="4" t="s">
        <v>116</v>
      </c>
      <c r="E151" s="5" t="s">
        <v>34</v>
      </c>
      <c r="F151" s="4" t="s">
        <v>622</v>
      </c>
      <c r="G151" s="4" t="s">
        <v>26</v>
      </c>
      <c r="H151" s="4" t="s">
        <v>1049</v>
      </c>
      <c r="I151" s="12"/>
      <c r="J151" s="12"/>
      <c r="K151" s="12"/>
      <c r="L151" s="12"/>
      <c r="M151" s="51"/>
      <c r="N151" s="12"/>
      <c r="O151" s="12"/>
      <c r="P151" s="12"/>
      <c r="Q151" s="12"/>
      <c r="R151" s="12"/>
      <c r="S151" s="12"/>
      <c r="T151" s="12"/>
      <c r="U151" s="12"/>
      <c r="V151" s="12"/>
      <c r="W151" s="7"/>
      <c r="X151" s="12"/>
      <c r="Y151" s="7"/>
      <c r="Z151" s="7"/>
      <c r="AA151" s="7"/>
      <c r="AB151" s="8">
        <f t="shared" si="1"/>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c r="BF151" s="10"/>
    </row>
    <row r="152" spans="1:58" ht="30" hidden="1" x14ac:dyDescent="0.25">
      <c r="A152" s="4" t="s">
        <v>629</v>
      </c>
      <c r="B152" s="4"/>
      <c r="C152" s="4" t="s">
        <v>22</v>
      </c>
      <c r="D152" s="4" t="s">
        <v>116</v>
      </c>
      <c r="E152" s="5" t="s">
        <v>34</v>
      </c>
      <c r="F152" s="4" t="s">
        <v>622</v>
      </c>
      <c r="G152" s="4" t="s">
        <v>26</v>
      </c>
      <c r="H152" s="4" t="s">
        <v>1042</v>
      </c>
      <c r="I152" s="12">
        <v>0.2</v>
      </c>
      <c r="J152" s="12">
        <v>0.2</v>
      </c>
      <c r="K152" s="12"/>
      <c r="L152" s="12"/>
      <c r="M152" s="51"/>
      <c r="N152" s="12"/>
      <c r="O152" s="12"/>
      <c r="P152" s="12"/>
      <c r="Q152" s="12"/>
      <c r="R152" s="12"/>
      <c r="S152" s="12"/>
      <c r="T152" s="12"/>
      <c r="U152" s="12"/>
      <c r="V152" s="12"/>
      <c r="W152" s="7"/>
      <c r="X152" s="12"/>
      <c r="Y152" s="7"/>
      <c r="Z152" s="7"/>
      <c r="AA152" s="7"/>
      <c r="AB152" s="8">
        <f t="shared" si="1"/>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c r="BF152" s="10"/>
    </row>
    <row r="153" spans="1:58" ht="30" hidden="1" x14ac:dyDescent="0.25">
      <c r="A153" s="4" t="s">
        <v>603</v>
      </c>
      <c r="B153" s="4"/>
      <c r="C153" s="4" t="s">
        <v>22</v>
      </c>
      <c r="D153" s="4" t="s">
        <v>116</v>
      </c>
      <c r="E153" s="5" t="s">
        <v>34</v>
      </c>
      <c r="F153" s="4" t="s">
        <v>622</v>
      </c>
      <c r="G153" s="4" t="s">
        <v>26</v>
      </c>
      <c r="H153" s="4" t="s">
        <v>1049</v>
      </c>
      <c r="I153" s="12"/>
      <c r="J153" s="12"/>
      <c r="K153" s="12"/>
      <c r="L153" s="12"/>
      <c r="M153" s="51"/>
      <c r="N153" s="12"/>
      <c r="O153" s="12"/>
      <c r="P153" s="12"/>
      <c r="Q153" s="12"/>
      <c r="R153" s="12"/>
      <c r="S153" s="12"/>
      <c r="T153" s="12"/>
      <c r="U153" s="12"/>
      <c r="V153" s="12"/>
      <c r="W153" s="7"/>
      <c r="X153" s="12"/>
      <c r="Y153" s="7"/>
      <c r="Z153" s="7"/>
      <c r="AA153" s="7"/>
      <c r="AB153" s="8">
        <f t="shared" si="1"/>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c r="BF153" s="10"/>
    </row>
    <row r="154" spans="1:58" ht="30" hidden="1" x14ac:dyDescent="0.25">
      <c r="A154" s="4" t="s">
        <v>586</v>
      </c>
      <c r="B154" s="4"/>
      <c r="C154" s="4" t="s">
        <v>22</v>
      </c>
      <c r="D154" s="4" t="s">
        <v>116</v>
      </c>
      <c r="E154" s="5" t="s">
        <v>34</v>
      </c>
      <c r="F154" s="4" t="s">
        <v>622</v>
      </c>
      <c r="G154" s="4" t="s">
        <v>26</v>
      </c>
      <c r="H154" s="4" t="s">
        <v>1045</v>
      </c>
      <c r="I154" s="12">
        <v>0.2</v>
      </c>
      <c r="J154" s="12">
        <v>0.2</v>
      </c>
      <c r="K154" s="12"/>
      <c r="L154" s="12"/>
      <c r="M154" s="51"/>
      <c r="N154" s="12"/>
      <c r="O154" s="12"/>
      <c r="P154" s="12"/>
      <c r="Q154" s="12"/>
      <c r="R154" s="12"/>
      <c r="S154" s="12"/>
      <c r="T154" s="12"/>
      <c r="U154" s="12"/>
      <c r="V154" s="12"/>
      <c r="W154" s="7"/>
      <c r="X154" s="12"/>
      <c r="Y154" s="7"/>
      <c r="Z154" s="7"/>
      <c r="AA154" s="7"/>
      <c r="AB154" s="8">
        <f t="shared" si="1"/>
        <v>99999.999999999985</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c r="BF154" s="10"/>
    </row>
    <row r="155" spans="1:58" ht="30" hidden="1" x14ac:dyDescent="0.25">
      <c r="A155" s="4" t="s">
        <v>587</v>
      </c>
      <c r="B155" s="4"/>
      <c r="C155" s="4" t="s">
        <v>22</v>
      </c>
      <c r="D155" s="4" t="s">
        <v>116</v>
      </c>
      <c r="E155" s="5" t="s">
        <v>34</v>
      </c>
      <c r="F155" s="4" t="s">
        <v>622</v>
      </c>
      <c r="G155" s="4" t="s">
        <v>26</v>
      </c>
      <c r="H155" s="4" t="s">
        <v>1049</v>
      </c>
      <c r="I155" s="12"/>
      <c r="J155" s="12"/>
      <c r="K155" s="12"/>
      <c r="L155" s="12"/>
      <c r="M155" s="51"/>
      <c r="N155" s="12"/>
      <c r="O155" s="12"/>
      <c r="P155" s="12"/>
      <c r="Q155" s="12"/>
      <c r="R155" s="12"/>
      <c r="S155" s="12"/>
      <c r="T155" s="12"/>
      <c r="U155" s="12"/>
      <c r="V155" s="12"/>
      <c r="W155" s="7"/>
      <c r="X155" s="12"/>
      <c r="Y155" s="7"/>
      <c r="Z155" s="7"/>
      <c r="AA155" s="7"/>
      <c r="AB155" s="8">
        <f>1/(1.5*10^-5)</f>
        <v>66666.666666666657</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c r="BF155" s="10"/>
    </row>
    <row r="156" spans="1:58" ht="30" hidden="1" x14ac:dyDescent="0.25">
      <c r="A156" s="4" t="s">
        <v>590</v>
      </c>
      <c r="B156" s="4"/>
      <c r="C156" s="4" t="s">
        <v>22</v>
      </c>
      <c r="D156" s="4" t="s">
        <v>116</v>
      </c>
      <c r="E156" s="5" t="s">
        <v>34</v>
      </c>
      <c r="F156" s="4" t="s">
        <v>622</v>
      </c>
      <c r="G156" s="4" t="s">
        <v>26</v>
      </c>
      <c r="H156" s="4" t="s">
        <v>1046</v>
      </c>
      <c r="I156" s="12">
        <v>0.2</v>
      </c>
      <c r="J156" s="12">
        <v>0.2</v>
      </c>
      <c r="K156" s="12"/>
      <c r="L156" s="12"/>
      <c r="M156" s="51"/>
      <c r="N156" s="12"/>
      <c r="O156" s="12"/>
      <c r="P156" s="12"/>
      <c r="Q156" s="12"/>
      <c r="R156" s="12"/>
      <c r="S156" s="12"/>
      <c r="T156" s="12"/>
      <c r="U156" s="12"/>
      <c r="V156" s="12"/>
      <c r="W156" s="7"/>
      <c r="X156" s="12"/>
      <c r="Y156" s="7"/>
      <c r="Z156" s="7"/>
      <c r="AA156" s="7"/>
      <c r="AB156" s="8">
        <f>1/(1*10^-5)</f>
        <v>99999.999999999985</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c r="BF156" s="10"/>
    </row>
    <row r="157" spans="1:58" ht="30" hidden="1" x14ac:dyDescent="0.25">
      <c r="A157" s="4" t="s">
        <v>591</v>
      </c>
      <c r="B157" s="4"/>
      <c r="C157" s="4" t="s">
        <v>22</v>
      </c>
      <c r="D157" s="4" t="s">
        <v>116</v>
      </c>
      <c r="E157" s="5" t="s">
        <v>34</v>
      </c>
      <c r="F157" s="4" t="s">
        <v>622</v>
      </c>
      <c r="G157" s="4" t="s">
        <v>26</v>
      </c>
      <c r="H157" s="4" t="s">
        <v>1042</v>
      </c>
      <c r="I157" s="12">
        <v>1.01</v>
      </c>
      <c r="J157" s="12">
        <v>1.01</v>
      </c>
      <c r="K157" s="12"/>
      <c r="L157" s="12"/>
      <c r="M157" s="51"/>
      <c r="N157" s="12"/>
      <c r="O157" s="12"/>
      <c r="P157" s="12"/>
      <c r="Q157" s="12"/>
      <c r="R157" s="12"/>
      <c r="S157" s="12"/>
      <c r="T157" s="12"/>
      <c r="U157" s="12"/>
      <c r="V157" s="12"/>
      <c r="W157" s="7"/>
      <c r="X157" s="12"/>
      <c r="Y157" s="7"/>
      <c r="Z157" s="7"/>
      <c r="AA157" s="7"/>
      <c r="AB157" s="8">
        <f>1/(6*10^-6)</f>
        <v>166666.66666666666</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c r="BF157" s="10"/>
    </row>
    <row r="158" spans="1:58" ht="30" hidden="1" x14ac:dyDescent="0.25">
      <c r="A158" s="4" t="s">
        <v>630</v>
      </c>
      <c r="B158" s="4"/>
      <c r="C158" s="4" t="s">
        <v>22</v>
      </c>
      <c r="D158" s="4" t="s">
        <v>116</v>
      </c>
      <c r="E158" s="5" t="s">
        <v>34</v>
      </c>
      <c r="F158" s="4" t="s">
        <v>622</v>
      </c>
      <c r="G158" s="4" t="s">
        <v>26</v>
      </c>
      <c r="H158" s="4" t="s">
        <v>1043</v>
      </c>
      <c r="I158" s="12">
        <v>1.01</v>
      </c>
      <c r="J158" s="12">
        <v>1.01</v>
      </c>
      <c r="K158" s="12"/>
      <c r="L158" s="12"/>
      <c r="M158" s="51"/>
      <c r="N158" s="12"/>
      <c r="O158" s="12"/>
      <c r="P158" s="12"/>
      <c r="Q158" s="12"/>
      <c r="R158" s="12"/>
      <c r="S158" s="12"/>
      <c r="T158" s="12"/>
      <c r="U158" s="12"/>
      <c r="V158" s="12"/>
      <c r="W158" s="7"/>
      <c r="X158" s="12"/>
      <c r="Y158" s="7"/>
      <c r="Z158" s="7"/>
      <c r="AA158" s="7"/>
      <c r="AB158" s="8">
        <f>1/(1*10^-5)</f>
        <v>99999.999999999985</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c r="BF158" s="10"/>
    </row>
    <row r="159" spans="1:58" ht="30" hidden="1" x14ac:dyDescent="0.25">
      <c r="A159" s="4" t="s">
        <v>631</v>
      </c>
      <c r="B159" s="4"/>
      <c r="C159" s="4" t="s">
        <v>22</v>
      </c>
      <c r="D159" s="4" t="s">
        <v>116</v>
      </c>
      <c r="E159" s="5" t="s">
        <v>34</v>
      </c>
      <c r="F159" s="4" t="s">
        <v>622</v>
      </c>
      <c r="G159" s="4" t="s">
        <v>26</v>
      </c>
      <c r="H159" s="4" t="s">
        <v>1044</v>
      </c>
      <c r="I159" s="12">
        <v>1.01</v>
      </c>
      <c r="J159" s="12">
        <v>1.01</v>
      </c>
      <c r="K159" s="12"/>
      <c r="L159" s="12"/>
      <c r="M159" s="51"/>
      <c r="N159" s="12"/>
      <c r="O159" s="12"/>
      <c r="P159" s="12"/>
      <c r="Q159" s="12"/>
      <c r="R159" s="12"/>
      <c r="S159" s="12"/>
      <c r="T159" s="12"/>
      <c r="U159" s="12"/>
      <c r="V159" s="12"/>
      <c r="W159" s="7"/>
      <c r="X159" s="12"/>
      <c r="Y159" s="7"/>
      <c r="Z159" s="7"/>
      <c r="AA159" s="7"/>
      <c r="AB159" s="8">
        <f>1/(5.99*10^-6)</f>
        <v>166944.9081803005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c r="BE159" s="10"/>
      <c r="BF159" s="10"/>
    </row>
    <row r="160" spans="1:58" ht="30" hidden="1" x14ac:dyDescent="0.25">
      <c r="A160" s="16" t="s">
        <v>1197</v>
      </c>
      <c r="B160" s="16"/>
      <c r="C160" s="4" t="s">
        <v>22</v>
      </c>
      <c r="D160" s="4" t="s">
        <v>116</v>
      </c>
      <c r="E160" s="5" t="s">
        <v>34</v>
      </c>
      <c r="F160" s="4"/>
      <c r="G160" s="4" t="s">
        <v>26</v>
      </c>
      <c r="H160" s="4" t="s">
        <v>1198</v>
      </c>
      <c r="I160" s="12"/>
      <c r="J160" s="12">
        <v>92.73</v>
      </c>
      <c r="K160" s="12"/>
      <c r="L160" s="12"/>
      <c r="M160" s="51"/>
      <c r="N160" s="12"/>
      <c r="O160" s="12"/>
      <c r="P160" s="12"/>
      <c r="Q160" s="12"/>
      <c r="R160" s="12"/>
      <c r="S160" s="12"/>
      <c r="T160" s="12"/>
      <c r="U160" s="12">
        <v>62.129100000000008</v>
      </c>
      <c r="V160" s="12">
        <v>62.129100000000008</v>
      </c>
      <c r="W160" s="7"/>
      <c r="X160" s="12"/>
      <c r="Y160" s="7"/>
      <c r="Z160" s="7"/>
      <c r="AA160" s="7"/>
      <c r="AB160" s="8"/>
      <c r="AC160" s="8"/>
      <c r="AD160" s="4"/>
      <c r="AE160" s="4"/>
      <c r="AF160" s="4"/>
      <c r="AG160" s="4"/>
      <c r="AH160" s="9"/>
      <c r="AI160" s="9"/>
      <c r="AJ160" s="9"/>
      <c r="AK160" s="9"/>
      <c r="AL160" s="10"/>
      <c r="AM160" s="10"/>
      <c r="AN160" s="10"/>
      <c r="AO160" s="10"/>
      <c r="AP160" s="10"/>
      <c r="AQ160" s="11"/>
      <c r="AR160" s="4"/>
      <c r="AS160" s="10"/>
      <c r="AT160" s="10"/>
      <c r="AU160" s="10"/>
      <c r="AV160" s="10"/>
      <c r="AW160" s="10"/>
      <c r="AX160" s="10"/>
      <c r="AY160" s="10"/>
      <c r="AZ160" s="10"/>
      <c r="BA160" s="10"/>
      <c r="BB160" s="10"/>
      <c r="BC160" s="10"/>
      <c r="BD160" s="10"/>
      <c r="BE160" s="10"/>
      <c r="BF160" s="10"/>
    </row>
    <row r="161" spans="1:58" ht="30" hidden="1" x14ac:dyDescent="0.25">
      <c r="A161" s="20" t="s">
        <v>593</v>
      </c>
      <c r="B161" s="20"/>
      <c r="C161" s="4" t="s">
        <v>22</v>
      </c>
      <c r="D161" s="4" t="s">
        <v>33</v>
      </c>
      <c r="E161" s="5" t="s">
        <v>34</v>
      </c>
      <c r="F161" s="4" t="s">
        <v>667</v>
      </c>
      <c r="G161" s="4" t="s">
        <v>26</v>
      </c>
      <c r="H161" s="4" t="s">
        <v>1047</v>
      </c>
      <c r="I161" s="12"/>
      <c r="J161" s="12"/>
      <c r="K161" s="12"/>
      <c r="L161" s="12"/>
      <c r="M161" s="51"/>
      <c r="N161" s="12"/>
      <c r="O161" s="12"/>
      <c r="P161" s="12"/>
      <c r="Q161" s="12"/>
      <c r="R161" s="12"/>
      <c r="S161" s="12"/>
      <c r="T161" s="12"/>
      <c r="U161" s="12"/>
      <c r="V161" s="12"/>
      <c r="W161" s="7"/>
      <c r="X161" s="12"/>
      <c r="Y161" s="7">
        <v>8</v>
      </c>
      <c r="Z161" s="7"/>
      <c r="AA161" s="7"/>
      <c r="AB161" s="8">
        <f>1/(5*10^-7)</f>
        <v>2000000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c r="BF161" s="10"/>
    </row>
    <row r="162" spans="1:58" ht="30" hidden="1" x14ac:dyDescent="0.25">
      <c r="A162" s="4" t="s">
        <v>81</v>
      </c>
      <c r="B162" s="4"/>
      <c r="C162" s="4" t="s">
        <v>22</v>
      </c>
      <c r="D162" s="4" t="s">
        <v>33</v>
      </c>
      <c r="E162" s="5" t="s">
        <v>34</v>
      </c>
      <c r="F162" s="4" t="s">
        <v>667</v>
      </c>
      <c r="G162" s="4" t="s">
        <v>26</v>
      </c>
      <c r="H162" s="4" t="s">
        <v>1047</v>
      </c>
      <c r="I162" s="12"/>
      <c r="J162" s="12"/>
      <c r="K162" s="12"/>
      <c r="L162" s="12"/>
      <c r="M162" s="51"/>
      <c r="N162" s="12"/>
      <c r="O162" s="12"/>
      <c r="P162" s="12"/>
      <c r="Q162" s="12"/>
      <c r="R162" s="12"/>
      <c r="S162" s="12"/>
      <c r="T162" s="12"/>
      <c r="U162" s="12"/>
      <c r="V162" s="12"/>
      <c r="W162" s="7"/>
      <c r="X162" s="12"/>
      <c r="Y162" s="7">
        <f t="shared" ref="Y162:Y176" si="2">$Y$294</f>
        <v>9</v>
      </c>
      <c r="Z162" s="7"/>
      <c r="AA162" s="7"/>
      <c r="AB162" s="8">
        <f>1/(8*10^-6)</f>
        <v>125000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c r="BF162" s="10"/>
    </row>
    <row r="163" spans="1:58" ht="30" hidden="1" x14ac:dyDescent="0.25">
      <c r="A163" s="4" t="s">
        <v>668</v>
      </c>
      <c r="B163" s="4"/>
      <c r="C163" s="4" t="s">
        <v>22</v>
      </c>
      <c r="D163" s="4" t="s">
        <v>33</v>
      </c>
      <c r="E163" s="5" t="s">
        <v>34</v>
      </c>
      <c r="F163" s="4" t="s">
        <v>667</v>
      </c>
      <c r="G163" s="4" t="s">
        <v>26</v>
      </c>
      <c r="H163" s="4" t="s">
        <v>1047</v>
      </c>
      <c r="I163" s="12"/>
      <c r="J163" s="12"/>
      <c r="K163" s="12"/>
      <c r="L163" s="12"/>
      <c r="M163" s="51"/>
      <c r="N163" s="12"/>
      <c r="O163" s="12"/>
      <c r="P163" s="12"/>
      <c r="Q163" s="12"/>
      <c r="R163" s="12"/>
      <c r="S163" s="12"/>
      <c r="T163" s="12"/>
      <c r="U163" s="12"/>
      <c r="V163" s="12"/>
      <c r="W163" s="7"/>
      <c r="X163" s="12"/>
      <c r="Y163" s="7">
        <f t="shared" si="2"/>
        <v>9</v>
      </c>
      <c r="Z163" s="7"/>
      <c r="AA163" s="7"/>
      <c r="AB163" s="8">
        <f>1/(5*10^-7)</f>
        <v>2000000</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c r="BE163" s="10"/>
      <c r="BF163" s="10"/>
    </row>
    <row r="164" spans="1:58" ht="30" hidden="1" x14ac:dyDescent="0.25">
      <c r="A164" s="288" t="s">
        <v>620</v>
      </c>
      <c r="B164" s="288"/>
      <c r="C164" s="4" t="s">
        <v>22</v>
      </c>
      <c r="D164" s="4" t="s">
        <v>33</v>
      </c>
      <c r="E164" s="5" t="s">
        <v>34</v>
      </c>
      <c r="F164" s="4" t="s">
        <v>667</v>
      </c>
      <c r="G164" s="4" t="s">
        <v>26</v>
      </c>
      <c r="H164" s="4" t="s">
        <v>1047</v>
      </c>
      <c r="I164" s="12"/>
      <c r="J164" s="12"/>
      <c r="K164" s="12"/>
      <c r="L164" s="12"/>
      <c r="M164" s="51"/>
      <c r="N164" s="12"/>
      <c r="O164" s="12"/>
      <c r="P164" s="12"/>
      <c r="Q164" s="12"/>
      <c r="R164" s="12"/>
      <c r="S164" s="12"/>
      <c r="T164" s="12"/>
      <c r="U164" s="12"/>
      <c r="V164" s="12"/>
      <c r="W164" s="7"/>
      <c r="X164" s="12"/>
      <c r="Y164" s="7">
        <f t="shared" si="2"/>
        <v>9</v>
      </c>
      <c r="Z164" s="7"/>
      <c r="AA164" s="7"/>
      <c r="AB164" s="8">
        <f>1/(1.7*10^-5)</f>
        <v>58823.529411764706</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c r="BF164" s="10"/>
    </row>
    <row r="165" spans="1:58" ht="30" hidden="1" x14ac:dyDescent="0.25">
      <c r="A165" s="20" t="s">
        <v>626</v>
      </c>
      <c r="B165" s="20"/>
      <c r="C165" s="4" t="s">
        <v>22</v>
      </c>
      <c r="D165" s="4" t="s">
        <v>33</v>
      </c>
      <c r="E165" s="5" t="s">
        <v>34</v>
      </c>
      <c r="F165" s="4" t="s">
        <v>667</v>
      </c>
      <c r="G165" s="4" t="s">
        <v>26</v>
      </c>
      <c r="H165" s="4" t="s">
        <v>637</v>
      </c>
      <c r="I165" s="12"/>
      <c r="J165" s="12"/>
      <c r="K165" s="12"/>
      <c r="L165" s="12"/>
      <c r="M165" s="51"/>
      <c r="N165" s="12"/>
      <c r="O165" s="12"/>
      <c r="P165" s="12"/>
      <c r="Q165" s="12"/>
      <c r="R165" s="12"/>
      <c r="S165" s="12"/>
      <c r="T165" s="12"/>
      <c r="U165" s="12"/>
      <c r="V165" s="12"/>
      <c r="W165" s="7"/>
      <c r="X165" s="12"/>
      <c r="Y165" s="7">
        <f t="shared" si="2"/>
        <v>9</v>
      </c>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c r="BF165" s="10"/>
    </row>
    <row r="166" spans="1:58" ht="30" hidden="1" x14ac:dyDescent="0.25">
      <c r="A166" s="288" t="s">
        <v>600</v>
      </c>
      <c r="B166" s="288"/>
      <c r="C166" s="4" t="s">
        <v>22</v>
      </c>
      <c r="D166" s="4" t="s">
        <v>33</v>
      </c>
      <c r="E166" s="5" t="s">
        <v>34</v>
      </c>
      <c r="F166" s="4" t="s">
        <v>667</v>
      </c>
      <c r="G166" s="4" t="s">
        <v>26</v>
      </c>
      <c r="H166" s="4" t="s">
        <v>635</v>
      </c>
      <c r="I166" s="12"/>
      <c r="J166" s="12"/>
      <c r="K166" s="12"/>
      <c r="L166" s="12"/>
      <c r="M166" s="51"/>
      <c r="N166" s="12"/>
      <c r="O166" s="12"/>
      <c r="P166" s="12"/>
      <c r="Q166" s="12"/>
      <c r="R166" s="12"/>
      <c r="S166" s="12"/>
      <c r="T166" s="12"/>
      <c r="U166" s="12"/>
      <c r="V166" s="12"/>
      <c r="W166" s="7"/>
      <c r="X166" s="12"/>
      <c r="Y166" s="7">
        <f t="shared" si="2"/>
        <v>9</v>
      </c>
      <c r="Z166" s="7"/>
      <c r="AA166" s="7"/>
      <c r="AB166" s="8">
        <f>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c r="BF166" s="10"/>
    </row>
    <row r="167" spans="1:58" ht="30" hidden="1" x14ac:dyDescent="0.25">
      <c r="A167" s="4" t="s">
        <v>627</v>
      </c>
      <c r="B167" s="4"/>
      <c r="C167" s="4" t="s">
        <v>22</v>
      </c>
      <c r="D167" s="4" t="s">
        <v>33</v>
      </c>
      <c r="E167" s="5" t="s">
        <v>34</v>
      </c>
      <c r="F167" s="4" t="s">
        <v>667</v>
      </c>
      <c r="G167" s="4" t="s">
        <v>26</v>
      </c>
      <c r="H167" s="4" t="s">
        <v>1047</v>
      </c>
      <c r="I167" s="12"/>
      <c r="J167" s="12"/>
      <c r="K167" s="12"/>
      <c r="L167" s="12"/>
      <c r="M167" s="51"/>
      <c r="N167" s="12"/>
      <c r="O167" s="12"/>
      <c r="P167" s="12"/>
      <c r="Q167" s="12"/>
      <c r="R167" s="12"/>
      <c r="S167" s="12"/>
      <c r="T167" s="12"/>
      <c r="U167" s="12"/>
      <c r="V167" s="12"/>
      <c r="W167" s="7"/>
      <c r="X167" s="12"/>
      <c r="Y167" s="7">
        <f t="shared" si="2"/>
        <v>9</v>
      </c>
      <c r="Z167" s="7"/>
      <c r="AA167" s="7"/>
      <c r="AB167" s="8">
        <f>1/(1*10^-5)</f>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c r="BF167" s="10"/>
    </row>
    <row r="168" spans="1:58" ht="30" hidden="1" x14ac:dyDescent="0.25">
      <c r="A168" s="288" t="s">
        <v>629</v>
      </c>
      <c r="B168" s="288"/>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 t="shared" si="2"/>
        <v>9</v>
      </c>
      <c r="Z168" s="7"/>
      <c r="AA168" s="7"/>
      <c r="AB168" s="8">
        <f>1/(1*10^-5)</f>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c r="BF168" s="10"/>
    </row>
    <row r="169" spans="1:58" ht="30" hidden="1" x14ac:dyDescent="0.25">
      <c r="A169" s="4" t="s">
        <v>669</v>
      </c>
      <c r="B169" s="4"/>
      <c r="C169" s="4" t="s">
        <v>22</v>
      </c>
      <c r="D169" s="4" t="s">
        <v>33</v>
      </c>
      <c r="E169" s="5" t="s">
        <v>34</v>
      </c>
      <c r="F169" s="4" t="s">
        <v>667</v>
      </c>
      <c r="G169" s="4" t="s">
        <v>26</v>
      </c>
      <c r="H169" s="4" t="s">
        <v>637</v>
      </c>
      <c r="I169" s="12"/>
      <c r="J169" s="12"/>
      <c r="K169" s="12"/>
      <c r="L169" s="12"/>
      <c r="M169" s="51"/>
      <c r="N169" s="12"/>
      <c r="O169" s="12"/>
      <c r="P169" s="12"/>
      <c r="Q169" s="12"/>
      <c r="R169" s="12"/>
      <c r="S169" s="12"/>
      <c r="T169" s="12"/>
      <c r="U169" s="12"/>
      <c r="V169" s="12"/>
      <c r="W169" s="7"/>
      <c r="X169" s="12"/>
      <c r="Y169" s="7">
        <f t="shared" si="2"/>
        <v>9</v>
      </c>
      <c r="Z169" s="7"/>
      <c r="AA169" s="7"/>
      <c r="AB169" s="8">
        <f>1/(5*10^-7)</f>
        <v>2000000</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c r="BF169" s="10"/>
    </row>
    <row r="170" spans="1:58" ht="30" hidden="1" x14ac:dyDescent="0.25">
      <c r="A170" s="288" t="s">
        <v>603</v>
      </c>
      <c r="B170" s="288"/>
      <c r="C170" s="4" t="s">
        <v>22</v>
      </c>
      <c r="D170" s="4" t="s">
        <v>33</v>
      </c>
      <c r="E170" s="5" t="s">
        <v>34</v>
      </c>
      <c r="F170" s="4" t="s">
        <v>667</v>
      </c>
      <c r="G170" s="4" t="s">
        <v>26</v>
      </c>
      <c r="H170" s="4" t="s">
        <v>1047</v>
      </c>
      <c r="I170" s="12"/>
      <c r="J170" s="12"/>
      <c r="K170" s="12"/>
      <c r="L170" s="12"/>
      <c r="M170" s="51"/>
      <c r="N170" s="12"/>
      <c r="O170" s="12"/>
      <c r="P170" s="12"/>
      <c r="Q170" s="12"/>
      <c r="R170" s="12"/>
      <c r="S170" s="12"/>
      <c r="T170" s="12"/>
      <c r="U170" s="12"/>
      <c r="V170" s="12"/>
      <c r="W170" s="7"/>
      <c r="X170" s="12"/>
      <c r="Y170" s="7">
        <f t="shared" si="2"/>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c r="BF170" s="10"/>
    </row>
    <row r="171" spans="1:58" ht="30" hidden="1" x14ac:dyDescent="0.25">
      <c r="A171" s="4" t="s">
        <v>586</v>
      </c>
      <c r="B171" s="4"/>
      <c r="C171" s="4" t="s">
        <v>22</v>
      </c>
      <c r="D171" s="4" t="s">
        <v>33</v>
      </c>
      <c r="E171" s="5" t="s">
        <v>34</v>
      </c>
      <c r="F171" s="4" t="s">
        <v>667</v>
      </c>
      <c r="G171" s="4" t="s">
        <v>26</v>
      </c>
      <c r="H171" s="4" t="s">
        <v>639</v>
      </c>
      <c r="I171" s="12"/>
      <c r="J171" s="12"/>
      <c r="K171" s="12"/>
      <c r="L171" s="12"/>
      <c r="M171" s="51"/>
      <c r="N171" s="12"/>
      <c r="O171" s="12"/>
      <c r="P171" s="12"/>
      <c r="Q171" s="12"/>
      <c r="R171" s="12"/>
      <c r="S171" s="12"/>
      <c r="T171" s="12"/>
      <c r="U171" s="12"/>
      <c r="V171" s="12"/>
      <c r="W171" s="7"/>
      <c r="X171" s="12"/>
      <c r="Y171" s="7">
        <f t="shared" si="2"/>
        <v>9</v>
      </c>
      <c r="Z171" s="7"/>
      <c r="AA171" s="7"/>
      <c r="AB171" s="8">
        <f>1/(1*10^-5)</f>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c r="BF171" s="10"/>
    </row>
    <row r="172" spans="1:58" ht="30" hidden="1" x14ac:dyDescent="0.25">
      <c r="A172" s="288" t="s">
        <v>587</v>
      </c>
      <c r="B172" s="288"/>
      <c r="C172" s="4" t="s">
        <v>22</v>
      </c>
      <c r="D172" s="4" t="s">
        <v>33</v>
      </c>
      <c r="E172" s="5" t="s">
        <v>34</v>
      </c>
      <c r="F172" s="4" t="s">
        <v>667</v>
      </c>
      <c r="G172" s="4" t="s">
        <v>26</v>
      </c>
      <c r="H172" s="4" t="s">
        <v>1047</v>
      </c>
      <c r="I172" s="12"/>
      <c r="J172" s="12"/>
      <c r="K172" s="12"/>
      <c r="L172" s="12"/>
      <c r="M172" s="51"/>
      <c r="N172" s="12"/>
      <c r="O172" s="12"/>
      <c r="P172" s="12"/>
      <c r="Q172" s="12"/>
      <c r="R172" s="12"/>
      <c r="S172" s="12"/>
      <c r="T172" s="12"/>
      <c r="U172" s="12"/>
      <c r="V172" s="12"/>
      <c r="W172" s="7"/>
      <c r="X172" s="12"/>
      <c r="Y172" s="7">
        <f t="shared" si="2"/>
        <v>9</v>
      </c>
      <c r="Z172" s="7"/>
      <c r="AA172" s="7"/>
      <c r="AB172" s="8">
        <f>1/(1.5*10^-5)</f>
        <v>66666.666666666657</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c r="BE172" s="10"/>
      <c r="BF172" s="10"/>
    </row>
    <row r="173" spans="1:58" ht="30" hidden="1" x14ac:dyDescent="0.25">
      <c r="A173" s="20" t="s">
        <v>670</v>
      </c>
      <c r="B173" s="20"/>
      <c r="C173" s="4" t="s">
        <v>22</v>
      </c>
      <c r="D173" s="4" t="s">
        <v>33</v>
      </c>
      <c r="E173" s="5" t="s">
        <v>34</v>
      </c>
      <c r="F173" s="4" t="s">
        <v>667</v>
      </c>
      <c r="G173" s="4" t="s">
        <v>26</v>
      </c>
      <c r="H173" s="49" t="s">
        <v>1052</v>
      </c>
      <c r="I173" s="12">
        <v>5.5</v>
      </c>
      <c r="J173" s="12">
        <v>5.5</v>
      </c>
      <c r="K173" s="12"/>
      <c r="L173" s="12">
        <v>1.0937499999999999E-2</v>
      </c>
      <c r="M173" s="51">
        <v>0.01</v>
      </c>
      <c r="N173" s="12"/>
      <c r="O173" s="12"/>
      <c r="P173" s="12"/>
      <c r="Q173" s="12"/>
      <c r="R173" s="12"/>
      <c r="S173" s="12"/>
      <c r="T173" s="12"/>
      <c r="U173" s="12"/>
      <c r="V173" s="12"/>
      <c r="W173" s="7"/>
      <c r="X173" s="12"/>
      <c r="Y173" s="7">
        <f t="shared" si="2"/>
        <v>9</v>
      </c>
      <c r="Z173" s="7"/>
      <c r="AA173" s="7"/>
      <c r="AB173" s="8">
        <f>1/(2*10^-5)</f>
        <v>49999.999999999993</v>
      </c>
      <c r="AC173" s="8"/>
      <c r="AD173" s="4"/>
      <c r="AE173" s="4"/>
      <c r="AF173" s="4"/>
      <c r="AG173" s="4"/>
      <c r="AH173" s="9"/>
      <c r="AI173" s="9"/>
      <c r="AJ173" s="9"/>
      <c r="AK173" s="9" t="s">
        <v>30</v>
      </c>
      <c r="AL173" s="10"/>
      <c r="AM173" s="10"/>
      <c r="AN173" s="10"/>
      <c r="AO173" s="10"/>
      <c r="AP173" s="10"/>
      <c r="AQ173" s="11" t="s">
        <v>671</v>
      </c>
      <c r="AR173" s="4"/>
      <c r="AS173" s="10"/>
      <c r="AT173" s="10"/>
      <c r="AU173" s="10"/>
      <c r="AV173" s="10"/>
      <c r="AW173" s="10"/>
      <c r="AX173" s="10"/>
      <c r="AY173" s="10"/>
      <c r="AZ173" s="10"/>
      <c r="BA173" s="10"/>
      <c r="BB173" s="10"/>
      <c r="BC173" s="10"/>
      <c r="BD173" s="10"/>
      <c r="BE173" s="10"/>
      <c r="BF173" s="10"/>
    </row>
    <row r="174" spans="1:58" ht="30" hidden="1" x14ac:dyDescent="0.25">
      <c r="A174" s="4" t="s">
        <v>590</v>
      </c>
      <c r="B174" s="4"/>
      <c r="C174" s="4" t="s">
        <v>22</v>
      </c>
      <c r="D174" s="4" t="s">
        <v>33</v>
      </c>
      <c r="E174" s="5" t="s">
        <v>34</v>
      </c>
      <c r="F174" s="4" t="s">
        <v>667</v>
      </c>
      <c r="G174" s="4" t="s">
        <v>26</v>
      </c>
      <c r="H174" s="4" t="s">
        <v>651</v>
      </c>
      <c r="I174" s="12"/>
      <c r="J174" s="12"/>
      <c r="K174" s="12"/>
      <c r="L174" s="12"/>
      <c r="M174" s="51"/>
      <c r="N174" s="12"/>
      <c r="O174" s="12"/>
      <c r="P174" s="12"/>
      <c r="Q174" s="12"/>
      <c r="R174" s="12"/>
      <c r="S174" s="12"/>
      <c r="T174" s="12"/>
      <c r="U174" s="12"/>
      <c r="V174" s="12"/>
      <c r="W174" s="7"/>
      <c r="X174" s="12"/>
      <c r="Y174" s="7">
        <f t="shared" si="2"/>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c r="BF174" s="10"/>
    </row>
    <row r="175" spans="1:58" ht="30" hidden="1" x14ac:dyDescent="0.25">
      <c r="A175" s="20" t="s">
        <v>618</v>
      </c>
      <c r="B175" s="20"/>
      <c r="C175" s="4" t="s">
        <v>22</v>
      </c>
      <c r="D175" s="4" t="s">
        <v>33</v>
      </c>
      <c r="E175" s="5" t="s">
        <v>34</v>
      </c>
      <c r="F175" s="4" t="s">
        <v>667</v>
      </c>
      <c r="G175" s="4" t="s">
        <v>26</v>
      </c>
      <c r="H175" s="4" t="s">
        <v>639</v>
      </c>
      <c r="I175" s="12"/>
      <c r="J175" s="12"/>
      <c r="K175" s="12"/>
      <c r="L175" s="12"/>
      <c r="M175" s="51"/>
      <c r="N175" s="12"/>
      <c r="O175" s="12"/>
      <c r="P175" s="12"/>
      <c r="Q175" s="12"/>
      <c r="R175" s="12"/>
      <c r="S175" s="12"/>
      <c r="T175" s="12"/>
      <c r="U175" s="12"/>
      <c r="V175" s="12"/>
      <c r="W175" s="7"/>
      <c r="X175" s="12"/>
      <c r="Y175" s="7">
        <f t="shared" si="2"/>
        <v>9</v>
      </c>
      <c r="Z175" s="7"/>
      <c r="AA175" s="7"/>
      <c r="AB175" s="8">
        <f>1/(1*10^-5)</f>
        <v>99999.999999999985</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c r="BF175" s="10"/>
    </row>
    <row r="176" spans="1:58" ht="30" hidden="1" x14ac:dyDescent="0.25">
      <c r="A176" s="4" t="s">
        <v>631</v>
      </c>
      <c r="B176" s="4"/>
      <c r="C176" s="4" t="s">
        <v>22</v>
      </c>
      <c r="D176" s="4" t="s">
        <v>33</v>
      </c>
      <c r="E176" s="5" t="s">
        <v>34</v>
      </c>
      <c r="F176" s="4" t="s">
        <v>667</v>
      </c>
      <c r="G176" s="4" t="s">
        <v>26</v>
      </c>
      <c r="H176" s="4" t="s">
        <v>637</v>
      </c>
      <c r="I176" s="12"/>
      <c r="J176" s="12"/>
      <c r="K176" s="12"/>
      <c r="L176" s="12"/>
      <c r="M176" s="51"/>
      <c r="N176" s="12"/>
      <c r="O176" s="12"/>
      <c r="P176" s="12"/>
      <c r="Q176" s="12"/>
      <c r="R176" s="12"/>
      <c r="S176" s="12"/>
      <c r="T176" s="12"/>
      <c r="U176" s="12"/>
      <c r="V176" s="12"/>
      <c r="W176" s="7"/>
      <c r="X176" s="12"/>
      <c r="Y176" s="7">
        <f t="shared" si="2"/>
        <v>9</v>
      </c>
      <c r="Z176" s="7"/>
      <c r="AA176" s="7"/>
      <c r="AB176" s="8">
        <f>1/(5.99*10^-6)</f>
        <v>166944.9081803005</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c r="BE176" s="10"/>
      <c r="BF176" s="10"/>
    </row>
    <row r="177" spans="1:58" ht="30" hidden="1" x14ac:dyDescent="0.25">
      <c r="A177" s="4" t="s">
        <v>593</v>
      </c>
      <c r="B177" s="4"/>
      <c r="C177" s="4" t="s">
        <v>22</v>
      </c>
      <c r="D177" s="4" t="s">
        <v>33</v>
      </c>
      <c r="E177" s="5" t="s">
        <v>34</v>
      </c>
      <c r="F177" s="4" t="s">
        <v>672</v>
      </c>
      <c r="G177" s="4" t="s">
        <v>26</v>
      </c>
      <c r="H177" s="4" t="s">
        <v>1047</v>
      </c>
      <c r="I177" s="12"/>
      <c r="J177" s="12"/>
      <c r="K177" s="12"/>
      <c r="L177" s="12"/>
      <c r="M177" s="51"/>
      <c r="N177" s="12"/>
      <c r="O177" s="12"/>
      <c r="P177" s="12"/>
      <c r="Q177" s="12"/>
      <c r="R177" s="12"/>
      <c r="S177" s="12"/>
      <c r="T177" s="12"/>
      <c r="U177" s="12"/>
      <c r="V177" s="12"/>
      <c r="W177" s="7"/>
      <c r="X177" s="12"/>
      <c r="Y177" s="7">
        <v>6</v>
      </c>
      <c r="Z177" s="7"/>
      <c r="AA177" s="7"/>
      <c r="AB177" s="8">
        <f>1/(5*10^-7)</f>
        <v>2000000</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c r="BF177" s="10"/>
    </row>
    <row r="178" spans="1:58" ht="30" hidden="1" x14ac:dyDescent="0.25">
      <c r="A178" s="4" t="s">
        <v>673</v>
      </c>
      <c r="B178" s="4"/>
      <c r="C178" s="4" t="s">
        <v>22</v>
      </c>
      <c r="D178" s="4" t="s">
        <v>33</v>
      </c>
      <c r="E178" s="5" t="s">
        <v>34</v>
      </c>
      <c r="F178" s="4" t="s">
        <v>672</v>
      </c>
      <c r="G178" s="4" t="s">
        <v>26</v>
      </c>
      <c r="H178" s="4" t="s">
        <v>637</v>
      </c>
      <c r="I178" s="12"/>
      <c r="J178" s="12"/>
      <c r="K178" s="12"/>
      <c r="L178" s="12"/>
      <c r="M178" s="51"/>
      <c r="N178" s="12"/>
      <c r="O178" s="12"/>
      <c r="P178" s="12"/>
      <c r="Q178" s="12"/>
      <c r="R178" s="12"/>
      <c r="S178" s="12"/>
      <c r="T178" s="12"/>
      <c r="U178" s="12"/>
      <c r="V178" s="12"/>
      <c r="W178" s="7"/>
      <c r="X178" s="12"/>
      <c r="Y178" s="7">
        <f t="shared" ref="Y178:Y193" si="3">$Y$310</f>
        <v>0</v>
      </c>
      <c r="Z178" s="7"/>
      <c r="AA178" s="7"/>
      <c r="AB178" s="8">
        <f>1/(2.5*10^-5)</f>
        <v>40000</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c r="BF178" s="10"/>
    </row>
    <row r="179" spans="1:58" ht="30" hidden="1" x14ac:dyDescent="0.25">
      <c r="A179" s="4" t="s">
        <v>596</v>
      </c>
      <c r="B179" s="4"/>
      <c r="C179" s="4" t="s">
        <v>22</v>
      </c>
      <c r="D179" s="4" t="s">
        <v>33</v>
      </c>
      <c r="E179" s="5" t="s">
        <v>34</v>
      </c>
      <c r="F179" s="4" t="s">
        <v>672</v>
      </c>
      <c r="G179" s="4" t="s">
        <v>26</v>
      </c>
      <c r="H179" s="4" t="s">
        <v>637</v>
      </c>
      <c r="I179" s="12"/>
      <c r="J179" s="12"/>
      <c r="K179" s="12"/>
      <c r="L179" s="12"/>
      <c r="M179" s="51"/>
      <c r="N179" s="12"/>
      <c r="O179" s="12"/>
      <c r="P179" s="12"/>
      <c r="Q179" s="12"/>
      <c r="R179" s="12"/>
      <c r="S179" s="12"/>
      <c r="T179" s="12"/>
      <c r="U179" s="12"/>
      <c r="V179" s="12"/>
      <c r="W179" s="7"/>
      <c r="X179" s="12"/>
      <c r="Y179" s="7">
        <f t="shared" si="3"/>
        <v>0</v>
      </c>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c r="BF179" s="10"/>
    </row>
    <row r="180" spans="1:58" ht="30" hidden="1" x14ac:dyDescent="0.25">
      <c r="A180" s="4" t="s">
        <v>624</v>
      </c>
      <c r="B180" s="4"/>
      <c r="C180" s="4" t="s">
        <v>22</v>
      </c>
      <c r="D180" s="4" t="s">
        <v>33</v>
      </c>
      <c r="E180" s="5" t="s">
        <v>34</v>
      </c>
      <c r="F180" s="4" t="s">
        <v>672</v>
      </c>
      <c r="G180" s="4" t="s">
        <v>26</v>
      </c>
      <c r="H180" s="4" t="s">
        <v>1047</v>
      </c>
      <c r="I180" s="12"/>
      <c r="J180" s="12"/>
      <c r="K180" s="12"/>
      <c r="L180" s="12"/>
      <c r="M180" s="51"/>
      <c r="N180" s="12"/>
      <c r="O180" s="12"/>
      <c r="P180" s="12"/>
      <c r="Q180" s="12"/>
      <c r="R180" s="12"/>
      <c r="S180" s="12"/>
      <c r="T180" s="12"/>
      <c r="U180" s="12"/>
      <c r="V180" s="12"/>
      <c r="W180" s="7"/>
      <c r="X180" s="12"/>
      <c r="Y180" s="7">
        <f t="shared" si="3"/>
        <v>0</v>
      </c>
      <c r="Z180" s="7"/>
      <c r="AA180" s="7"/>
      <c r="AB180" s="8">
        <f>1/(1.5*10^-5)</f>
        <v>66666.666666666657</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c r="BF180" s="10"/>
    </row>
    <row r="181" spans="1:58" ht="30" hidden="1" x14ac:dyDescent="0.25">
      <c r="A181" s="4" t="s">
        <v>620</v>
      </c>
      <c r="B181" s="4"/>
      <c r="C181" s="4" t="s">
        <v>22</v>
      </c>
      <c r="D181" s="4" t="s">
        <v>33</v>
      </c>
      <c r="E181" s="5" t="s">
        <v>34</v>
      </c>
      <c r="F181" s="4" t="s">
        <v>672</v>
      </c>
      <c r="G181" s="4" t="s">
        <v>26</v>
      </c>
      <c r="H181" s="4" t="s">
        <v>1047</v>
      </c>
      <c r="I181" s="12"/>
      <c r="J181" s="12"/>
      <c r="K181" s="12"/>
      <c r="L181" s="12"/>
      <c r="M181" s="51"/>
      <c r="N181" s="12"/>
      <c r="O181" s="12"/>
      <c r="P181" s="12"/>
      <c r="Q181" s="12"/>
      <c r="R181" s="12"/>
      <c r="S181" s="12"/>
      <c r="T181" s="12"/>
      <c r="U181" s="12"/>
      <c r="V181" s="12"/>
      <c r="W181" s="7"/>
      <c r="X181" s="12"/>
      <c r="Y181" s="7">
        <f t="shared" si="3"/>
        <v>0</v>
      </c>
      <c r="Z181" s="7"/>
      <c r="AA181" s="7"/>
      <c r="AB181" s="8">
        <f>1/(1.7*10^-5)</f>
        <v>58823.529411764706</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c r="BF181" s="10"/>
    </row>
    <row r="182" spans="1:58" ht="30" hidden="1" x14ac:dyDescent="0.25">
      <c r="A182" s="4" t="s">
        <v>674</v>
      </c>
      <c r="B182" s="4"/>
      <c r="C182" s="4" t="s">
        <v>22</v>
      </c>
      <c r="D182" s="4" t="s">
        <v>33</v>
      </c>
      <c r="E182" s="5" t="s">
        <v>34</v>
      </c>
      <c r="F182" s="4" t="s">
        <v>672</v>
      </c>
      <c r="G182" s="4" t="s">
        <v>26</v>
      </c>
      <c r="H182" s="4" t="s">
        <v>675</v>
      </c>
      <c r="I182" s="12"/>
      <c r="J182" s="12"/>
      <c r="K182" s="12"/>
      <c r="L182" s="12"/>
      <c r="M182" s="51"/>
      <c r="N182" s="12"/>
      <c r="O182" s="12"/>
      <c r="P182" s="12"/>
      <c r="Q182" s="12"/>
      <c r="R182" s="12"/>
      <c r="S182" s="12"/>
      <c r="T182" s="12"/>
      <c r="U182" s="12"/>
      <c r="V182" s="12"/>
      <c r="W182" s="7"/>
      <c r="X182" s="12"/>
      <c r="Y182" s="7">
        <f t="shared" si="3"/>
        <v>0</v>
      </c>
      <c r="Z182" s="7"/>
      <c r="AA182" s="7"/>
      <c r="AB182" s="8">
        <f t="shared" ref="AB182:AB189" si="4">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c r="BF182" s="10"/>
    </row>
    <row r="183" spans="1:58" ht="30" hidden="1" x14ac:dyDescent="0.25">
      <c r="A183" s="4" t="s">
        <v>626</v>
      </c>
      <c r="B183" s="4"/>
      <c r="C183" s="4" t="s">
        <v>22</v>
      </c>
      <c r="D183" s="4" t="s">
        <v>33</v>
      </c>
      <c r="E183" s="5" t="s">
        <v>34</v>
      </c>
      <c r="F183" s="4" t="s">
        <v>672</v>
      </c>
      <c r="G183" s="4" t="s">
        <v>26</v>
      </c>
      <c r="H183" s="4" t="s">
        <v>637</v>
      </c>
      <c r="I183" s="12"/>
      <c r="J183" s="12"/>
      <c r="K183" s="12"/>
      <c r="L183" s="12"/>
      <c r="M183" s="51"/>
      <c r="N183" s="12"/>
      <c r="O183" s="12"/>
      <c r="P183" s="12"/>
      <c r="Q183" s="12"/>
      <c r="R183" s="12"/>
      <c r="S183" s="12"/>
      <c r="T183" s="12"/>
      <c r="U183" s="12"/>
      <c r="V183" s="12"/>
      <c r="W183" s="7"/>
      <c r="X183" s="12"/>
      <c r="Y183" s="7">
        <f t="shared" si="3"/>
        <v>0</v>
      </c>
      <c r="Z183" s="7"/>
      <c r="AA183" s="7"/>
      <c r="AB183" s="8">
        <f t="shared" si="4"/>
        <v>99999.999999999985</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c r="BF183" s="10"/>
    </row>
    <row r="184" spans="1:58" ht="30" hidden="1" x14ac:dyDescent="0.25">
      <c r="A184" s="4" t="s">
        <v>676</v>
      </c>
      <c r="B184" s="4"/>
      <c r="C184" s="4" t="s">
        <v>22</v>
      </c>
      <c r="D184" s="4" t="s">
        <v>33</v>
      </c>
      <c r="E184" s="5" t="s">
        <v>34</v>
      </c>
      <c r="F184" s="4" t="s">
        <v>672</v>
      </c>
      <c r="G184" s="4" t="s">
        <v>26</v>
      </c>
      <c r="H184" s="4" t="s">
        <v>1047</v>
      </c>
      <c r="I184" s="12"/>
      <c r="J184" s="12"/>
      <c r="K184" s="12"/>
      <c r="L184" s="12"/>
      <c r="M184" s="51"/>
      <c r="N184" s="12"/>
      <c r="O184" s="12"/>
      <c r="P184" s="12"/>
      <c r="Q184" s="12"/>
      <c r="R184" s="12"/>
      <c r="S184" s="12"/>
      <c r="T184" s="12"/>
      <c r="U184" s="12"/>
      <c r="V184" s="12"/>
      <c r="W184" s="7"/>
      <c r="X184" s="12"/>
      <c r="Y184" s="7">
        <f t="shared" si="3"/>
        <v>0</v>
      </c>
      <c r="Z184" s="7"/>
      <c r="AA184" s="7"/>
      <c r="AB184" s="8">
        <f t="shared" si="4"/>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c r="BF184" s="10"/>
    </row>
    <row r="185" spans="1:58" ht="30" hidden="1" x14ac:dyDescent="0.25">
      <c r="A185" s="4" t="s">
        <v>677</v>
      </c>
      <c r="B185" s="4"/>
      <c r="C185" s="4" t="s">
        <v>22</v>
      </c>
      <c r="D185" s="4" t="s">
        <v>33</v>
      </c>
      <c r="E185" s="5" t="s">
        <v>34</v>
      </c>
      <c r="F185" s="4" t="s">
        <v>672</v>
      </c>
      <c r="G185" s="4" t="s">
        <v>26</v>
      </c>
      <c r="H185" s="4" t="s">
        <v>675</v>
      </c>
      <c r="I185" s="12"/>
      <c r="J185" s="12"/>
      <c r="K185" s="12"/>
      <c r="L185" s="12"/>
      <c r="M185" s="51"/>
      <c r="N185" s="12"/>
      <c r="O185" s="12"/>
      <c r="P185" s="12"/>
      <c r="Q185" s="12"/>
      <c r="R185" s="12"/>
      <c r="S185" s="12"/>
      <c r="T185" s="12"/>
      <c r="U185" s="12"/>
      <c r="V185" s="12"/>
      <c r="W185" s="7"/>
      <c r="X185" s="12"/>
      <c r="Y185" s="7">
        <f t="shared" si="3"/>
        <v>0</v>
      </c>
      <c r="Z185" s="7"/>
      <c r="AA185" s="7"/>
      <c r="AB185" s="8">
        <f t="shared" si="4"/>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c r="BF185" s="10"/>
    </row>
    <row r="186" spans="1:58" ht="30" hidden="1" x14ac:dyDescent="0.25">
      <c r="A186" s="4" t="s">
        <v>627</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 t="shared" si="3"/>
        <v>0</v>
      </c>
      <c r="Z186" s="7"/>
      <c r="AA186" s="7"/>
      <c r="AB186" s="8">
        <f t="shared" si="4"/>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c r="BF186" s="10"/>
    </row>
    <row r="187" spans="1:58" ht="30" hidden="1" x14ac:dyDescent="0.25">
      <c r="A187" s="4" t="s">
        <v>629</v>
      </c>
      <c r="B187" s="4"/>
      <c r="C187" s="4" t="s">
        <v>22</v>
      </c>
      <c r="D187" s="4" t="s">
        <v>33</v>
      </c>
      <c r="E187" s="5" t="s">
        <v>34</v>
      </c>
      <c r="F187" s="4" t="s">
        <v>672</v>
      </c>
      <c r="G187" s="4" t="s">
        <v>26</v>
      </c>
      <c r="H187" s="4" t="s">
        <v>637</v>
      </c>
      <c r="I187" s="12"/>
      <c r="J187" s="12"/>
      <c r="K187" s="12"/>
      <c r="L187" s="12"/>
      <c r="M187" s="51"/>
      <c r="N187" s="12"/>
      <c r="O187" s="12"/>
      <c r="P187" s="12"/>
      <c r="Q187" s="12"/>
      <c r="R187" s="12"/>
      <c r="S187" s="12"/>
      <c r="T187" s="12"/>
      <c r="U187" s="12"/>
      <c r="V187" s="12"/>
      <c r="W187" s="7"/>
      <c r="X187" s="12"/>
      <c r="Y187" s="7">
        <f t="shared" si="3"/>
        <v>0</v>
      </c>
      <c r="Z187" s="7"/>
      <c r="AA187" s="7"/>
      <c r="AB187" s="8">
        <f t="shared" si="4"/>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c r="BF187" s="10"/>
    </row>
    <row r="188" spans="1:58" ht="30" hidden="1" x14ac:dyDescent="0.25">
      <c r="A188" s="4" t="s">
        <v>603</v>
      </c>
      <c r="B188" s="4"/>
      <c r="C188" s="4" t="s">
        <v>22</v>
      </c>
      <c r="D188" s="4" t="s">
        <v>33</v>
      </c>
      <c r="E188" s="5" t="s">
        <v>34</v>
      </c>
      <c r="F188" s="4" t="s">
        <v>672</v>
      </c>
      <c r="G188" s="4" t="s">
        <v>26</v>
      </c>
      <c r="H188" s="4" t="s">
        <v>637</v>
      </c>
      <c r="I188" s="12"/>
      <c r="J188" s="12"/>
      <c r="K188" s="12"/>
      <c r="L188" s="12"/>
      <c r="M188" s="51"/>
      <c r="N188" s="12"/>
      <c r="O188" s="12"/>
      <c r="P188" s="12"/>
      <c r="Q188" s="12"/>
      <c r="R188" s="12"/>
      <c r="S188" s="12"/>
      <c r="T188" s="12"/>
      <c r="U188" s="12"/>
      <c r="V188" s="12"/>
      <c r="W188" s="7"/>
      <c r="X188" s="12"/>
      <c r="Y188" s="7">
        <f t="shared" si="3"/>
        <v>0</v>
      </c>
      <c r="Z188" s="7"/>
      <c r="AA188" s="7"/>
      <c r="AB188" s="8">
        <f t="shared" si="4"/>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c r="BF188" s="10"/>
    </row>
    <row r="189" spans="1:58" ht="30" hidden="1" x14ac:dyDescent="0.25">
      <c r="A189" s="4" t="s">
        <v>586</v>
      </c>
      <c r="B189" s="4"/>
      <c r="C189" s="4" t="s">
        <v>22</v>
      </c>
      <c r="D189" s="4" t="s">
        <v>33</v>
      </c>
      <c r="E189" s="5" t="s">
        <v>34</v>
      </c>
      <c r="F189" s="4" t="s">
        <v>672</v>
      </c>
      <c r="G189" s="4" t="s">
        <v>26</v>
      </c>
      <c r="H189" s="4" t="s">
        <v>635</v>
      </c>
      <c r="I189" s="12"/>
      <c r="J189" s="12"/>
      <c r="K189" s="12"/>
      <c r="L189" s="12"/>
      <c r="M189" s="51"/>
      <c r="N189" s="12"/>
      <c r="O189" s="12"/>
      <c r="P189" s="12"/>
      <c r="Q189" s="12"/>
      <c r="R189" s="12"/>
      <c r="S189" s="12"/>
      <c r="T189" s="12"/>
      <c r="U189" s="12"/>
      <c r="V189" s="12"/>
      <c r="W189" s="7"/>
      <c r="X189" s="12"/>
      <c r="Y189" s="7">
        <f t="shared" si="3"/>
        <v>0</v>
      </c>
      <c r="Z189" s="7"/>
      <c r="AA189" s="7"/>
      <c r="AB189" s="8">
        <f t="shared" si="4"/>
        <v>99999.999999999985</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c r="BF189" s="10"/>
    </row>
    <row r="190" spans="1:58" ht="30" hidden="1" x14ac:dyDescent="0.25">
      <c r="A190" s="4" t="s">
        <v>587</v>
      </c>
      <c r="B190" s="4"/>
      <c r="C190" s="4" t="s">
        <v>22</v>
      </c>
      <c r="D190" s="4" t="s">
        <v>33</v>
      </c>
      <c r="E190" s="5" t="s">
        <v>34</v>
      </c>
      <c r="F190" s="4" t="s">
        <v>672</v>
      </c>
      <c r="G190" s="4" t="s">
        <v>26</v>
      </c>
      <c r="H190" s="4" t="s">
        <v>1047</v>
      </c>
      <c r="I190" s="12"/>
      <c r="J190" s="12"/>
      <c r="K190" s="12"/>
      <c r="L190" s="12"/>
      <c r="M190" s="51"/>
      <c r="N190" s="12"/>
      <c r="O190" s="12"/>
      <c r="P190" s="12"/>
      <c r="Q190" s="12"/>
      <c r="R190" s="12"/>
      <c r="S190" s="12"/>
      <c r="T190" s="12"/>
      <c r="U190" s="12"/>
      <c r="V190" s="12"/>
      <c r="W190" s="7"/>
      <c r="X190" s="12"/>
      <c r="Y190" s="7">
        <f t="shared" si="3"/>
        <v>0</v>
      </c>
      <c r="Z190" s="7"/>
      <c r="AA190" s="7"/>
      <c r="AB190" s="8">
        <f>1/(1.5*10^-5)</f>
        <v>66666.666666666657</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c r="BF190" s="10"/>
    </row>
    <row r="191" spans="1:58" ht="30" hidden="1" x14ac:dyDescent="0.25">
      <c r="A191" s="4" t="s">
        <v>590</v>
      </c>
      <c r="B191" s="4"/>
      <c r="C191" s="4" t="s">
        <v>22</v>
      </c>
      <c r="D191" s="4" t="s">
        <v>33</v>
      </c>
      <c r="E191" s="5" t="s">
        <v>34</v>
      </c>
      <c r="F191" s="4" t="s">
        <v>672</v>
      </c>
      <c r="G191" s="4" t="s">
        <v>26</v>
      </c>
      <c r="H191" s="4" t="s">
        <v>651</v>
      </c>
      <c r="I191" s="12"/>
      <c r="J191" s="12"/>
      <c r="K191" s="12"/>
      <c r="L191" s="12"/>
      <c r="M191" s="51"/>
      <c r="N191" s="12"/>
      <c r="O191" s="12"/>
      <c r="P191" s="12"/>
      <c r="Q191" s="12"/>
      <c r="R191" s="12"/>
      <c r="S191" s="12"/>
      <c r="T191" s="12"/>
      <c r="U191" s="12"/>
      <c r="V191" s="12"/>
      <c r="W191" s="7"/>
      <c r="X191" s="12"/>
      <c r="Y191" s="7">
        <f t="shared" si="3"/>
        <v>0</v>
      </c>
      <c r="Z191" s="7"/>
      <c r="AA191" s="7"/>
      <c r="AB191" s="8">
        <f>1/(1*10^-5)</f>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c r="BF191" s="10"/>
    </row>
    <row r="192" spans="1:58" ht="30" hidden="1" x14ac:dyDescent="0.25">
      <c r="A192" s="4" t="s">
        <v>618</v>
      </c>
      <c r="B192" s="4"/>
      <c r="C192" s="4" t="s">
        <v>22</v>
      </c>
      <c r="D192" s="4" t="s">
        <v>33</v>
      </c>
      <c r="E192" s="5" t="s">
        <v>34</v>
      </c>
      <c r="F192" s="4" t="s">
        <v>672</v>
      </c>
      <c r="G192" s="4" t="s">
        <v>26</v>
      </c>
      <c r="H192" s="4" t="s">
        <v>675</v>
      </c>
      <c r="I192" s="12"/>
      <c r="J192" s="12"/>
      <c r="K192" s="12"/>
      <c r="L192" s="12"/>
      <c r="M192" s="51"/>
      <c r="N192" s="12"/>
      <c r="O192" s="12"/>
      <c r="P192" s="12"/>
      <c r="Q192" s="12"/>
      <c r="R192" s="12"/>
      <c r="S192" s="12"/>
      <c r="T192" s="12"/>
      <c r="U192" s="12"/>
      <c r="V192" s="12"/>
      <c r="W192" s="7"/>
      <c r="X192" s="12"/>
      <c r="Y192" s="7">
        <f t="shared" si="3"/>
        <v>0</v>
      </c>
      <c r="Z192" s="7"/>
      <c r="AA192" s="7"/>
      <c r="AB192" s="8">
        <f>1/(1*10^-5)</f>
        <v>99999.999999999985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c r="BF192" s="10"/>
    </row>
    <row r="193" spans="1:58" ht="30" hidden="1" x14ac:dyDescent="0.25">
      <c r="A193" s="4" t="s">
        <v>631</v>
      </c>
      <c r="B193" s="4"/>
      <c r="C193" s="4" t="s">
        <v>22</v>
      </c>
      <c r="D193" s="4" t="s">
        <v>33</v>
      </c>
      <c r="E193" s="5" t="s">
        <v>34</v>
      </c>
      <c r="F193" s="4" t="s">
        <v>672</v>
      </c>
      <c r="G193" s="4" t="s">
        <v>26</v>
      </c>
      <c r="H193" s="4" t="s">
        <v>637</v>
      </c>
      <c r="I193" s="12"/>
      <c r="J193" s="12"/>
      <c r="K193" s="12"/>
      <c r="L193" s="12"/>
      <c r="M193" s="51"/>
      <c r="N193" s="12"/>
      <c r="O193" s="12"/>
      <c r="P193" s="12"/>
      <c r="Q193" s="12"/>
      <c r="R193" s="12"/>
      <c r="S193" s="12"/>
      <c r="T193" s="12"/>
      <c r="U193" s="12"/>
      <c r="V193" s="12"/>
      <c r="W193" s="7"/>
      <c r="X193" s="12"/>
      <c r="Y193" s="7">
        <f t="shared" si="3"/>
        <v>0</v>
      </c>
      <c r="Z193" s="7"/>
      <c r="AA193" s="7"/>
      <c r="AB193" s="8">
        <f>1/(5.99*10^-6)</f>
        <v>166944.9081803005</v>
      </c>
      <c r="AC193" s="8"/>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c r="BE193" s="10"/>
      <c r="BF193" s="10"/>
    </row>
    <row r="194" spans="1:58" ht="120" x14ac:dyDescent="0.25">
      <c r="A194" s="4" t="s">
        <v>688</v>
      </c>
      <c r="B194" s="4" t="s">
        <v>1482</v>
      </c>
      <c r="C194" s="4" t="s">
        <v>22</v>
      </c>
      <c r="D194" s="4" t="s">
        <v>33</v>
      </c>
      <c r="E194" s="5" t="s">
        <v>34</v>
      </c>
      <c r="F194" s="4"/>
      <c r="G194" s="4" t="s">
        <v>35</v>
      </c>
      <c r="H194" s="49" t="s">
        <v>689</v>
      </c>
      <c r="I194" s="12" t="s">
        <v>1058</v>
      </c>
      <c r="J194" s="12">
        <v>80</v>
      </c>
      <c r="K194" s="12"/>
      <c r="L194" s="12" t="s">
        <v>1059</v>
      </c>
      <c r="M194" s="51">
        <v>0.15</v>
      </c>
      <c r="N194" s="12"/>
      <c r="O194" s="12"/>
      <c r="P194" s="12"/>
      <c r="Q194" s="12"/>
      <c r="R194" s="12" t="s">
        <v>690</v>
      </c>
      <c r="S194" s="12">
        <v>122</v>
      </c>
      <c r="T194" s="12"/>
      <c r="U194" s="12">
        <v>64</v>
      </c>
      <c r="V194" s="12">
        <v>64</v>
      </c>
      <c r="W194" s="7"/>
      <c r="X194" s="12"/>
      <c r="Y194" s="7" t="s">
        <v>691</v>
      </c>
      <c r="Z194" s="7">
        <v>3</v>
      </c>
      <c r="AA194" s="7">
        <v>0.5</v>
      </c>
      <c r="AB194" s="8"/>
      <c r="AC194" s="7"/>
      <c r="AD194" s="4"/>
      <c r="AE194" s="4"/>
      <c r="AF194" s="4"/>
      <c r="AG194" s="4"/>
      <c r="AH194" s="9"/>
      <c r="AI194" s="9"/>
      <c r="AJ194" s="9"/>
      <c r="AK194" s="9"/>
      <c r="AL194" s="10"/>
      <c r="AM194" s="10"/>
      <c r="AN194" s="10"/>
      <c r="AO194" s="10"/>
      <c r="AP194" s="10"/>
      <c r="AQ194" s="11">
        <v>34</v>
      </c>
      <c r="AR194" s="4"/>
      <c r="AS194" s="10"/>
      <c r="AT194" s="10" t="s">
        <v>1075</v>
      </c>
      <c r="AU194" s="10"/>
      <c r="AV194" s="10"/>
      <c r="AW194" s="10"/>
      <c r="AX194" s="10"/>
      <c r="AY194" s="10"/>
      <c r="AZ194" s="10"/>
      <c r="BA194" s="10"/>
      <c r="BB194" s="10"/>
      <c r="BC194" s="10"/>
      <c r="BD194" s="10"/>
      <c r="BE194" s="10"/>
      <c r="BF194" s="10"/>
    </row>
    <row r="195" spans="1:58" ht="45" x14ac:dyDescent="0.25">
      <c r="A195" s="4" t="s">
        <v>692</v>
      </c>
      <c r="B195" s="4" t="s">
        <v>1483</v>
      </c>
      <c r="C195" s="812" t="s">
        <v>22</v>
      </c>
      <c r="D195" s="813" t="s">
        <v>33</v>
      </c>
      <c r="E195" s="814" t="s">
        <v>34</v>
      </c>
      <c r="F195" s="813"/>
      <c r="G195" s="813" t="s">
        <v>35</v>
      </c>
      <c r="H195" s="49" t="s">
        <v>1060</v>
      </c>
      <c r="I195" s="12" t="s">
        <v>759</v>
      </c>
      <c r="J195" s="12">
        <f>114.3/4*0.75</f>
        <v>21.431249999999999</v>
      </c>
      <c r="K195" s="12">
        <v>0.75</v>
      </c>
      <c r="L195" s="12" t="s">
        <v>760</v>
      </c>
      <c r="M195" s="51">
        <f>0.197/4*0.75</f>
        <v>3.6937499999999998E-2</v>
      </c>
      <c r="N195" s="12">
        <v>0.75</v>
      </c>
      <c r="O195" s="12" t="s">
        <v>693</v>
      </c>
      <c r="P195" s="12">
        <f>566/4</f>
        <v>141.5</v>
      </c>
      <c r="Q195" s="12">
        <v>0.75</v>
      </c>
      <c r="R195" s="12" t="s">
        <v>694</v>
      </c>
      <c r="S195" s="12">
        <f>763/4</f>
        <v>190.75</v>
      </c>
      <c r="T195" s="12">
        <v>0.75</v>
      </c>
      <c r="U195" s="12">
        <v>17.145</v>
      </c>
      <c r="V195" s="12">
        <v>17.145</v>
      </c>
      <c r="W195" s="7"/>
      <c r="X195" s="12"/>
      <c r="Y195" s="7">
        <v>4</v>
      </c>
      <c r="Z195" s="7">
        <v>4</v>
      </c>
      <c r="AA195" s="7">
        <v>0.75</v>
      </c>
      <c r="AB195" s="8"/>
      <c r="AC195" s="7"/>
      <c r="AD195" s="4"/>
      <c r="AE195" s="4"/>
      <c r="AF195" s="4"/>
      <c r="AG195" s="4"/>
      <c r="AH195" s="9"/>
      <c r="AI195" s="9"/>
      <c r="AJ195" s="9"/>
      <c r="AK195" s="9" t="s">
        <v>697</v>
      </c>
      <c r="AL195" s="10"/>
      <c r="AM195" s="10"/>
      <c r="AN195" s="10"/>
      <c r="AO195" s="10"/>
      <c r="AP195" s="10"/>
      <c r="AQ195" s="11" t="s">
        <v>698</v>
      </c>
      <c r="AR195" s="4"/>
      <c r="AS195" s="816"/>
      <c r="AT195" s="10" t="s">
        <v>1075</v>
      </c>
      <c r="AU195" s="10"/>
      <c r="AV195" s="10"/>
      <c r="AW195" s="10"/>
      <c r="AX195" s="10"/>
      <c r="AY195" s="10"/>
      <c r="AZ195" s="10"/>
      <c r="BA195" s="10"/>
      <c r="BB195" s="10"/>
      <c r="BC195" s="10" t="s">
        <v>695</v>
      </c>
      <c r="BD195" s="10" t="s">
        <v>696</v>
      </c>
      <c r="BE195" s="10"/>
      <c r="BF195" s="10"/>
    </row>
    <row r="196" spans="1:58" ht="75" x14ac:dyDescent="0.25">
      <c r="A196" s="4" t="s">
        <v>707</v>
      </c>
      <c r="B196" s="4" t="s">
        <v>1489</v>
      </c>
      <c r="C196" s="4" t="s">
        <v>22</v>
      </c>
      <c r="D196" s="4" t="s">
        <v>33</v>
      </c>
      <c r="E196" s="5" t="s">
        <v>34</v>
      </c>
      <c r="F196" s="4" t="s">
        <v>708</v>
      </c>
      <c r="G196" s="4" t="s">
        <v>35</v>
      </c>
      <c r="H196" s="49" t="s">
        <v>1065</v>
      </c>
      <c r="I196" s="12" t="s">
        <v>715</v>
      </c>
      <c r="J196" s="12"/>
      <c r="K196" s="12">
        <v>0.75</v>
      </c>
      <c r="L196" s="12" t="s">
        <v>716</v>
      </c>
      <c r="M196" s="51">
        <v>0.1048</v>
      </c>
      <c r="N196" s="12">
        <v>0.75</v>
      </c>
      <c r="O196" s="12" t="s">
        <v>709</v>
      </c>
      <c r="P196" s="12">
        <v>0</v>
      </c>
      <c r="Q196" s="12">
        <v>0.75</v>
      </c>
      <c r="R196" s="12" t="s">
        <v>710</v>
      </c>
      <c r="S196" s="12">
        <v>0</v>
      </c>
      <c r="T196" s="12">
        <v>0.75</v>
      </c>
      <c r="U196" s="12"/>
      <c r="V196" s="12"/>
      <c r="W196" s="7"/>
      <c r="X196" s="12"/>
      <c r="Y196" s="7"/>
      <c r="Z196" s="7">
        <v>8</v>
      </c>
      <c r="AA196" s="7">
        <v>0.5</v>
      </c>
      <c r="AB196" s="7">
        <v>17000</v>
      </c>
      <c r="AC196" s="7">
        <v>0.5</v>
      </c>
      <c r="AD196" s="4" t="s">
        <v>711</v>
      </c>
      <c r="AE196" s="4">
        <v>0</v>
      </c>
      <c r="AF196" s="4"/>
      <c r="AG196" s="4">
        <v>0.25</v>
      </c>
      <c r="AH196" s="9"/>
      <c r="AI196" s="9"/>
      <c r="AJ196" s="9"/>
      <c r="AK196" s="9"/>
      <c r="AL196" s="10"/>
      <c r="AM196" s="10"/>
      <c r="AN196" s="10"/>
      <c r="AO196" s="10"/>
      <c r="AP196" s="10"/>
      <c r="AQ196" s="11" t="s">
        <v>712</v>
      </c>
      <c r="AR196" s="22"/>
      <c r="AS196" s="10"/>
      <c r="AT196" s="10" t="s">
        <v>1075</v>
      </c>
      <c r="AU196" s="10"/>
      <c r="AV196" s="10"/>
      <c r="AW196" s="10"/>
      <c r="AX196" s="10"/>
      <c r="AY196" s="10"/>
      <c r="AZ196" s="10"/>
      <c r="BA196" s="10"/>
      <c r="BB196" s="10"/>
      <c r="BC196" s="10"/>
      <c r="BD196" s="10"/>
      <c r="BE196" s="10"/>
      <c r="BF196" s="10"/>
    </row>
    <row r="197" spans="1:58" ht="45" x14ac:dyDescent="0.25">
      <c r="A197" s="4" t="s">
        <v>1508</v>
      </c>
      <c r="B197" s="4" t="s">
        <v>1507</v>
      </c>
      <c r="C197" s="4" t="s">
        <v>22</v>
      </c>
      <c r="D197" s="4" t="s">
        <v>1507</v>
      </c>
      <c r="E197" s="5" t="s">
        <v>34</v>
      </c>
      <c r="F197" s="6"/>
      <c r="G197" s="4" t="s">
        <v>35</v>
      </c>
      <c r="H197" s="4" t="s">
        <v>1255</v>
      </c>
      <c r="I197" s="7">
        <v>1700</v>
      </c>
      <c r="J197" s="7">
        <v>977.49999999999989</v>
      </c>
      <c r="K197" s="7">
        <v>0.5</v>
      </c>
      <c r="L197" s="7">
        <v>1.66</v>
      </c>
      <c r="M197" s="51">
        <v>0.83</v>
      </c>
      <c r="N197" s="7">
        <v>0.5</v>
      </c>
      <c r="O197" s="7">
        <v>4080</v>
      </c>
      <c r="P197" s="7">
        <v>2448</v>
      </c>
      <c r="Q197" s="7">
        <v>0.5</v>
      </c>
      <c r="R197" s="7">
        <v>4080</v>
      </c>
      <c r="S197" s="7">
        <v>2448</v>
      </c>
      <c r="T197" s="7">
        <v>0.5</v>
      </c>
      <c r="U197" s="12">
        <v>782</v>
      </c>
      <c r="V197" s="12">
        <v>782</v>
      </c>
      <c r="W197" s="7">
        <v>100</v>
      </c>
      <c r="X197" s="12">
        <v>0.01</v>
      </c>
      <c r="Y197" s="7">
        <v>5</v>
      </c>
      <c r="Z197" s="7">
        <v>5</v>
      </c>
      <c r="AA197" s="7">
        <v>0.5</v>
      </c>
      <c r="AB197" s="7"/>
      <c r="AC197" s="7"/>
      <c r="AD197" s="4">
        <f>0.18*Crew_Size*Mission_Duration</f>
        <v>288</v>
      </c>
      <c r="AE197" s="4">
        <v>21.6</v>
      </c>
      <c r="AF197" s="4"/>
      <c r="AG197" s="4">
        <v>0.25</v>
      </c>
      <c r="AH197" s="9"/>
      <c r="AI197" s="9"/>
      <c r="AJ197" s="9"/>
      <c r="AK197" s="9"/>
      <c r="AL197" s="10"/>
      <c r="AM197" s="10"/>
      <c r="AN197" s="10"/>
      <c r="AO197" s="10"/>
      <c r="AP197" s="10"/>
      <c r="AQ197" s="11"/>
      <c r="AR197" s="4"/>
      <c r="AS197" s="10" t="s">
        <v>1507</v>
      </c>
      <c r="AT197" s="10"/>
      <c r="AU197" s="10"/>
      <c r="AV197" s="10"/>
      <c r="AW197" s="10"/>
      <c r="AX197" s="10"/>
      <c r="AY197" s="10"/>
      <c r="AZ197" s="10"/>
      <c r="BA197" s="10"/>
      <c r="BB197" s="10"/>
      <c r="BC197" s="10"/>
      <c r="BD197" s="10"/>
      <c r="BE197" s="10"/>
      <c r="BF197" s="10"/>
    </row>
    <row r="198" spans="1:58" ht="60" x14ac:dyDescent="0.25">
      <c r="A198" s="4" t="s">
        <v>1509</v>
      </c>
      <c r="B198" s="4" t="s">
        <v>1510</v>
      </c>
      <c r="C198" s="4" t="s">
        <v>22</v>
      </c>
      <c r="D198" s="4" t="s">
        <v>1511</v>
      </c>
      <c r="E198" s="5" t="s">
        <v>34</v>
      </c>
      <c r="F198" s="6"/>
      <c r="G198" s="4" t="s">
        <v>35</v>
      </c>
      <c r="H198" s="4" t="s">
        <v>1531</v>
      </c>
      <c r="I198" s="7" t="s">
        <v>1532</v>
      </c>
      <c r="J198" s="7">
        <f>101.5*technologies[[#This Row],[Efficiency]]</f>
        <v>10.906784</v>
      </c>
      <c r="K198" s="7">
        <v>0.5</v>
      </c>
      <c r="L198" s="7">
        <f>0.292*0.368*0.47</f>
        <v>5.0504319999999998E-2</v>
      </c>
      <c r="M198" s="51">
        <v>5.0999999999999997E-2</v>
      </c>
      <c r="N198" s="7">
        <v>1</v>
      </c>
      <c r="O198" s="7">
        <v>70</v>
      </c>
      <c r="P198" s="7">
        <v>70</v>
      </c>
      <c r="Q198" s="7">
        <v>1</v>
      </c>
      <c r="R198" s="7">
        <v>70</v>
      </c>
      <c r="S198" s="7">
        <v>70</v>
      </c>
      <c r="T198" s="7">
        <v>1</v>
      </c>
      <c r="U198" s="12">
        <f>technologies[[#This Row],[Mass]]</f>
        <v>10.906784</v>
      </c>
      <c r="V198" s="12">
        <f>technologies[[#This Row],[Mass]]</f>
        <v>10.906784</v>
      </c>
      <c r="W198" s="7">
        <f>0.292*0.368</f>
        <v>0.107456</v>
      </c>
      <c r="X198" s="12">
        <f>1.28*technologies[[#This Row],[Efficiency]]/365</f>
        <v>3.7683200000000001E-4</v>
      </c>
      <c r="Y198" s="7">
        <v>5</v>
      </c>
      <c r="Z198" s="7">
        <v>5</v>
      </c>
      <c r="AA198" s="7">
        <v>1</v>
      </c>
      <c r="AB198" s="7"/>
      <c r="AC198" s="7"/>
      <c r="AD198" s="4"/>
      <c r="AE198" s="4">
        <f>13.1*technologies[[#This Row],[Efficiency]]</f>
        <v>1.4076735999999999</v>
      </c>
      <c r="AF198" s="4"/>
      <c r="AG198" s="4"/>
      <c r="AH198" s="9"/>
      <c r="AI198" s="9"/>
      <c r="AJ198" s="9"/>
      <c r="AK198" s="9"/>
      <c r="AL198" s="10" t="s">
        <v>849</v>
      </c>
      <c r="AM198" s="10" t="s">
        <v>1076</v>
      </c>
      <c r="AN198" s="10" t="s">
        <v>851</v>
      </c>
      <c r="AO198" s="10"/>
      <c r="AP198" s="10"/>
      <c r="AQ198" s="10"/>
      <c r="AR198" s="10"/>
      <c r="AS198" s="10" t="s">
        <v>1512</v>
      </c>
      <c r="AT198" s="10" t="s">
        <v>1075</v>
      </c>
      <c r="AU198" s="10" t="s">
        <v>1076</v>
      </c>
      <c r="AV198" s="10" t="s">
        <v>851</v>
      </c>
      <c r="AW198" s="10"/>
      <c r="AX198" s="10"/>
      <c r="AY198" s="10"/>
      <c r="AZ198" s="10"/>
      <c r="BA198" s="10"/>
      <c r="BB198" s="10"/>
      <c r="BC198" s="10"/>
      <c r="BD198" s="10"/>
      <c r="BE198" s="10"/>
      <c r="BF198" s="10"/>
    </row>
    <row r="199" spans="1:58" ht="165" x14ac:dyDescent="0.25">
      <c r="A199" s="4" t="s">
        <v>1515</v>
      </c>
      <c r="B199" s="4" t="s">
        <v>1525</v>
      </c>
      <c r="C199" s="4" t="s">
        <v>22</v>
      </c>
      <c r="D199" s="4" t="s">
        <v>1511</v>
      </c>
      <c r="E199" s="5" t="s">
        <v>34</v>
      </c>
      <c r="F199" s="6"/>
      <c r="G199" s="4" t="s">
        <v>35</v>
      </c>
      <c r="H199" s="4" t="s">
        <v>1673</v>
      </c>
      <c r="I199" s="7" t="s">
        <v>1518</v>
      </c>
      <c r="J199" s="7">
        <f>87.7*technologies[[#This Row],[Efficiency]]</f>
        <v>162.06960000000001</v>
      </c>
      <c r="K199" s="7">
        <v>0.5</v>
      </c>
      <c r="L199" s="7"/>
      <c r="M199" s="51">
        <v>1.571</v>
      </c>
      <c r="N199" s="7">
        <v>0.5</v>
      </c>
      <c r="O199" s="7" t="s">
        <v>1521</v>
      </c>
      <c r="P199" s="7">
        <f>943*technologies[[#This Row],[Efficiency]]</f>
        <v>1742.664</v>
      </c>
      <c r="Q199" s="7">
        <v>0.5</v>
      </c>
      <c r="R199" s="7" t="s">
        <v>1520</v>
      </c>
      <c r="S199" s="7">
        <f>943*technologies[[#This Row],[Efficiency]]</f>
        <v>1742.664</v>
      </c>
      <c r="T199" s="7">
        <v>0.5</v>
      </c>
      <c r="U199" s="12">
        <f>technologies[[#This Row],[Mass]]</f>
        <v>162.06960000000001</v>
      </c>
      <c r="V199" s="12">
        <f>technologies[[#This Row],[Mass]]</f>
        <v>162.06960000000001</v>
      </c>
      <c r="W199" s="7">
        <v>1.8480000000000001</v>
      </c>
      <c r="X199" s="12">
        <f>1.28*technologies[[#This Row],[Efficiency]]/365</f>
        <v>6.4806575342465757E-3</v>
      </c>
      <c r="Y199" s="7">
        <v>5</v>
      </c>
      <c r="Z199" s="7">
        <v>5</v>
      </c>
      <c r="AA199" s="7">
        <v>1</v>
      </c>
      <c r="AB199" s="7">
        <v>40000</v>
      </c>
      <c r="AC199" s="7"/>
      <c r="AD199" s="4" t="s">
        <v>1674</v>
      </c>
      <c r="AE199" s="4">
        <f>13.1*technologies[[#This Row],[Efficiency]]</f>
        <v>24.2088</v>
      </c>
      <c r="AF199" s="4"/>
      <c r="AG199" s="4">
        <v>0.25</v>
      </c>
      <c r="AH199" s="9"/>
      <c r="AI199" s="9"/>
      <c r="AJ199" s="9"/>
      <c r="AK199" s="9"/>
      <c r="AL199" s="10" t="s">
        <v>1512</v>
      </c>
      <c r="AM199" s="10" t="s">
        <v>1075</v>
      </c>
      <c r="AN199" s="10" t="s">
        <v>1076</v>
      </c>
      <c r="AO199" s="10" t="s">
        <v>851</v>
      </c>
      <c r="AP199" s="10"/>
      <c r="AQ199" s="10"/>
      <c r="AR199" s="10"/>
      <c r="AS199" s="10" t="s">
        <v>1512</v>
      </c>
      <c r="AT199" s="10" t="s">
        <v>1075</v>
      </c>
      <c r="AU199" s="10" t="s">
        <v>1076</v>
      </c>
      <c r="AV199" s="10" t="s">
        <v>851</v>
      </c>
      <c r="AW199" s="10"/>
      <c r="AX199" s="10"/>
      <c r="AY199" s="10"/>
      <c r="AZ199" s="10"/>
      <c r="BA199" s="10"/>
      <c r="BB199" s="10"/>
      <c r="BC199" s="10"/>
      <c r="BD199" s="10"/>
      <c r="BE199" s="10"/>
      <c r="BF199" s="10"/>
    </row>
    <row r="200" spans="1:58" ht="150" x14ac:dyDescent="0.25">
      <c r="A200" s="4" t="s">
        <v>1526</v>
      </c>
      <c r="B200" s="4" t="s">
        <v>1528</v>
      </c>
      <c r="C200" s="4" t="s">
        <v>22</v>
      </c>
      <c r="D200" s="4" t="s">
        <v>1511</v>
      </c>
      <c r="E200" s="5" t="s">
        <v>34</v>
      </c>
      <c r="F200" s="6"/>
      <c r="G200" s="4" t="s">
        <v>35</v>
      </c>
      <c r="H200" s="4" t="s">
        <v>1675</v>
      </c>
      <c r="I200" s="7" t="s">
        <v>1518</v>
      </c>
      <c r="J200" s="7">
        <f>87.7*technologies[[#This Row],[Efficiency]]</f>
        <v>1710.15</v>
      </c>
      <c r="K200" s="7">
        <v>0.5</v>
      </c>
      <c r="L200" s="7" t="s">
        <v>1519</v>
      </c>
      <c r="M200" s="51">
        <f>1.03*technologies[[#This Row],[Efficiency]]</f>
        <v>20.085000000000001</v>
      </c>
      <c r="N200" s="7">
        <v>0.5</v>
      </c>
      <c r="O200" s="7" t="s">
        <v>1521</v>
      </c>
      <c r="P200" s="7">
        <f>943*technologies[[#This Row],[Efficiency]]</f>
        <v>18388.5</v>
      </c>
      <c r="Q200" s="7">
        <v>0.5</v>
      </c>
      <c r="R200" s="7" t="s">
        <v>1520</v>
      </c>
      <c r="S200" s="7">
        <f>943*technologies[[#This Row],[Efficiency]]</f>
        <v>18388.5</v>
      </c>
      <c r="T200" s="7">
        <v>0.5</v>
      </c>
      <c r="U200" s="12">
        <v>187</v>
      </c>
      <c r="V200" s="12">
        <v>187</v>
      </c>
      <c r="W200" s="7">
        <v>19.5</v>
      </c>
      <c r="X200" s="12">
        <f>1.28*technologies[[#This Row],[Efficiency]]/365</f>
        <v>6.8383561643835619E-2</v>
      </c>
      <c r="Y200" s="7">
        <v>5</v>
      </c>
      <c r="Z200" s="7">
        <v>5</v>
      </c>
      <c r="AA200" s="7">
        <v>1</v>
      </c>
      <c r="AB200" s="7">
        <v>40000</v>
      </c>
      <c r="AC200" s="7"/>
      <c r="AD200" s="4" t="s">
        <v>1522</v>
      </c>
      <c r="AE200" s="4"/>
      <c r="AF200" s="4">
        <f>13.1*technologies[[#This Row],[Efficiency]]</f>
        <v>255.45</v>
      </c>
      <c r="AG200" s="4">
        <v>0.25</v>
      </c>
      <c r="AH200" s="9"/>
      <c r="AI200" s="9"/>
      <c r="AJ200" s="9"/>
      <c r="AK200" s="9"/>
      <c r="AL200" s="10" t="s">
        <v>1512</v>
      </c>
      <c r="AM200" s="10" t="s">
        <v>1075</v>
      </c>
      <c r="AN200" s="10" t="s">
        <v>1076</v>
      </c>
      <c r="AO200" s="10" t="s">
        <v>851</v>
      </c>
      <c r="AP200" s="10"/>
      <c r="AQ200" s="10"/>
      <c r="AR200" s="10"/>
      <c r="AS200" s="10" t="s">
        <v>1512</v>
      </c>
      <c r="AT200" s="10" t="s">
        <v>1075</v>
      </c>
      <c r="AU200" s="10" t="s">
        <v>1076</v>
      </c>
      <c r="AV200" s="10" t="s">
        <v>851</v>
      </c>
      <c r="AW200" s="10"/>
      <c r="AX200" s="10"/>
      <c r="AY200" s="10"/>
      <c r="AZ200" s="10"/>
      <c r="BA200" s="10"/>
      <c r="BB200" s="10"/>
      <c r="BC200" s="10"/>
      <c r="BD200" s="10"/>
      <c r="BE200" s="10"/>
      <c r="BF200" s="10"/>
    </row>
    <row r="201" spans="1:58" ht="150" x14ac:dyDescent="0.25">
      <c r="A201" s="4" t="s">
        <v>1685</v>
      </c>
      <c r="B201" s="4" t="s">
        <v>1527</v>
      </c>
      <c r="C201" s="4" t="s">
        <v>22</v>
      </c>
      <c r="D201" s="4" t="s">
        <v>1511</v>
      </c>
      <c r="E201" s="5" t="s">
        <v>34</v>
      </c>
      <c r="F201" s="6"/>
      <c r="G201" s="4" t="s">
        <v>35</v>
      </c>
      <c r="H201" s="4" t="s">
        <v>1675</v>
      </c>
      <c r="I201" s="7" t="s">
        <v>1518</v>
      </c>
      <c r="J201" s="7">
        <f>87.7*technologies[[#This Row],[Efficiency]]</f>
        <v>14395.955000000002</v>
      </c>
      <c r="K201" s="7">
        <v>0.5</v>
      </c>
      <c r="L201" s="7" t="s">
        <v>1519</v>
      </c>
      <c r="M201" s="51">
        <f>1.03*technologies[[#This Row],[Efficiency]]</f>
        <v>169.0745</v>
      </c>
      <c r="N201" s="7">
        <v>0.5</v>
      </c>
      <c r="O201" s="7" t="s">
        <v>1521</v>
      </c>
      <c r="P201" s="7">
        <f>943*technologies[[#This Row],[Efficiency]]</f>
        <v>154793.45000000001</v>
      </c>
      <c r="Q201" s="7">
        <v>0.5</v>
      </c>
      <c r="R201" s="7" t="s">
        <v>1520</v>
      </c>
      <c r="S201" s="7">
        <f>943*technologies[[#This Row],[Efficiency]]</f>
        <v>154793.45000000001</v>
      </c>
      <c r="T201" s="7">
        <v>0.5</v>
      </c>
      <c r="U201" s="12">
        <v>187</v>
      </c>
      <c r="V201" s="12">
        <v>187</v>
      </c>
      <c r="W201" s="7">
        <v>164.15</v>
      </c>
      <c r="X201" s="12">
        <f>1.28*technologies[[#This Row],[Efficiency]]/365</f>
        <v>0.57564931506849326</v>
      </c>
      <c r="Y201" s="7">
        <v>5</v>
      </c>
      <c r="Z201" s="7">
        <v>5</v>
      </c>
      <c r="AA201" s="7">
        <v>1</v>
      </c>
      <c r="AB201" s="7">
        <v>40000</v>
      </c>
      <c r="AC201" s="7"/>
      <c r="AD201" s="4" t="s">
        <v>1522</v>
      </c>
      <c r="AE201" s="4"/>
      <c r="AF201" s="4">
        <f>13.1*technologies[[#This Row],[Efficiency]]</f>
        <v>2150.3650000000002</v>
      </c>
      <c r="AG201" s="4">
        <v>0.25</v>
      </c>
      <c r="AH201" s="9"/>
      <c r="AI201" s="9"/>
      <c r="AJ201" s="9"/>
      <c r="AK201" s="9"/>
      <c r="AL201" s="10" t="s">
        <v>1512</v>
      </c>
      <c r="AM201" s="10" t="s">
        <v>1075</v>
      </c>
      <c r="AN201" s="10" t="s">
        <v>1076</v>
      </c>
      <c r="AO201" s="10" t="s">
        <v>851</v>
      </c>
      <c r="AP201" s="10"/>
      <c r="AQ201" s="10"/>
      <c r="AR201" s="10"/>
      <c r="AS201" s="10" t="s">
        <v>1512</v>
      </c>
      <c r="AT201" s="10" t="s">
        <v>1075</v>
      </c>
      <c r="AU201" s="10" t="s">
        <v>1076</v>
      </c>
      <c r="AV201" s="10" t="s">
        <v>851</v>
      </c>
      <c r="AW201" s="10"/>
      <c r="AX201" s="10"/>
      <c r="AY201" s="10"/>
      <c r="AZ201" s="10"/>
      <c r="BA201" s="10"/>
      <c r="BB201" s="10"/>
      <c r="BC201" s="10"/>
      <c r="BD201" s="10"/>
      <c r="BE201" s="10"/>
      <c r="BF201" s="10"/>
    </row>
    <row r="202" spans="1:58" ht="45" x14ac:dyDescent="0.25">
      <c r="A202" s="4" t="s">
        <v>1681</v>
      </c>
      <c r="B202" s="4" t="s">
        <v>1678</v>
      </c>
      <c r="C202" s="4" t="s">
        <v>22</v>
      </c>
      <c r="D202" s="4" t="s">
        <v>1511</v>
      </c>
      <c r="E202" s="5" t="s">
        <v>34</v>
      </c>
      <c r="F202" s="6"/>
      <c r="G202" s="4" t="s">
        <v>35</v>
      </c>
      <c r="H202" s="4" t="s">
        <v>1682</v>
      </c>
      <c r="I202" s="7" t="s">
        <v>1518</v>
      </c>
      <c r="J202" s="7">
        <f>87.7*technologies[[#This Row],[Efficiency]]</f>
        <v>4696.335</v>
      </c>
      <c r="K202" s="7">
        <v>0.5</v>
      </c>
      <c r="L202" s="7" t="s">
        <v>1519</v>
      </c>
      <c r="M202" s="51">
        <f>1.03*technologies[[#This Row],[Efficiency]]</f>
        <v>55.156500000000001</v>
      </c>
      <c r="N202" s="7">
        <v>0.5</v>
      </c>
      <c r="O202" s="7" t="s">
        <v>1521</v>
      </c>
      <c r="P202" s="7">
        <f>943*technologies[[#This Row],[Efficiency]]</f>
        <v>50497.649999999994</v>
      </c>
      <c r="Q202" s="7">
        <v>0.5</v>
      </c>
      <c r="R202" s="7" t="s">
        <v>1520</v>
      </c>
      <c r="S202" s="7">
        <f>943*technologies[[#This Row],[Efficiency]]</f>
        <v>50497.649999999994</v>
      </c>
      <c r="T202" s="7">
        <v>0.5</v>
      </c>
      <c r="U202" s="12">
        <v>187</v>
      </c>
      <c r="V202" s="12">
        <v>187</v>
      </c>
      <c r="W202" s="7">
        <v>53.55</v>
      </c>
      <c r="X202" s="12">
        <f>1.28*technologies[[#This Row],[Efficiency]]/365</f>
        <v>0.1877917808219178</v>
      </c>
      <c r="Y202" s="7">
        <v>5</v>
      </c>
      <c r="Z202" s="7">
        <v>5</v>
      </c>
      <c r="AA202" s="7">
        <v>1</v>
      </c>
      <c r="AB202" s="7">
        <v>40000</v>
      </c>
      <c r="AC202" s="7"/>
      <c r="AD202" s="4" t="s">
        <v>1522</v>
      </c>
      <c r="AE202" s="4"/>
      <c r="AF202" s="4">
        <f>13.1*technologies[[#This Row],[Efficiency]]</f>
        <v>701.505</v>
      </c>
      <c r="AG202" s="4">
        <v>0.25</v>
      </c>
      <c r="AH202" s="9"/>
      <c r="AI202" s="9"/>
      <c r="AJ202" s="9"/>
      <c r="AK202" s="9"/>
      <c r="AL202" s="10" t="s">
        <v>1512</v>
      </c>
      <c r="AM202" s="10" t="s">
        <v>1075</v>
      </c>
      <c r="AN202" s="10" t="s">
        <v>1076</v>
      </c>
      <c r="AO202" s="10" t="s">
        <v>851</v>
      </c>
      <c r="AP202" s="10"/>
      <c r="AQ202" s="11"/>
      <c r="AR202" s="4"/>
      <c r="AS202" s="10" t="s">
        <v>1512</v>
      </c>
      <c r="AT202" s="10" t="s">
        <v>1075</v>
      </c>
      <c r="AU202" s="10" t="s">
        <v>1076</v>
      </c>
      <c r="AV202" s="10" t="s">
        <v>851</v>
      </c>
      <c r="AW202" s="10"/>
      <c r="AX202" s="10"/>
      <c r="AY202" s="10"/>
      <c r="AZ202" s="10"/>
      <c r="BA202" s="10"/>
      <c r="BB202" s="10"/>
      <c r="BC202" s="10"/>
      <c r="BD202" s="10"/>
      <c r="BE202" s="10"/>
      <c r="BF202" s="10"/>
    </row>
    <row r="203" spans="1:58" ht="150" x14ac:dyDescent="0.25">
      <c r="A203" s="4" t="s">
        <v>1684</v>
      </c>
      <c r="B203" s="4" t="s">
        <v>1686</v>
      </c>
      <c r="C203" s="4" t="s">
        <v>22</v>
      </c>
      <c r="D203" s="4" t="s">
        <v>1511</v>
      </c>
      <c r="E203" s="5" t="s">
        <v>34</v>
      </c>
      <c r="F203" s="6"/>
      <c r="G203" s="4" t="s">
        <v>35</v>
      </c>
      <c r="H203" s="4" t="s">
        <v>1675</v>
      </c>
      <c r="I203" s="7" t="s">
        <v>1518</v>
      </c>
      <c r="J203" s="7">
        <f>87.7*technologies[[#This Row],[Efficiency]]</f>
        <v>4506.0260000000007</v>
      </c>
      <c r="K203" s="7">
        <v>0.5</v>
      </c>
      <c r="L203" s="7" t="s">
        <v>1519</v>
      </c>
      <c r="M203" s="51">
        <f>1.03*technologies[[#This Row],[Efficiency]]</f>
        <v>52.921400000000006</v>
      </c>
      <c r="N203" s="7">
        <v>0.5</v>
      </c>
      <c r="O203" s="7" t="s">
        <v>1521</v>
      </c>
      <c r="P203" s="7">
        <f>943*technologies[[#This Row],[Efficiency]]</f>
        <v>48451.340000000004</v>
      </c>
      <c r="Q203" s="7">
        <v>0.5</v>
      </c>
      <c r="R203" s="7" t="s">
        <v>1520</v>
      </c>
      <c r="S203" s="7">
        <f>943*technologies[[#This Row],[Efficiency]]</f>
        <v>48451.340000000004</v>
      </c>
      <c r="T203" s="7">
        <v>0.5</v>
      </c>
      <c r="U203" s="12">
        <v>187</v>
      </c>
      <c r="V203" s="12">
        <v>187</v>
      </c>
      <c r="W203" s="7">
        <v>51.38</v>
      </c>
      <c r="X203" s="12">
        <f>1.28*technologies[[#This Row],[Efficiency]]/365</f>
        <v>0.18018191780821918</v>
      </c>
      <c r="Y203" s="7">
        <v>5</v>
      </c>
      <c r="Z203" s="7">
        <v>5</v>
      </c>
      <c r="AA203" s="7">
        <v>1</v>
      </c>
      <c r="AB203" s="7">
        <v>40000</v>
      </c>
      <c r="AC203" s="7"/>
      <c r="AD203" s="4" t="s">
        <v>1522</v>
      </c>
      <c r="AE203" s="4"/>
      <c r="AF203" s="4">
        <f>13.1*technologies[[#This Row],[Efficiency]]</f>
        <v>673.07799999999997</v>
      </c>
      <c r="AG203" s="4">
        <v>0.25</v>
      </c>
      <c r="AH203" s="9"/>
      <c r="AI203" s="9"/>
      <c r="AJ203" s="9"/>
      <c r="AK203" s="9"/>
      <c r="AL203" s="10" t="s">
        <v>1512</v>
      </c>
      <c r="AM203" s="10" t="s">
        <v>1075</v>
      </c>
      <c r="AN203" s="10" t="s">
        <v>1076</v>
      </c>
      <c r="AO203" s="10" t="s">
        <v>851</v>
      </c>
      <c r="AP203" s="10"/>
      <c r="AQ203" s="11"/>
      <c r="AR203" s="4"/>
      <c r="AS203" s="10" t="s">
        <v>1512</v>
      </c>
      <c r="AT203" s="10" t="s">
        <v>1075</v>
      </c>
      <c r="AU203" s="10" t="s">
        <v>1076</v>
      </c>
      <c r="AV203" s="10" t="s">
        <v>851</v>
      </c>
      <c r="AW203" s="10"/>
      <c r="AX203" s="10"/>
      <c r="AY203" s="10"/>
      <c r="AZ203" s="10"/>
      <c r="BA203" s="10"/>
      <c r="BB203" s="10"/>
      <c r="BC203" s="10"/>
      <c r="BD203" s="10"/>
      <c r="BE203" s="10"/>
      <c r="BF203" s="10"/>
    </row>
    <row r="204" spans="1:58" ht="150" x14ac:dyDescent="0.25">
      <c r="A204" s="4" t="s">
        <v>1695</v>
      </c>
      <c r="B204" s="4" t="s">
        <v>1694</v>
      </c>
      <c r="C204" s="4" t="s">
        <v>22</v>
      </c>
      <c r="D204" s="4" t="s">
        <v>1511</v>
      </c>
      <c r="E204" s="5" t="s">
        <v>34</v>
      </c>
      <c r="F204" s="6"/>
      <c r="G204" s="4" t="s">
        <v>35</v>
      </c>
      <c r="H204" s="4" t="s">
        <v>1682</v>
      </c>
      <c r="I204" s="7" t="s">
        <v>1518</v>
      </c>
      <c r="J204" s="7">
        <f>87.7*technologies[[#This Row],[Efficiency]]</f>
        <v>4998.9000000000005</v>
      </c>
      <c r="K204" s="7">
        <v>0.5</v>
      </c>
      <c r="L204" s="7" t="s">
        <v>1519</v>
      </c>
      <c r="M204" s="51">
        <f>1.03*technologies[[#This Row],[Efficiency]]</f>
        <v>58.71</v>
      </c>
      <c r="N204" s="7">
        <v>0.5</v>
      </c>
      <c r="O204" s="7" t="s">
        <v>1521</v>
      </c>
      <c r="P204" s="7">
        <f>943*technologies[[#This Row],[Efficiency]]</f>
        <v>53751</v>
      </c>
      <c r="Q204" s="7">
        <v>0.5</v>
      </c>
      <c r="R204" s="7" t="s">
        <v>1520</v>
      </c>
      <c r="S204" s="7">
        <f>943*technologies[[#This Row],[Efficiency]]</f>
        <v>53751</v>
      </c>
      <c r="T204" s="7">
        <v>0.5</v>
      </c>
      <c r="U204" s="12">
        <v>187</v>
      </c>
      <c r="V204" s="12">
        <v>187</v>
      </c>
      <c r="W204" s="7">
        <v>57</v>
      </c>
      <c r="X204" s="12">
        <f>1.28*technologies[[#This Row],[Efficiency]]/365</f>
        <v>0.19989041095890414</v>
      </c>
      <c r="Y204" s="7">
        <v>5</v>
      </c>
      <c r="Z204" s="7">
        <v>5</v>
      </c>
      <c r="AA204" s="7">
        <v>1</v>
      </c>
      <c r="AB204" s="7">
        <v>40000</v>
      </c>
      <c r="AC204" s="7"/>
      <c r="AD204" s="4" t="s">
        <v>1522</v>
      </c>
      <c r="AE204" s="4"/>
      <c r="AF204" s="4">
        <f>13.1*technologies[[#This Row],[Efficiency]]</f>
        <v>746.69999999999993</v>
      </c>
      <c r="AG204" s="4">
        <v>0.25</v>
      </c>
      <c r="AH204" s="9"/>
      <c r="AI204" s="9"/>
      <c r="AJ204" s="9"/>
      <c r="AK204" s="9"/>
      <c r="AL204" s="10" t="s">
        <v>1512</v>
      </c>
      <c r="AM204" s="10" t="s">
        <v>1075</v>
      </c>
      <c r="AN204" s="10" t="s">
        <v>1076</v>
      </c>
      <c r="AO204" s="10" t="s">
        <v>851</v>
      </c>
      <c r="AP204" s="10"/>
      <c r="AQ204" s="11"/>
      <c r="AR204" s="4"/>
      <c r="AS204" s="10" t="s">
        <v>1512</v>
      </c>
      <c r="AT204" s="10" t="s">
        <v>1075</v>
      </c>
      <c r="AU204" s="10" t="s">
        <v>1076</v>
      </c>
      <c r="AV204" s="10" t="s">
        <v>851</v>
      </c>
      <c r="AW204" s="10"/>
      <c r="AX204" s="10"/>
      <c r="AY204" s="10"/>
      <c r="AZ204" s="10"/>
      <c r="BA204" s="10"/>
      <c r="BB204" s="10"/>
      <c r="BC204" s="10"/>
      <c r="BD204" s="10"/>
      <c r="BE204" s="10"/>
      <c r="BF204" s="10"/>
    </row>
    <row r="205" spans="1:58" ht="75" x14ac:dyDescent="0.25">
      <c r="A205" s="4" t="s">
        <v>1693</v>
      </c>
      <c r="B205" s="4" t="s">
        <v>1692</v>
      </c>
      <c r="C205" s="4" t="s">
        <v>22</v>
      </c>
      <c r="D205" s="4" t="s">
        <v>1511</v>
      </c>
      <c r="E205" s="5" t="s">
        <v>34</v>
      </c>
      <c r="F205" s="6"/>
      <c r="G205" s="4" t="s">
        <v>35</v>
      </c>
      <c r="H205" s="4" t="s">
        <v>1682</v>
      </c>
      <c r="I205" s="7" t="s">
        <v>1518</v>
      </c>
      <c r="J205" s="7">
        <f>87.7*technologies[[#This Row],[Efficiency]]</f>
        <v>10090.762000000001</v>
      </c>
      <c r="K205" s="7">
        <v>0.5</v>
      </c>
      <c r="L205" s="7" t="s">
        <v>1519</v>
      </c>
      <c r="M205" s="51">
        <f>1.03*technologies[[#This Row],[Efficiency]]</f>
        <v>118.51180000000001</v>
      </c>
      <c r="N205" s="7">
        <v>0.5</v>
      </c>
      <c r="O205" s="7" t="s">
        <v>1521</v>
      </c>
      <c r="P205" s="7">
        <f>943*technologies[[#This Row],[Efficiency]]</f>
        <v>108501.58</v>
      </c>
      <c r="Q205" s="7">
        <v>0.5</v>
      </c>
      <c r="R205" s="7" t="s">
        <v>1520</v>
      </c>
      <c r="S205" s="7">
        <f>943*technologies[[#This Row],[Efficiency]]</f>
        <v>108501.58</v>
      </c>
      <c r="T205" s="7">
        <v>0.5</v>
      </c>
      <c r="U205" s="12">
        <v>187</v>
      </c>
      <c r="V205" s="12">
        <v>187</v>
      </c>
      <c r="W205" s="7">
        <v>115.06</v>
      </c>
      <c r="X205" s="12">
        <f>1.28*technologies[[#This Row],[Efficiency]]/365</f>
        <v>0.40349808219178085</v>
      </c>
      <c r="Y205" s="7">
        <v>5</v>
      </c>
      <c r="Z205" s="7">
        <v>5</v>
      </c>
      <c r="AA205" s="7">
        <v>1</v>
      </c>
      <c r="AB205" s="7">
        <v>40000</v>
      </c>
      <c r="AC205" s="7"/>
      <c r="AD205" s="4" t="s">
        <v>1522</v>
      </c>
      <c r="AE205" s="4"/>
      <c r="AF205" s="4">
        <f>13.1*technologies[[#This Row],[Efficiency]]</f>
        <v>1507.2860000000001</v>
      </c>
      <c r="AG205" s="4">
        <v>0.25</v>
      </c>
      <c r="AH205" s="9"/>
      <c r="AI205" s="9"/>
      <c r="AJ205" s="9"/>
      <c r="AK205" s="9"/>
      <c r="AL205" s="10" t="s">
        <v>1512</v>
      </c>
      <c r="AM205" s="10" t="s">
        <v>1075</v>
      </c>
      <c r="AN205" s="10" t="s">
        <v>1076</v>
      </c>
      <c r="AO205" s="10" t="s">
        <v>851</v>
      </c>
      <c r="AP205" s="10"/>
      <c r="AQ205" s="11"/>
      <c r="AR205" s="4"/>
      <c r="AS205" s="10" t="s">
        <v>1512</v>
      </c>
      <c r="AT205" s="10" t="s">
        <v>1075</v>
      </c>
      <c r="AU205" s="10" t="s">
        <v>1076</v>
      </c>
      <c r="AV205" s="10" t="s">
        <v>851</v>
      </c>
      <c r="AW205" s="10"/>
      <c r="AX205" s="10"/>
      <c r="AY205" s="10"/>
      <c r="AZ205" s="10"/>
      <c r="BA205" s="10"/>
      <c r="BB205" s="10"/>
      <c r="BC205" s="10"/>
      <c r="BD205" s="10"/>
      <c r="BE205" s="10"/>
      <c r="BF205" s="10"/>
    </row>
    <row r="206" spans="1:58" ht="30" x14ac:dyDescent="0.25">
      <c r="A206" s="4" t="s">
        <v>1709</v>
      </c>
      <c r="B206" s="4" t="s">
        <v>1710</v>
      </c>
      <c r="C206" s="4" t="s">
        <v>22</v>
      </c>
      <c r="D206" s="4" t="s">
        <v>33</v>
      </c>
      <c r="E206" s="5" t="s">
        <v>34</v>
      </c>
      <c r="F206" s="6"/>
      <c r="G206" s="4" t="s">
        <v>35</v>
      </c>
      <c r="H206" s="4" t="s">
        <v>1995</v>
      </c>
      <c r="I206" s="7">
        <v>190</v>
      </c>
      <c r="J206" s="7">
        <f>technologies[[#This Row],[Mass
Literature]]/4</f>
        <v>47.5</v>
      </c>
      <c r="K206" s="7">
        <v>0.5</v>
      </c>
      <c r="L206" s="7">
        <v>0.22</v>
      </c>
      <c r="M206" s="51">
        <f>technologies[[#This Row],[Volume
Literature]]/4</f>
        <v>5.5E-2</v>
      </c>
      <c r="N206" s="7">
        <v>0.5</v>
      </c>
      <c r="O206" s="7">
        <v>419</v>
      </c>
      <c r="P206" s="7">
        <f>technologies[[#This Row],[Heat Generated
Literature]]/4</f>
        <v>104.75</v>
      </c>
      <c r="Q206" s="7">
        <v>0.5</v>
      </c>
      <c r="R206" s="7">
        <v>740</v>
      </c>
      <c r="S206" s="7">
        <f>technologies[[#This Row],[Power required
Literature]]/4</f>
        <v>185</v>
      </c>
      <c r="T206" s="7">
        <v>0.5</v>
      </c>
      <c r="U206" s="12">
        <v>20</v>
      </c>
      <c r="V206" s="12">
        <f>190/4</f>
        <v>47.5</v>
      </c>
      <c r="W206" s="7"/>
      <c r="X206" s="12"/>
      <c r="Y206" s="7">
        <v>5</v>
      </c>
      <c r="Z206" s="7">
        <v>5</v>
      </c>
      <c r="AA206" s="7">
        <v>1</v>
      </c>
      <c r="AB206" s="7"/>
      <c r="AC206" s="7"/>
      <c r="AD206" s="4"/>
      <c r="AE206" s="4"/>
      <c r="AF206" s="4"/>
      <c r="AG206" s="4"/>
      <c r="AH206" s="9"/>
      <c r="AI206" s="9"/>
      <c r="AJ206" s="9"/>
      <c r="AK206" s="9"/>
      <c r="AL206" s="10" t="s">
        <v>1512</v>
      </c>
      <c r="AM206" s="10" t="s">
        <v>1075</v>
      </c>
      <c r="AN206" s="10" t="s">
        <v>1076</v>
      </c>
      <c r="AO206" s="10" t="s">
        <v>851</v>
      </c>
      <c r="AP206" s="10"/>
      <c r="AQ206" s="11"/>
      <c r="AR206" s="4"/>
      <c r="AS206" s="10" t="s">
        <v>1075</v>
      </c>
      <c r="AT206" s="10"/>
      <c r="AU206" s="10"/>
      <c r="AV206" s="10"/>
      <c r="AW206" s="10"/>
      <c r="AX206" s="10"/>
      <c r="AY206" s="10"/>
      <c r="AZ206" s="10"/>
      <c r="BA206" s="10"/>
      <c r="BB206" s="10"/>
      <c r="BC206" s="10"/>
      <c r="BD206" s="10"/>
      <c r="BE206" s="10"/>
      <c r="BF206" s="10"/>
    </row>
    <row r="207" spans="1:58" ht="30" x14ac:dyDescent="0.25">
      <c r="A207" s="4" t="s">
        <v>1713</v>
      </c>
      <c r="B207" s="4" t="s">
        <v>1711</v>
      </c>
      <c r="C207" s="4" t="s">
        <v>22</v>
      </c>
      <c r="D207" s="4" t="s">
        <v>1716</v>
      </c>
      <c r="E207" s="5" t="s">
        <v>34</v>
      </c>
      <c r="F207" s="6"/>
      <c r="G207" s="4" t="s">
        <v>35</v>
      </c>
      <c r="H207" s="4" t="s">
        <v>1996</v>
      </c>
      <c r="I207" s="7">
        <v>50</v>
      </c>
      <c r="J207" s="7">
        <f>technologies[[#This Row],[Mass
Literature]]/4</f>
        <v>12.5</v>
      </c>
      <c r="K207" s="7">
        <v>0.1</v>
      </c>
      <c r="L207" s="7">
        <v>0.25</v>
      </c>
      <c r="M207" s="51">
        <f>technologies[[#This Row],[Volume
Literature]]/4</f>
        <v>6.25E-2</v>
      </c>
      <c r="N207" s="7">
        <v>0.1</v>
      </c>
      <c r="O207" s="7">
        <v>832</v>
      </c>
      <c r="P207" s="7">
        <f>technologies[[#This Row],[Power required
Literature]]/4</f>
        <v>208</v>
      </c>
      <c r="Q207" s="7">
        <v>0.25</v>
      </c>
      <c r="R207" s="7">
        <v>832</v>
      </c>
      <c r="S207" s="7">
        <f>technologies[[#This Row],[Power required
Literature]]/4</f>
        <v>208</v>
      </c>
      <c r="T207" s="7">
        <v>0.25</v>
      </c>
      <c r="U207" s="12">
        <v>2.5</v>
      </c>
      <c r="V207" s="12">
        <v>12.5</v>
      </c>
      <c r="W207" s="7"/>
      <c r="X207" s="12"/>
      <c r="Y207" s="7">
        <v>6</v>
      </c>
      <c r="Z207" s="7">
        <v>6</v>
      </c>
      <c r="AA207" s="7">
        <v>1</v>
      </c>
      <c r="AB207" s="7"/>
      <c r="AC207" s="7"/>
      <c r="AD207" s="4"/>
      <c r="AE207" s="4"/>
      <c r="AF207" s="4"/>
      <c r="AG207" s="4"/>
      <c r="AH207" s="9"/>
      <c r="AI207" s="9"/>
      <c r="AJ207" s="9"/>
      <c r="AK207" s="9"/>
      <c r="AL207" s="10" t="s">
        <v>1512</v>
      </c>
      <c r="AM207" s="10" t="s">
        <v>1075</v>
      </c>
      <c r="AN207" s="10" t="s">
        <v>1076</v>
      </c>
      <c r="AO207" s="10" t="s">
        <v>851</v>
      </c>
      <c r="AP207" s="10"/>
      <c r="AQ207" s="11"/>
      <c r="AR207" s="4"/>
      <c r="AS207" s="10" t="s">
        <v>1716</v>
      </c>
      <c r="AT207" s="10"/>
      <c r="AU207" s="10"/>
      <c r="AV207" s="10"/>
      <c r="AW207" s="10"/>
      <c r="AX207" s="10"/>
      <c r="AY207" s="10"/>
      <c r="AZ207" s="10"/>
      <c r="BA207" s="10"/>
      <c r="BB207" s="10"/>
      <c r="BC207" s="10"/>
      <c r="BD207" s="10"/>
      <c r="BE207" s="10"/>
      <c r="BF207" s="10"/>
    </row>
    <row r="208" spans="1:58" ht="30" x14ac:dyDescent="0.25">
      <c r="A208" s="4" t="s">
        <v>1714</v>
      </c>
      <c r="B208" s="4" t="s">
        <v>1712</v>
      </c>
      <c r="C208" s="4" t="s">
        <v>22</v>
      </c>
      <c r="D208" s="4" t="s">
        <v>1716</v>
      </c>
      <c r="E208" s="5" t="s">
        <v>34</v>
      </c>
      <c r="F208" s="6"/>
      <c r="G208" s="4" t="s">
        <v>35</v>
      </c>
      <c r="H208" s="4"/>
      <c r="I208" s="7">
        <v>50</v>
      </c>
      <c r="J208" s="7">
        <f>technologies[[#This Row],[Mass
Literature]]/4</f>
        <v>12.5</v>
      </c>
      <c r="K208" s="7">
        <v>0.1</v>
      </c>
      <c r="L208" s="7">
        <v>0.25</v>
      </c>
      <c r="M208" s="51">
        <f>technologies[[#This Row],[Volume
Literature]]/4</f>
        <v>6.25E-2</v>
      </c>
      <c r="N208" s="7">
        <v>0.1</v>
      </c>
      <c r="O208" s="7">
        <v>832</v>
      </c>
      <c r="P208" s="7">
        <f>technologies[[#This Row],[Power required
Literature]]/4</f>
        <v>208</v>
      </c>
      <c r="Q208" s="7">
        <v>0.25</v>
      </c>
      <c r="R208" s="7">
        <v>832</v>
      </c>
      <c r="S208" s="7">
        <f>technologies[[#This Row],[Power required
Literature]]/4</f>
        <v>208</v>
      </c>
      <c r="T208" s="7">
        <v>0.25</v>
      </c>
      <c r="U208" s="12">
        <v>2.5</v>
      </c>
      <c r="V208" s="12">
        <v>12.5</v>
      </c>
      <c r="W208" s="7"/>
      <c r="X208" s="12"/>
      <c r="Y208" s="7">
        <v>3</v>
      </c>
      <c r="Z208" s="7">
        <v>3</v>
      </c>
      <c r="AA208" s="7">
        <v>1</v>
      </c>
      <c r="AB208" s="7"/>
      <c r="AC208" s="7"/>
      <c r="AD208" s="4"/>
      <c r="AE208" s="4"/>
      <c r="AF208" s="4"/>
      <c r="AG208" s="4"/>
      <c r="AH208" s="9"/>
      <c r="AI208" s="9"/>
      <c r="AJ208" s="9"/>
      <c r="AK208" s="9"/>
      <c r="AL208" s="10" t="s">
        <v>1512</v>
      </c>
      <c r="AM208" s="10" t="s">
        <v>1075</v>
      </c>
      <c r="AN208" s="10" t="s">
        <v>1076</v>
      </c>
      <c r="AO208" s="10" t="s">
        <v>851</v>
      </c>
      <c r="AP208" s="10"/>
      <c r="AQ208" s="11"/>
      <c r="AR208" s="4"/>
      <c r="AS208" s="10" t="s">
        <v>1716</v>
      </c>
      <c r="AT208" s="10"/>
      <c r="AU208" s="10"/>
      <c r="AV208" s="10"/>
      <c r="AW208" s="10"/>
      <c r="AX208" s="10"/>
      <c r="AY208" s="10"/>
      <c r="AZ208" s="10"/>
      <c r="BA208" s="10"/>
      <c r="BB208" s="10"/>
      <c r="BC208" s="10"/>
      <c r="BD208" s="10"/>
      <c r="BE208" s="10"/>
      <c r="BF208" s="10"/>
    </row>
    <row r="209" spans="1:58" ht="45" x14ac:dyDescent="0.25">
      <c r="A209" s="4" t="s">
        <v>1994</v>
      </c>
      <c r="B209" s="4" t="s">
        <v>1715</v>
      </c>
      <c r="C209" s="4" t="s">
        <v>22</v>
      </c>
      <c r="D209" s="4" t="s">
        <v>1716</v>
      </c>
      <c r="E209" s="5" t="s">
        <v>34</v>
      </c>
      <c r="F209" s="6"/>
      <c r="G209" s="6" t="s">
        <v>35</v>
      </c>
      <c r="H209" s="4"/>
      <c r="I209" s="7"/>
      <c r="J209" s="7"/>
      <c r="K209" s="7"/>
      <c r="L209" s="7"/>
      <c r="M209" s="51"/>
      <c r="N209" s="7"/>
      <c r="O209" s="7"/>
      <c r="P209" s="7"/>
      <c r="Q209" s="7"/>
      <c r="R209" s="7"/>
      <c r="S209" s="7"/>
      <c r="T209" s="7"/>
      <c r="U209" s="12"/>
      <c r="V209" s="12"/>
      <c r="W209" s="7"/>
      <c r="X209" s="12"/>
      <c r="Y209" s="7"/>
      <c r="Z209" s="7"/>
      <c r="AA209" s="7"/>
      <c r="AB209" s="7"/>
      <c r="AC209" s="7"/>
      <c r="AD209" s="4"/>
      <c r="AE209" s="4"/>
      <c r="AF209" s="4"/>
      <c r="AG209" s="4"/>
      <c r="AH209" s="9"/>
      <c r="AI209" s="9"/>
      <c r="AJ209" s="9"/>
      <c r="AK209" s="9"/>
      <c r="AL209" s="10"/>
      <c r="AM209" s="10"/>
      <c r="AN209" s="10"/>
      <c r="AO209" s="10"/>
      <c r="AP209" s="10"/>
      <c r="AQ209" s="11"/>
      <c r="AR209" s="4"/>
      <c r="AS209" s="10" t="s">
        <v>1716</v>
      </c>
      <c r="AT209" s="10"/>
      <c r="AU209" s="10"/>
      <c r="AV209" s="10"/>
      <c r="AW209" s="10"/>
      <c r="AX209" s="10"/>
      <c r="AY209" s="10"/>
      <c r="AZ209" s="10"/>
      <c r="BA209" s="10"/>
      <c r="BB209" s="10"/>
      <c r="BC209" s="10"/>
      <c r="BD209" s="10"/>
      <c r="BE209" s="10"/>
      <c r="BF209" s="10"/>
    </row>
    <row r="210" spans="1:58" ht="60" x14ac:dyDescent="0.25">
      <c r="A210" s="4" t="s">
        <v>69</v>
      </c>
      <c r="B210" s="4" t="s">
        <v>1460</v>
      </c>
      <c r="C210" s="4" t="s">
        <v>70</v>
      </c>
      <c r="D210" s="4" t="s">
        <v>23</v>
      </c>
      <c r="E210" s="5" t="s">
        <v>34</v>
      </c>
      <c r="F210" s="6"/>
      <c r="G210" s="4" t="s">
        <v>35</v>
      </c>
      <c r="H210" s="4" t="s">
        <v>1170</v>
      </c>
      <c r="I210" s="7" t="s">
        <v>717</v>
      </c>
      <c r="J210" s="7">
        <v>12.519</v>
      </c>
      <c r="K210" s="7">
        <v>1</v>
      </c>
      <c r="L210" s="7" t="s">
        <v>718</v>
      </c>
      <c r="M210" s="51">
        <v>0.03</v>
      </c>
      <c r="N210" s="7">
        <v>1</v>
      </c>
      <c r="O210" s="7" t="s">
        <v>71</v>
      </c>
      <c r="P210" s="7">
        <v>175</v>
      </c>
      <c r="Q210" s="7">
        <v>1</v>
      </c>
      <c r="R210" s="7" t="s">
        <v>72</v>
      </c>
      <c r="S210" s="7">
        <v>175</v>
      </c>
      <c r="T210" s="7">
        <v>1</v>
      </c>
      <c r="U210" s="12">
        <v>7.7617799999999999</v>
      </c>
      <c r="V210" s="12">
        <v>7.7617799999999999</v>
      </c>
      <c r="W210" s="7"/>
      <c r="X210" s="12"/>
      <c r="Y210" s="7"/>
      <c r="Z210" s="7"/>
      <c r="AA210" s="7"/>
      <c r="AB210" s="7"/>
      <c r="AC210" s="7"/>
      <c r="AD210" s="4"/>
      <c r="AE210" s="4"/>
      <c r="AF210" s="4"/>
      <c r="AG210" s="4"/>
      <c r="AH210" s="9"/>
      <c r="AI210" s="9"/>
      <c r="AJ210" s="9"/>
      <c r="AK210" s="9" t="s">
        <v>30</v>
      </c>
      <c r="AL210" s="10"/>
      <c r="AM210" s="10"/>
      <c r="AN210" s="10"/>
      <c r="AO210" s="10"/>
      <c r="AP210" s="10"/>
      <c r="AQ210" s="11" t="s">
        <v>73</v>
      </c>
      <c r="AR210" s="4" t="s">
        <v>32</v>
      </c>
      <c r="AS210" s="10" t="s">
        <v>856</v>
      </c>
      <c r="AT210" s="10" t="s">
        <v>857</v>
      </c>
      <c r="AU210" s="10"/>
      <c r="AV210" s="10"/>
      <c r="AW210" s="10"/>
      <c r="AX210" s="10"/>
      <c r="AY210" s="10"/>
      <c r="AZ210" s="10"/>
      <c r="BA210" s="10"/>
      <c r="BB210" s="10"/>
      <c r="BC210" s="10"/>
      <c r="BD210" s="10"/>
      <c r="BE210" s="10"/>
      <c r="BF210" s="10"/>
    </row>
    <row r="211" spans="1:58" ht="270" x14ac:dyDescent="0.25">
      <c r="A211" s="4" t="s">
        <v>74</v>
      </c>
      <c r="B211" s="4" t="s">
        <v>1461</v>
      </c>
      <c r="C211" s="4" t="s">
        <v>70</v>
      </c>
      <c r="D211" s="4" t="s">
        <v>23</v>
      </c>
      <c r="E211" s="5" t="s">
        <v>24</v>
      </c>
      <c r="F211" s="6"/>
      <c r="G211" s="4" t="s">
        <v>35</v>
      </c>
      <c r="H211" s="49" t="s">
        <v>75</v>
      </c>
      <c r="I211" s="7">
        <v>26.36</v>
      </c>
      <c r="J211" s="7">
        <v>26.36</v>
      </c>
      <c r="K211" s="7">
        <v>0.75</v>
      </c>
      <c r="L211" s="7">
        <v>1.8780999999999999E-2</v>
      </c>
      <c r="M211" s="51">
        <v>1.8780999999999999E-2</v>
      </c>
      <c r="N211" s="7">
        <v>0.75</v>
      </c>
      <c r="O211" s="7">
        <v>0</v>
      </c>
      <c r="P211" s="7">
        <v>0</v>
      </c>
      <c r="Q211" s="7">
        <v>1</v>
      </c>
      <c r="R211" s="7">
        <v>0</v>
      </c>
      <c r="S211" s="7">
        <v>0</v>
      </c>
      <c r="T211" s="7">
        <v>1</v>
      </c>
      <c r="U211" s="12">
        <v>16.3432</v>
      </c>
      <c r="V211" s="12">
        <v>16.3432</v>
      </c>
      <c r="W211" s="7">
        <v>99.97</v>
      </c>
      <c r="X211" s="12"/>
      <c r="Y211" s="7" t="s">
        <v>76</v>
      </c>
      <c r="Z211" s="7">
        <v>9</v>
      </c>
      <c r="AA211" s="7">
        <v>1</v>
      </c>
      <c r="AB211" s="7">
        <f>2*10^8</f>
        <v>200000000</v>
      </c>
      <c r="AC211" s="7">
        <v>0.75</v>
      </c>
      <c r="AD211" s="49" t="s">
        <v>77</v>
      </c>
      <c r="AE211" s="13">
        <f>1/(2*365)+2*Mission_Duration/7</f>
        <v>114.28708414872798</v>
      </c>
      <c r="AF211" s="13"/>
      <c r="AG211" s="4">
        <v>0.75</v>
      </c>
      <c r="AH211" s="9" t="s">
        <v>28</v>
      </c>
      <c r="AI211" s="9"/>
      <c r="AJ211" s="9" t="s">
        <v>78</v>
      </c>
      <c r="AK211" s="9" t="s">
        <v>30</v>
      </c>
      <c r="AL211" s="10"/>
      <c r="AM211" s="10"/>
      <c r="AN211" s="10"/>
      <c r="AO211" s="10"/>
      <c r="AP211" s="10"/>
      <c r="AQ211" s="11" t="s">
        <v>79</v>
      </c>
      <c r="AR211" s="4" t="s">
        <v>80</v>
      </c>
      <c r="AS211" s="10" t="s">
        <v>940</v>
      </c>
      <c r="AT211" s="10" t="s">
        <v>941</v>
      </c>
      <c r="AU211" s="10" t="s">
        <v>865</v>
      </c>
      <c r="AV211" s="10" t="s">
        <v>950</v>
      </c>
      <c r="AW211" s="10"/>
      <c r="AX211" s="10"/>
      <c r="AY211" s="10"/>
      <c r="AZ211" s="10"/>
      <c r="BA211" s="10"/>
      <c r="BB211" s="10"/>
      <c r="BC211" s="10">
        <v>293</v>
      </c>
      <c r="BD211" s="10">
        <v>101</v>
      </c>
      <c r="BE211" s="10"/>
      <c r="BF211" s="10"/>
    </row>
    <row r="212" spans="1:58" ht="30" hidden="1" x14ac:dyDescent="0.25">
      <c r="A212" s="4" t="s">
        <v>99</v>
      </c>
      <c r="B212" s="4"/>
      <c r="C212" s="4" t="s">
        <v>70</v>
      </c>
      <c r="D212" s="4" t="s">
        <v>23</v>
      </c>
      <c r="E212" s="5" t="s">
        <v>34</v>
      </c>
      <c r="F212" s="6"/>
      <c r="G212" s="4" t="s">
        <v>26</v>
      </c>
      <c r="H212" s="4" t="s">
        <v>1082</v>
      </c>
      <c r="I212" s="12">
        <v>0.82</v>
      </c>
      <c r="J212" s="12">
        <v>0.82</v>
      </c>
      <c r="K212" s="12">
        <v>0.75</v>
      </c>
      <c r="L212" s="12">
        <v>3.398E-3</v>
      </c>
      <c r="M212" s="51">
        <f>technologies[[#This Row],[Volume
Literature]]</f>
        <v>3.398E-3</v>
      </c>
      <c r="N212" s="12">
        <v>0.75</v>
      </c>
      <c r="O212" s="7"/>
      <c r="P212" s="7"/>
      <c r="Q212" s="7"/>
      <c r="R212" s="7"/>
      <c r="S212" s="7"/>
      <c r="T212" s="7"/>
      <c r="U212" s="12"/>
      <c r="V212" s="12"/>
      <c r="W212" s="7"/>
      <c r="X212" s="12"/>
      <c r="Y212" s="7"/>
      <c r="Z212" s="7"/>
      <c r="AA212" s="7"/>
      <c r="AB212" s="7"/>
      <c r="AC212" s="7"/>
      <c r="AD212" s="4"/>
      <c r="AE212" s="4"/>
      <c r="AF212" s="4"/>
      <c r="AG212" s="4"/>
      <c r="AH212" s="9"/>
      <c r="AI212" s="9"/>
      <c r="AJ212" s="9"/>
      <c r="AK212" s="9" t="s">
        <v>30</v>
      </c>
      <c r="AL212" s="10"/>
      <c r="AM212" s="10"/>
      <c r="AN212" s="10"/>
      <c r="AO212" s="10"/>
      <c r="AP212" s="10"/>
      <c r="AQ212" s="11">
        <v>10</v>
      </c>
      <c r="AR212" s="4" t="s">
        <v>32</v>
      </c>
      <c r="AS212" s="10" t="s">
        <v>860</v>
      </c>
      <c r="AT212" s="10" t="s">
        <v>955</v>
      </c>
      <c r="AU212" s="10"/>
      <c r="AV212" s="10"/>
      <c r="AW212" s="10"/>
      <c r="AX212" s="10"/>
      <c r="AY212" s="10"/>
      <c r="AZ212" s="10"/>
      <c r="BA212" s="10"/>
      <c r="BB212" s="10"/>
      <c r="BC212" s="10"/>
      <c r="BD212" s="10"/>
      <c r="BE212" s="10"/>
      <c r="BF212" s="10"/>
    </row>
    <row r="213" spans="1:58" ht="180" x14ac:dyDescent="0.25">
      <c r="A213" s="4" t="s">
        <v>127</v>
      </c>
      <c r="B213" s="4" t="s">
        <v>552</v>
      </c>
      <c r="C213" s="4" t="s">
        <v>70</v>
      </c>
      <c r="D213" s="4" t="s">
        <v>23</v>
      </c>
      <c r="E213" s="5" t="s">
        <v>34</v>
      </c>
      <c r="F213" s="4" t="s">
        <v>128</v>
      </c>
      <c r="G213" s="49" t="s">
        <v>35</v>
      </c>
      <c r="H213" s="4" t="s">
        <v>1691</v>
      </c>
      <c r="I213" s="7" t="s">
        <v>723</v>
      </c>
      <c r="J213" s="12">
        <f>112/6</f>
        <v>18.666666666666668</v>
      </c>
      <c r="K213" s="7">
        <v>0.75</v>
      </c>
      <c r="L213" s="7" t="s">
        <v>724</v>
      </c>
      <c r="M213" s="51">
        <f>0.4/6</f>
        <v>6.6666666666666666E-2</v>
      </c>
      <c r="N213" s="7">
        <v>0.75</v>
      </c>
      <c r="O213" s="7" t="s">
        <v>820</v>
      </c>
      <c r="P213" s="8">
        <f>470/6</f>
        <v>78.333333333333329</v>
      </c>
      <c r="Q213" s="7">
        <v>0.5</v>
      </c>
      <c r="R213" s="7" t="s">
        <v>1169</v>
      </c>
      <c r="S213" s="8">
        <f>470/6</f>
        <v>78.333333333333329</v>
      </c>
      <c r="T213" s="7">
        <v>0.75</v>
      </c>
      <c r="U213" s="12">
        <v>24.78525511724138</v>
      </c>
      <c r="V213" s="12">
        <v>24.78525511724138</v>
      </c>
      <c r="W213" s="7">
        <f>1000</f>
        <v>1000</v>
      </c>
      <c r="X213" s="12">
        <v>1.8599999999999998E-2</v>
      </c>
      <c r="Y213" s="7">
        <f>Y323</f>
        <v>0</v>
      </c>
      <c r="Z213" s="7">
        <v>9</v>
      </c>
      <c r="AA213" s="7">
        <v>1</v>
      </c>
      <c r="AB213" s="8">
        <f>1/(1/832600+1/2350600+1/1136300+1/332900+1/32880+1/37594000+1/130800)</f>
        <v>22937.926397134179</v>
      </c>
      <c r="AC213" s="7">
        <v>0.75</v>
      </c>
      <c r="AD213" s="7" t="s">
        <v>1690</v>
      </c>
      <c r="AE213" s="4">
        <v>0</v>
      </c>
      <c r="AF213" s="4">
        <v>1.5</v>
      </c>
      <c r="AG213" s="4">
        <v>0.75</v>
      </c>
      <c r="AH213" s="9"/>
      <c r="AI213" s="9"/>
      <c r="AJ213" s="9"/>
      <c r="AK213" s="9" t="s">
        <v>30</v>
      </c>
      <c r="AL213" s="10"/>
      <c r="AM213" s="10"/>
      <c r="AN213" s="10"/>
      <c r="AO213" s="10"/>
      <c r="AP213" s="10"/>
      <c r="AQ213" s="11" t="s">
        <v>130</v>
      </c>
      <c r="AR213" s="4" t="s">
        <v>32</v>
      </c>
      <c r="AS213" s="10" t="s">
        <v>938</v>
      </c>
      <c r="AT213" s="10" t="s">
        <v>939</v>
      </c>
      <c r="AU213" s="10"/>
      <c r="AV213" s="10" t="s">
        <v>884</v>
      </c>
      <c r="AW213" s="10" t="s">
        <v>897</v>
      </c>
      <c r="AX213" s="10"/>
      <c r="AY213" s="10" t="s">
        <v>899</v>
      </c>
      <c r="AZ213" s="10"/>
      <c r="BA213" s="10"/>
      <c r="BB213" s="10"/>
      <c r="BC213" s="10"/>
      <c r="BD213" s="10"/>
      <c r="BE213" s="10"/>
      <c r="BF213" s="10"/>
    </row>
    <row r="214" spans="1:58" ht="120" hidden="1" x14ac:dyDescent="0.25">
      <c r="A214" s="4" t="s">
        <v>968</v>
      </c>
      <c r="B214" s="4"/>
      <c r="C214" s="4" t="s">
        <v>70</v>
      </c>
      <c r="D214" s="4" t="s">
        <v>23</v>
      </c>
      <c r="E214" s="5" t="s">
        <v>34</v>
      </c>
      <c r="F214" s="6"/>
      <c r="G214" s="4" t="s">
        <v>67</v>
      </c>
      <c r="H214" s="49" t="s">
        <v>432</v>
      </c>
      <c r="I214" s="12"/>
      <c r="J214" s="12"/>
      <c r="K214" s="12"/>
      <c r="L214" s="12"/>
      <c r="M214" s="51"/>
      <c r="N214" s="12"/>
      <c r="O214" s="12"/>
      <c r="P214" s="12"/>
      <c r="Q214" s="12"/>
      <c r="R214" s="12">
        <v>0</v>
      </c>
      <c r="S214" s="12"/>
      <c r="T214" s="12"/>
      <c r="U214" s="12"/>
      <c r="V214" s="12"/>
      <c r="W214" s="7"/>
      <c r="X214" s="12"/>
      <c r="Y214" s="7">
        <f>Y255</f>
        <v>0</v>
      </c>
      <c r="Z214" s="7">
        <v>8</v>
      </c>
      <c r="AA214" s="7">
        <v>1</v>
      </c>
      <c r="AB214" s="7"/>
      <c r="AC214" s="7"/>
      <c r="AD214" s="4"/>
      <c r="AE214" s="4"/>
      <c r="AF214" s="4"/>
      <c r="AG214" s="4"/>
      <c r="AH214" s="9"/>
      <c r="AI214" s="9"/>
      <c r="AJ214" s="9"/>
      <c r="AK214" s="9" t="s">
        <v>30</v>
      </c>
      <c r="AL214" s="10"/>
      <c r="AM214" s="10"/>
      <c r="AN214" s="10"/>
      <c r="AO214" s="10"/>
      <c r="AP214" s="10"/>
      <c r="AQ214" s="11">
        <v>1</v>
      </c>
      <c r="AR214" s="4"/>
      <c r="AS214" s="10" t="s">
        <v>938</v>
      </c>
      <c r="AT214" s="10" t="s">
        <v>939</v>
      </c>
      <c r="AU214" s="10" t="s">
        <v>884</v>
      </c>
      <c r="AV214" s="10"/>
      <c r="AW214" s="10"/>
      <c r="AX214" s="10"/>
      <c r="AY214" s="10"/>
      <c r="AZ214" s="10"/>
      <c r="BA214" s="10"/>
      <c r="BB214" s="10"/>
      <c r="BC214" s="10"/>
      <c r="BD214" s="10"/>
      <c r="BE214" s="10"/>
      <c r="BF214" s="10"/>
    </row>
    <row r="215" spans="1:58" ht="45" x14ac:dyDescent="0.25">
      <c r="A215" s="4" t="s">
        <v>963</v>
      </c>
      <c r="B215" s="4"/>
      <c r="C215" s="4" t="s">
        <v>70</v>
      </c>
      <c r="D215" s="4" t="s">
        <v>23</v>
      </c>
      <c r="E215" s="5" t="s">
        <v>34</v>
      </c>
      <c r="F215" s="4"/>
      <c r="G215" s="4" t="s">
        <v>35</v>
      </c>
      <c r="H215" s="4" t="s">
        <v>1012</v>
      </c>
      <c r="I215" s="12">
        <v>9.8000000000000007</v>
      </c>
      <c r="J215" s="12">
        <f>technologies[[#This Row],[Mass
Literature]]/6</f>
        <v>1.6333333333333335</v>
      </c>
      <c r="K215" s="12">
        <v>0.75</v>
      </c>
      <c r="L215" s="12">
        <v>0.02</v>
      </c>
      <c r="M215" s="51">
        <f>technologies[[#This Row],[Volume
Literature]]/6</f>
        <v>3.3333333333333335E-3</v>
      </c>
      <c r="N215" s="12">
        <v>0.75</v>
      </c>
      <c r="O215" s="12">
        <v>61</v>
      </c>
      <c r="P215" s="12">
        <f>technologies[[#This Row],[Heat Generated
Literature]]/6</f>
        <v>10.166666666666666</v>
      </c>
      <c r="Q215" s="12">
        <v>0.75</v>
      </c>
      <c r="R215" s="12">
        <v>61</v>
      </c>
      <c r="S215" s="12">
        <f>technologies[[#This Row],[Power required
Literature]]/6</f>
        <v>10.166666666666666</v>
      </c>
      <c r="T215" s="12">
        <v>0.75</v>
      </c>
      <c r="U215" s="12">
        <v>1.0126666666666668</v>
      </c>
      <c r="V215" s="12">
        <v>1.0126666666666668</v>
      </c>
      <c r="W215" s="7"/>
      <c r="X215" s="12"/>
      <c r="Y215" s="7"/>
      <c r="Z215" s="7">
        <v>9</v>
      </c>
      <c r="AA215" s="7">
        <v>0.75</v>
      </c>
      <c r="AB215" s="7"/>
      <c r="AC215" s="7"/>
      <c r="AD215" s="4"/>
      <c r="AE215" s="4"/>
      <c r="AF215" s="4"/>
      <c r="AG215" s="4"/>
      <c r="AH215" s="9"/>
      <c r="AI215" s="9"/>
      <c r="AJ215" s="9"/>
      <c r="AK215" s="9" t="s">
        <v>30</v>
      </c>
      <c r="AL215" s="10"/>
      <c r="AM215" s="10"/>
      <c r="AN215" s="10"/>
      <c r="AO215" s="10"/>
      <c r="AP215" s="10"/>
      <c r="AQ215" s="11">
        <v>14</v>
      </c>
      <c r="AR215" s="4"/>
      <c r="AS215" s="10" t="s">
        <v>885</v>
      </c>
      <c r="AT215" s="10"/>
      <c r="AU215" s="10"/>
      <c r="AV215" s="10"/>
      <c r="AW215" s="10"/>
      <c r="AX215" s="10"/>
      <c r="AY215" s="10"/>
      <c r="AZ215" s="10"/>
      <c r="BA215" s="10"/>
      <c r="BB215" s="10"/>
      <c r="BC215" s="10"/>
      <c r="BD215" s="10"/>
      <c r="BE215" s="10"/>
      <c r="BF215" s="10"/>
    </row>
    <row r="216" spans="1:58" ht="75" hidden="1" x14ac:dyDescent="0.25">
      <c r="A216" s="4" t="s">
        <v>536</v>
      </c>
      <c r="B216" s="4"/>
      <c r="C216" s="4" t="s">
        <v>70</v>
      </c>
      <c r="D216" s="4" t="s">
        <v>23</v>
      </c>
      <c r="E216" s="5" t="s">
        <v>34</v>
      </c>
      <c r="F216" s="6"/>
      <c r="G216" s="4" t="s">
        <v>67</v>
      </c>
      <c r="H216" s="49" t="s">
        <v>1164</v>
      </c>
      <c r="I216" s="12"/>
      <c r="J216" s="12"/>
      <c r="K216" s="12"/>
      <c r="L216" s="12"/>
      <c r="M216" s="51"/>
      <c r="N216" s="12"/>
      <c r="O216" s="12"/>
      <c r="P216" s="12"/>
      <c r="Q216" s="12"/>
      <c r="R216" s="12"/>
      <c r="S216" s="12"/>
      <c r="T216" s="12"/>
      <c r="U216" s="12"/>
      <c r="V216" s="12"/>
      <c r="W216" s="7"/>
      <c r="X216" s="12"/>
      <c r="Y216" s="7"/>
      <c r="Z216" s="7"/>
      <c r="AA216" s="7"/>
      <c r="AB216" s="7"/>
      <c r="AC216" s="7"/>
      <c r="AD216" s="4"/>
      <c r="AE216" s="4"/>
      <c r="AF216" s="4"/>
      <c r="AG216" s="4"/>
      <c r="AH216" s="9"/>
      <c r="AI216" s="9"/>
      <c r="AJ216" s="9"/>
      <c r="AK216" s="9" t="s">
        <v>30</v>
      </c>
      <c r="AL216" s="10"/>
      <c r="AM216" s="10"/>
      <c r="AN216" s="10"/>
      <c r="AO216" s="10"/>
      <c r="AP216" s="10"/>
      <c r="AQ216" s="11">
        <v>23</v>
      </c>
      <c r="AR216" s="4"/>
      <c r="AS216" s="10" t="s">
        <v>910</v>
      </c>
      <c r="AT216" s="10"/>
      <c r="AU216" s="10"/>
      <c r="AV216" s="10"/>
      <c r="AW216" s="10"/>
      <c r="AX216" s="10"/>
      <c r="AY216" s="10"/>
      <c r="AZ216" s="10"/>
      <c r="BA216" s="10"/>
      <c r="BB216" s="10"/>
      <c r="BC216" s="10" t="s">
        <v>1106</v>
      </c>
      <c r="BD216" s="10" t="s">
        <v>537</v>
      </c>
      <c r="BE216" s="10"/>
      <c r="BF216" s="10"/>
    </row>
    <row r="217" spans="1:58" ht="90" hidden="1" x14ac:dyDescent="0.25">
      <c r="A217" s="4" t="s">
        <v>547</v>
      </c>
      <c r="B217" s="4"/>
      <c r="C217" s="4" t="s">
        <v>70</v>
      </c>
      <c r="D217" s="4" t="s">
        <v>23</v>
      </c>
      <c r="E217" s="5" t="s">
        <v>34</v>
      </c>
      <c r="F217" s="4" t="s">
        <v>548</v>
      </c>
      <c r="G217" s="4" t="s">
        <v>26</v>
      </c>
      <c r="H217" s="49" t="s">
        <v>1023</v>
      </c>
      <c r="I217" s="12" t="s">
        <v>829</v>
      </c>
      <c r="J217" s="12">
        <v>49.71</v>
      </c>
      <c r="K217" s="12">
        <v>0.75</v>
      </c>
      <c r="L217" s="12" t="s">
        <v>830</v>
      </c>
      <c r="M217" s="51">
        <v>0.393293</v>
      </c>
      <c r="N217" s="12">
        <v>0.75</v>
      </c>
      <c r="O217" s="8">
        <f>2454*0.277777777</f>
        <v>681.66666475800002</v>
      </c>
      <c r="P217" s="8">
        <f>2454*0.277777777</f>
        <v>681.66666475800002</v>
      </c>
      <c r="Q217" s="12">
        <v>0.75</v>
      </c>
      <c r="R217" s="12"/>
      <c r="S217" s="12">
        <v>0</v>
      </c>
      <c r="T217" s="12">
        <v>0.75</v>
      </c>
      <c r="U217" s="12"/>
      <c r="V217" s="12"/>
      <c r="W217" s="7"/>
      <c r="X217" s="12">
        <f>0.006*Mission_Duration</f>
        <v>2.4</v>
      </c>
      <c r="Y217" s="7" t="s">
        <v>549</v>
      </c>
      <c r="Z217" s="7">
        <v>9</v>
      </c>
      <c r="AA217" s="7">
        <v>1</v>
      </c>
      <c r="AB217" s="8">
        <f>1/(1.2*10^-6)</f>
        <v>833333.33333333337</v>
      </c>
      <c r="AC217" s="7">
        <v>0.75</v>
      </c>
      <c r="AD217" s="4"/>
      <c r="AE217" s="4"/>
      <c r="AF217" s="4"/>
      <c r="AG217" s="4"/>
      <c r="AH217" s="9"/>
      <c r="AI217" s="9"/>
      <c r="AJ217" s="9"/>
      <c r="AK217" s="9" t="s">
        <v>30</v>
      </c>
      <c r="AL217" s="10"/>
      <c r="AM217" s="10"/>
      <c r="AN217" s="10"/>
      <c r="AO217" s="10"/>
      <c r="AP217" s="10"/>
      <c r="AQ217" s="11" t="s">
        <v>550</v>
      </c>
      <c r="AR217" s="4" t="s">
        <v>32</v>
      </c>
      <c r="AS217" s="10" t="s">
        <v>938</v>
      </c>
      <c r="AT217" s="10" t="s">
        <v>939</v>
      </c>
      <c r="AU217" s="10" t="s">
        <v>884</v>
      </c>
      <c r="AV217" s="10" t="s">
        <v>954</v>
      </c>
      <c r="AW217" s="10" t="s">
        <v>899</v>
      </c>
      <c r="AX217" s="10" t="s">
        <v>864</v>
      </c>
      <c r="AY217" s="10"/>
      <c r="AZ217" s="10"/>
      <c r="BA217" s="10"/>
      <c r="BB217" s="10"/>
      <c r="BC217" s="10"/>
      <c r="BD217" s="10"/>
      <c r="BE217" s="10"/>
      <c r="BF217" s="10"/>
    </row>
    <row r="218" spans="1:58" ht="45" hidden="1" x14ac:dyDescent="0.25">
      <c r="A218" s="4" t="s">
        <v>551</v>
      </c>
      <c r="B218" s="4"/>
      <c r="C218" s="4" t="s">
        <v>70</v>
      </c>
      <c r="D218" s="4" t="s">
        <v>23</v>
      </c>
      <c r="E218" s="5" t="s">
        <v>34</v>
      </c>
      <c r="F218" s="4" t="s">
        <v>552</v>
      </c>
      <c r="G218" s="4" t="s">
        <v>26</v>
      </c>
      <c r="H218" s="4" t="s">
        <v>553</v>
      </c>
      <c r="I218" s="12" t="s">
        <v>757</v>
      </c>
      <c r="J218" s="12">
        <v>54.45</v>
      </c>
      <c r="K218" s="12">
        <v>1</v>
      </c>
      <c r="L218" s="12" t="s">
        <v>758</v>
      </c>
      <c r="M218" s="51">
        <v>0.108</v>
      </c>
      <c r="N218" s="12">
        <v>0.75</v>
      </c>
      <c r="O218" s="12"/>
      <c r="P218" s="12"/>
      <c r="Q218" s="12"/>
      <c r="R218" s="12"/>
      <c r="S218" s="12"/>
      <c r="T218" s="12"/>
      <c r="U218" s="12">
        <v>33.759</v>
      </c>
      <c r="V218" s="12">
        <v>33.759</v>
      </c>
      <c r="W218" s="7"/>
      <c r="X218" s="12"/>
      <c r="Y218" s="7" t="str">
        <f>Y217</f>
        <v>8
9</v>
      </c>
      <c r="Z218" s="7"/>
      <c r="AA218" s="7"/>
      <c r="AB218" s="7"/>
      <c r="AC218" s="7"/>
      <c r="AD218" s="4"/>
      <c r="AE218" s="4"/>
      <c r="AF218" s="4"/>
      <c r="AG218" s="4"/>
      <c r="AH218" s="9"/>
      <c r="AI218" s="9"/>
      <c r="AJ218" s="9"/>
      <c r="AK218" s="9" t="s">
        <v>30</v>
      </c>
      <c r="AL218" s="10"/>
      <c r="AM218" s="10"/>
      <c r="AN218" s="10"/>
      <c r="AO218" s="10"/>
      <c r="AP218" s="10"/>
      <c r="AQ218" s="11" t="s">
        <v>554</v>
      </c>
      <c r="AR218" s="4" t="s">
        <v>32</v>
      </c>
      <c r="AS218" s="10" t="s">
        <v>938</v>
      </c>
      <c r="AT218" s="10" t="s">
        <v>939</v>
      </c>
      <c r="AU218" s="10" t="s">
        <v>884</v>
      </c>
      <c r="AV218" s="10" t="s">
        <v>897</v>
      </c>
      <c r="AW218" s="10" t="s">
        <v>899</v>
      </c>
      <c r="AX218" s="10"/>
      <c r="AY218" s="10"/>
      <c r="AZ218" s="10"/>
      <c r="BA218" s="10"/>
      <c r="BB218" s="10"/>
      <c r="BC218" s="10"/>
      <c r="BD218" s="10">
        <v>101</v>
      </c>
      <c r="BE218" s="10"/>
      <c r="BF218" s="10"/>
    </row>
    <row r="219" spans="1:58" ht="60" hidden="1" x14ac:dyDescent="0.25">
      <c r="A219" s="4" t="s">
        <v>555</v>
      </c>
      <c r="B219" s="4"/>
      <c r="C219" s="4" t="s">
        <v>70</v>
      </c>
      <c r="D219" s="4" t="s">
        <v>23</v>
      </c>
      <c r="E219" s="5" t="s">
        <v>34</v>
      </c>
      <c r="F219" s="4" t="s">
        <v>548</v>
      </c>
      <c r="G219" s="4" t="s">
        <v>26</v>
      </c>
      <c r="H219" s="49" t="s">
        <v>556</v>
      </c>
      <c r="I219" s="12">
        <v>7.45</v>
      </c>
      <c r="J219" s="12">
        <v>7.4526000000000003</v>
      </c>
      <c r="K219" s="12">
        <v>0.75</v>
      </c>
      <c r="L219" s="12">
        <v>7.0800000000000004E-3</v>
      </c>
      <c r="M219" s="51">
        <v>7.0800000000000004E-3</v>
      </c>
      <c r="N219" s="12">
        <v>0.75</v>
      </c>
      <c r="O219" s="12"/>
      <c r="P219" s="12"/>
      <c r="Q219" s="12"/>
      <c r="R219" s="52" t="s">
        <v>1107</v>
      </c>
      <c r="S219" s="12">
        <v>6.8</v>
      </c>
      <c r="T219" s="12">
        <v>0.75</v>
      </c>
      <c r="U219" s="12"/>
      <c r="V219" s="12"/>
      <c r="W219" s="7"/>
      <c r="X219" s="12"/>
      <c r="Y219" s="7" t="str">
        <f>Y217</f>
        <v>8
9</v>
      </c>
      <c r="Z219" s="7"/>
      <c r="AA219" s="7"/>
      <c r="AB219" s="8">
        <f>1/(3.04*10^-5)</f>
        <v>32894.73684210526</v>
      </c>
      <c r="AC219" s="7"/>
      <c r="AD219" s="4"/>
      <c r="AE219" s="4"/>
      <c r="AF219" s="4"/>
      <c r="AG219" s="4"/>
      <c r="AH219" s="9"/>
      <c r="AI219" s="9"/>
      <c r="AJ219" s="9"/>
      <c r="AK219" s="9" t="s">
        <v>30</v>
      </c>
      <c r="AL219" s="10"/>
      <c r="AM219" s="10"/>
      <c r="AN219" s="10"/>
      <c r="AO219" s="10"/>
      <c r="AP219" s="10"/>
      <c r="AQ219" s="11" t="s">
        <v>557</v>
      </c>
      <c r="AR219" s="4" t="s">
        <v>32</v>
      </c>
      <c r="AS219" s="10" t="s">
        <v>939</v>
      </c>
      <c r="AT219" s="10" t="s">
        <v>884</v>
      </c>
      <c r="AU219" s="10" t="s">
        <v>897</v>
      </c>
      <c r="AV219" s="10"/>
      <c r="AW219" s="10"/>
      <c r="AX219" s="10"/>
      <c r="AY219" s="10"/>
      <c r="AZ219" s="10"/>
      <c r="BA219" s="10"/>
      <c r="BB219" s="10"/>
      <c r="BC219" s="10"/>
      <c r="BD219" s="10"/>
      <c r="BE219" s="10"/>
      <c r="BF219" s="10"/>
    </row>
    <row r="220" spans="1:58" ht="45" hidden="1" x14ac:dyDescent="0.25">
      <c r="A220" s="4" t="s">
        <v>558</v>
      </c>
      <c r="B220" s="4"/>
      <c r="C220" s="4" t="s">
        <v>70</v>
      </c>
      <c r="D220" s="4" t="s">
        <v>101</v>
      </c>
      <c r="E220" s="5" t="s">
        <v>34</v>
      </c>
      <c r="F220" s="4" t="s">
        <v>548</v>
      </c>
      <c r="G220" s="4" t="s">
        <v>26</v>
      </c>
      <c r="H220" s="49" t="s">
        <v>1030</v>
      </c>
      <c r="I220" s="12">
        <v>0.26300000000000001</v>
      </c>
      <c r="J220" s="12">
        <v>0.26300000000000001</v>
      </c>
      <c r="K220" s="12">
        <v>0.75</v>
      </c>
      <c r="L220" s="12" t="s">
        <v>831</v>
      </c>
      <c r="M220" s="51">
        <v>1.4159999999999999E-3</v>
      </c>
      <c r="N220" s="12">
        <v>0.75</v>
      </c>
      <c r="O220" s="12"/>
      <c r="P220" s="12"/>
      <c r="Q220" s="12"/>
      <c r="R220" s="12">
        <v>1E-3</v>
      </c>
      <c r="S220" s="12">
        <v>1E-3</v>
      </c>
      <c r="T220" s="12">
        <v>0.75</v>
      </c>
      <c r="U220" s="12"/>
      <c r="V220" s="12"/>
      <c r="W220" s="7"/>
      <c r="X220" s="12"/>
      <c r="Y220" s="7" t="str">
        <f>Y217</f>
        <v>8
9</v>
      </c>
      <c r="Z220" s="7"/>
      <c r="AA220" s="7"/>
      <c r="AB220" s="8">
        <f>1/(2.66*10^-5)</f>
        <v>37593.984962406008</v>
      </c>
      <c r="AC220" s="7"/>
      <c r="AD220" s="4"/>
      <c r="AE220" s="4"/>
      <c r="AF220" s="4"/>
      <c r="AG220" s="4"/>
      <c r="AH220" s="9"/>
      <c r="AI220" s="9"/>
      <c r="AJ220" s="9"/>
      <c r="AK220" s="9" t="s">
        <v>30</v>
      </c>
      <c r="AL220" s="10"/>
      <c r="AM220" s="10"/>
      <c r="AN220" s="10"/>
      <c r="AO220" s="10"/>
      <c r="AP220" s="10"/>
      <c r="AQ220" s="11">
        <v>23</v>
      </c>
      <c r="AR220" s="4" t="s">
        <v>32</v>
      </c>
      <c r="AS220" s="10" t="s">
        <v>938</v>
      </c>
      <c r="AT220" s="10" t="s">
        <v>939</v>
      </c>
      <c r="AU220" s="10"/>
      <c r="AV220" s="10"/>
      <c r="AW220" s="10"/>
      <c r="AX220" s="10"/>
      <c r="AY220" s="10"/>
      <c r="AZ220" s="10"/>
      <c r="BA220" s="10"/>
      <c r="BB220" s="10"/>
      <c r="BC220" s="10"/>
      <c r="BD220" s="10"/>
      <c r="BE220" s="10"/>
      <c r="BF220" s="10"/>
    </row>
    <row r="221" spans="1:58" ht="30" hidden="1" x14ac:dyDescent="0.25">
      <c r="A221" s="4" t="s">
        <v>559</v>
      </c>
      <c r="B221" s="4"/>
      <c r="C221" s="4" t="s">
        <v>70</v>
      </c>
      <c r="D221" s="4" t="s">
        <v>101</v>
      </c>
      <c r="E221" s="5" t="s">
        <v>34</v>
      </c>
      <c r="F221" s="4" t="s">
        <v>552</v>
      </c>
      <c r="G221" s="4" t="s">
        <v>26</v>
      </c>
      <c r="H221" s="49" t="s">
        <v>560</v>
      </c>
      <c r="I221" s="12">
        <v>0.63500000000000001</v>
      </c>
      <c r="J221" s="12">
        <v>0.63500000000000001</v>
      </c>
      <c r="K221" s="12">
        <v>0.75</v>
      </c>
      <c r="L221" s="12">
        <v>5.6599999999999999E-4</v>
      </c>
      <c r="M221" s="59">
        <v>5.6599999999999999E-4</v>
      </c>
      <c r="N221" s="35">
        <v>0.75</v>
      </c>
      <c r="O221" s="12"/>
      <c r="P221" s="12"/>
      <c r="Q221" s="12"/>
      <c r="R221" s="12">
        <v>8.9999999999999993E-3</v>
      </c>
      <c r="S221" s="12">
        <v>8.9999999999999993E-3</v>
      </c>
      <c r="T221" s="12">
        <v>0.75</v>
      </c>
      <c r="U221" s="12"/>
      <c r="V221" s="12"/>
      <c r="W221" s="7"/>
      <c r="X221" s="12"/>
      <c r="Y221" s="7" t="str">
        <f>Y217</f>
        <v>8
9</v>
      </c>
      <c r="Z221" s="7"/>
      <c r="AA221" s="7"/>
      <c r="AB221" s="8">
        <f>1/(8.8*10^-7)</f>
        <v>1136363.6363636362</v>
      </c>
      <c r="AC221" s="7"/>
      <c r="AD221" s="4"/>
      <c r="AE221" s="4"/>
      <c r="AF221" s="4"/>
      <c r="AG221" s="4"/>
      <c r="AH221" s="9"/>
      <c r="AI221" s="9"/>
      <c r="AJ221" s="9"/>
      <c r="AK221" s="9" t="s">
        <v>30</v>
      </c>
      <c r="AL221" s="10"/>
      <c r="AM221" s="10"/>
      <c r="AN221" s="10"/>
      <c r="AO221" s="10"/>
      <c r="AP221" s="10"/>
      <c r="AQ221" s="11" t="s">
        <v>557</v>
      </c>
      <c r="AR221" s="4" t="s">
        <v>32</v>
      </c>
      <c r="AS221" s="10"/>
      <c r="AT221" s="10"/>
      <c r="AU221" s="10"/>
      <c r="AV221" s="10"/>
      <c r="AW221" s="10"/>
      <c r="AX221" s="10"/>
      <c r="AY221" s="10"/>
      <c r="AZ221" s="10"/>
      <c r="BA221" s="10"/>
      <c r="BB221" s="10"/>
      <c r="BC221" s="10"/>
      <c r="BD221" s="10"/>
      <c r="BE221" s="10"/>
      <c r="BF221" s="10"/>
    </row>
    <row r="222" spans="1:58" ht="30" hidden="1" x14ac:dyDescent="0.25">
      <c r="A222" s="4" t="s">
        <v>561</v>
      </c>
      <c r="B222" s="4"/>
      <c r="C222" s="4" t="s">
        <v>70</v>
      </c>
      <c r="D222" s="4" t="s">
        <v>23</v>
      </c>
      <c r="E222" s="5" t="s">
        <v>34</v>
      </c>
      <c r="F222" s="4" t="s">
        <v>552</v>
      </c>
      <c r="G222" s="4" t="s">
        <v>26</v>
      </c>
      <c r="H222" s="49" t="s">
        <v>1031</v>
      </c>
      <c r="I222" s="12">
        <v>11.93</v>
      </c>
      <c r="J222" s="12">
        <v>11.93</v>
      </c>
      <c r="K222" s="12">
        <v>0.75</v>
      </c>
      <c r="L222" s="12">
        <v>5.8285000000000003E-2</v>
      </c>
      <c r="M222" s="51">
        <v>5.8285000000000003E-2</v>
      </c>
      <c r="N222" s="12">
        <v>0.75</v>
      </c>
      <c r="O222" s="12"/>
      <c r="P222" s="12">
        <f>technologies[[#This Row],[Power]]*0.1</f>
        <v>4.6360000000000001</v>
      </c>
      <c r="Q222" s="12">
        <v>0.25</v>
      </c>
      <c r="R222" s="12">
        <v>46.36</v>
      </c>
      <c r="S222" s="12">
        <f>46.36</f>
        <v>46.36</v>
      </c>
      <c r="T222" s="12">
        <v>0.75</v>
      </c>
      <c r="U222" s="12"/>
      <c r="V222" s="12"/>
      <c r="W222" s="7"/>
      <c r="X222" s="12"/>
      <c r="Y222" s="7" t="str">
        <f>Y217</f>
        <v>8
9</v>
      </c>
      <c r="Z222" s="7">
        <v>9</v>
      </c>
      <c r="AA222" s="7">
        <v>1</v>
      </c>
      <c r="AB222" s="8">
        <f>1/(7.65*10^-6)</f>
        <v>130718.95424836602</v>
      </c>
      <c r="AC222" s="7">
        <v>0.75</v>
      </c>
      <c r="AD222" s="4"/>
      <c r="AE222" s="4"/>
      <c r="AF222" s="4"/>
      <c r="AG222" s="4"/>
      <c r="AH222" s="9"/>
      <c r="AI222" s="9"/>
      <c r="AJ222" s="9"/>
      <c r="AK222" s="9" t="s">
        <v>30</v>
      </c>
      <c r="AL222" s="10"/>
      <c r="AM222" s="10"/>
      <c r="AN222" s="10"/>
      <c r="AO222" s="10"/>
      <c r="AP222" s="10"/>
      <c r="AQ222" s="11">
        <v>23</v>
      </c>
      <c r="AR222" s="4" t="s">
        <v>32</v>
      </c>
      <c r="AS222" s="10" t="s">
        <v>899</v>
      </c>
      <c r="AT222" s="10"/>
      <c r="AU222" s="10"/>
      <c r="AV222" s="10"/>
      <c r="AW222" s="10"/>
      <c r="AX222" s="10"/>
      <c r="AY222" s="10"/>
      <c r="AZ222" s="10"/>
      <c r="BA222" s="10"/>
      <c r="BB222" s="10"/>
      <c r="BC222" s="10"/>
      <c r="BD222" s="10"/>
      <c r="BE222" s="10"/>
      <c r="BF222" s="10"/>
    </row>
    <row r="223" spans="1:58" ht="45" hidden="1" x14ac:dyDescent="0.25">
      <c r="A223" s="4" t="s">
        <v>562</v>
      </c>
      <c r="B223" s="4"/>
      <c r="C223" s="4" t="s">
        <v>70</v>
      </c>
      <c r="D223" s="4" t="s">
        <v>101</v>
      </c>
      <c r="E223" s="5" t="s">
        <v>34</v>
      </c>
      <c r="F223" s="4" t="s">
        <v>563</v>
      </c>
      <c r="G223" s="4" t="s">
        <v>26</v>
      </c>
      <c r="H223" s="49" t="s">
        <v>564</v>
      </c>
      <c r="I223" s="12" t="s">
        <v>1024</v>
      </c>
      <c r="J223" s="12">
        <v>1.66</v>
      </c>
      <c r="K223" s="12">
        <v>0.75</v>
      </c>
      <c r="L223" s="12" t="s">
        <v>1025</v>
      </c>
      <c r="M223" s="51">
        <v>5.6999999999999998E-4</v>
      </c>
      <c r="N223" s="12">
        <v>1</v>
      </c>
      <c r="O223" s="12"/>
      <c r="P223" s="12"/>
      <c r="Q223" s="12"/>
      <c r="R223" s="12" t="s">
        <v>1108</v>
      </c>
      <c r="S223" s="12">
        <v>0.24</v>
      </c>
      <c r="T223" s="12">
        <v>1</v>
      </c>
      <c r="U223" s="12"/>
      <c r="V223" s="12"/>
      <c r="W223" s="7"/>
      <c r="X223" s="12"/>
      <c r="Y223" s="7"/>
      <c r="Z223" s="7"/>
      <c r="AA223" s="7"/>
      <c r="AB223" s="7">
        <f>1/(8*10^-7)</f>
        <v>1250000</v>
      </c>
      <c r="AC223" s="7"/>
      <c r="AD223" s="4"/>
      <c r="AE223" s="4"/>
      <c r="AF223" s="4"/>
      <c r="AG223" s="4"/>
      <c r="AH223" s="9"/>
      <c r="AI223" s="9"/>
      <c r="AJ223" s="9"/>
      <c r="AK223" s="9" t="s">
        <v>30</v>
      </c>
      <c r="AL223" s="10"/>
      <c r="AM223" s="10"/>
      <c r="AN223" s="10"/>
      <c r="AO223" s="10"/>
      <c r="AP223" s="10"/>
      <c r="AQ223" s="11" t="s">
        <v>557</v>
      </c>
      <c r="AR223" s="4" t="s">
        <v>32</v>
      </c>
      <c r="AS223" s="10"/>
      <c r="AT223" s="10"/>
      <c r="AU223" s="10"/>
      <c r="AV223" s="10"/>
      <c r="AW223" s="10"/>
      <c r="AX223" s="10"/>
      <c r="AY223" s="10"/>
      <c r="AZ223" s="10"/>
      <c r="BA223" s="10"/>
      <c r="BB223" s="10"/>
      <c r="BC223" s="10"/>
      <c r="BD223" s="10"/>
      <c r="BE223" s="10"/>
      <c r="BF223" s="10"/>
    </row>
    <row r="224" spans="1:58" ht="30" hidden="1" x14ac:dyDescent="0.25">
      <c r="A224" s="4" t="s">
        <v>565</v>
      </c>
      <c r="B224" s="4"/>
      <c r="C224" s="4" t="s">
        <v>70</v>
      </c>
      <c r="D224" s="4" t="s">
        <v>23</v>
      </c>
      <c r="E224" s="5" t="s">
        <v>34</v>
      </c>
      <c r="F224" s="4" t="s">
        <v>552</v>
      </c>
      <c r="G224" s="4" t="s">
        <v>26</v>
      </c>
      <c r="H224" s="49" t="s">
        <v>566</v>
      </c>
      <c r="I224" s="12">
        <v>4.0369999999999999</v>
      </c>
      <c r="J224" s="12">
        <v>4.0369999999999999</v>
      </c>
      <c r="K224" s="12">
        <v>0.75</v>
      </c>
      <c r="L224" s="12">
        <v>1.7274999999999999E-2</v>
      </c>
      <c r="M224" s="51">
        <v>1.7274999999999999E-2</v>
      </c>
      <c r="N224" s="12">
        <v>0.75</v>
      </c>
      <c r="O224" s="12"/>
      <c r="P224" s="12"/>
      <c r="Q224" s="12"/>
      <c r="R224" s="12">
        <v>8</v>
      </c>
      <c r="S224" s="12">
        <v>8</v>
      </c>
      <c r="T224" s="12">
        <v>0.75</v>
      </c>
      <c r="U224" s="12"/>
      <c r="V224" s="12"/>
      <c r="W224" s="7"/>
      <c r="X224" s="12"/>
      <c r="Y224" s="7" t="str">
        <f>Y217</f>
        <v>8
9</v>
      </c>
      <c r="Z224" s="7"/>
      <c r="AA224" s="7"/>
      <c r="AB224" s="8">
        <f>1/(4.25*10^-7)</f>
        <v>2352941.1764705884</v>
      </c>
      <c r="AC224" s="18"/>
      <c r="AD224" s="4"/>
      <c r="AE224" s="4"/>
      <c r="AF224" s="4"/>
      <c r="AG224" s="4"/>
      <c r="AH224" s="9"/>
      <c r="AI224" s="9"/>
      <c r="AJ224" s="9"/>
      <c r="AK224" s="9" t="s">
        <v>30</v>
      </c>
      <c r="AL224" s="10"/>
      <c r="AM224" s="10"/>
      <c r="AN224" s="10"/>
      <c r="AO224" s="10"/>
      <c r="AP224" s="10"/>
      <c r="AQ224" s="11" t="s">
        <v>557</v>
      </c>
      <c r="AR224" s="4" t="s">
        <v>32</v>
      </c>
      <c r="AS224" s="10"/>
      <c r="AT224" s="10"/>
      <c r="AU224" s="10"/>
      <c r="AV224" s="10"/>
      <c r="AW224" s="10"/>
      <c r="AX224" s="10"/>
      <c r="AY224" s="10"/>
      <c r="AZ224" s="10"/>
      <c r="BA224" s="10"/>
      <c r="BB224" s="10"/>
      <c r="BC224" s="10"/>
      <c r="BD224" s="10"/>
      <c r="BE224" s="10"/>
      <c r="BF224" s="10"/>
    </row>
    <row r="225" spans="1:58" ht="45" hidden="1" x14ac:dyDescent="0.25">
      <c r="A225" s="4" t="s">
        <v>567</v>
      </c>
      <c r="B225" s="4"/>
      <c r="C225" s="4" t="s">
        <v>70</v>
      </c>
      <c r="D225" s="4" t="s">
        <v>23</v>
      </c>
      <c r="E225" s="5" t="s">
        <v>34</v>
      </c>
      <c r="F225" s="4" t="s">
        <v>568</v>
      </c>
      <c r="G225" s="4" t="s">
        <v>26</v>
      </c>
      <c r="H225" s="49" t="s">
        <v>762</v>
      </c>
      <c r="I225" s="12">
        <v>9.1999999999999993</v>
      </c>
      <c r="J225" s="12">
        <v>9.1999999999999993</v>
      </c>
      <c r="K225" s="12">
        <v>0.75</v>
      </c>
      <c r="L225" s="12">
        <v>9.2999999999999992E-3</v>
      </c>
      <c r="M225" s="51">
        <f>0.0093</f>
        <v>9.2999999999999992E-3</v>
      </c>
      <c r="N225" s="12">
        <v>0.75</v>
      </c>
      <c r="O225" s="12"/>
      <c r="P225" s="12">
        <v>0</v>
      </c>
      <c r="Q225" s="12">
        <v>0.25</v>
      </c>
      <c r="R225" s="12" t="s">
        <v>569</v>
      </c>
      <c r="S225" s="12">
        <v>55</v>
      </c>
      <c r="T225" s="12">
        <v>0.75</v>
      </c>
      <c r="U225" s="12">
        <v>5.7039999999999997</v>
      </c>
      <c r="V225" s="12">
        <v>5.7039999999999997</v>
      </c>
      <c r="W225" s="7"/>
      <c r="X225" s="12"/>
      <c r="Y225" s="7"/>
      <c r="Z225" s="7">
        <v>9</v>
      </c>
      <c r="AA225" s="7">
        <v>1</v>
      </c>
      <c r="AB225" s="8">
        <v>332900</v>
      </c>
      <c r="AC225" s="7"/>
      <c r="AD225" s="4"/>
      <c r="AE225" s="4"/>
      <c r="AF225" s="4"/>
      <c r="AG225" s="4"/>
      <c r="AH225" s="9"/>
      <c r="AI225" s="9"/>
      <c r="AJ225" s="9"/>
      <c r="AK225" s="9" t="s">
        <v>30</v>
      </c>
      <c r="AL225" s="10"/>
      <c r="AM225" s="10"/>
      <c r="AN225" s="10"/>
      <c r="AO225" s="10"/>
      <c r="AP225" s="10"/>
      <c r="AQ225" s="11">
        <v>23</v>
      </c>
      <c r="AR225" s="4" t="s">
        <v>32</v>
      </c>
      <c r="AS225" s="10"/>
      <c r="AT225" s="10"/>
      <c r="AU225" s="10" t="s">
        <v>886</v>
      </c>
      <c r="AV225" s="10" t="s">
        <v>860</v>
      </c>
      <c r="AW225" s="10" t="s">
        <v>862</v>
      </c>
      <c r="AX225" s="10"/>
      <c r="AY225" s="10"/>
      <c r="AZ225" s="10"/>
      <c r="BA225" s="10"/>
      <c r="BB225" s="10"/>
      <c r="BC225" s="10"/>
      <c r="BD225" s="10"/>
      <c r="BE225" s="10"/>
      <c r="BF225" s="10"/>
    </row>
    <row r="226" spans="1:58" ht="75" x14ac:dyDescent="0.25">
      <c r="A226" s="4" t="s">
        <v>570</v>
      </c>
      <c r="B226" s="4" t="s">
        <v>568</v>
      </c>
      <c r="C226" s="4" t="s">
        <v>70</v>
      </c>
      <c r="D226" s="4" t="s">
        <v>23</v>
      </c>
      <c r="E226" s="5" t="s">
        <v>34</v>
      </c>
      <c r="F226" s="4"/>
      <c r="G226" s="4" t="s">
        <v>35</v>
      </c>
      <c r="H226" s="49" t="s">
        <v>571</v>
      </c>
      <c r="I226" s="12"/>
      <c r="J226" s="12">
        <f>J225+J227+J439</f>
        <v>14.299999999999999</v>
      </c>
      <c r="K226" s="12">
        <v>0.75</v>
      </c>
      <c r="L226" s="12"/>
      <c r="M226" s="51">
        <f>M225+M227+M439</f>
        <v>1.9200000000000002E-2</v>
      </c>
      <c r="N226" s="12">
        <v>0.75</v>
      </c>
      <c r="O226" s="12"/>
      <c r="P226" s="12"/>
      <c r="Q226" s="12"/>
      <c r="R226" s="12"/>
      <c r="S226" s="12">
        <f>S227+S225</f>
        <v>61</v>
      </c>
      <c r="T226" s="12">
        <v>0.75</v>
      </c>
      <c r="U226" s="12">
        <v>8.8659999999999997</v>
      </c>
      <c r="V226" s="12">
        <v>8.8659999999999997</v>
      </c>
      <c r="W226" s="7"/>
      <c r="X226" s="12"/>
      <c r="Y226" s="7"/>
      <c r="Z226" s="7">
        <v>9</v>
      </c>
      <c r="AA226" s="7">
        <v>1</v>
      </c>
      <c r="AB226" s="7"/>
      <c r="AC226" s="7"/>
      <c r="AD226" s="4"/>
      <c r="AE226" s="4"/>
      <c r="AF226" s="4"/>
      <c r="AG226" s="4"/>
      <c r="AH226" s="9"/>
      <c r="AI226" s="9"/>
      <c r="AJ226" s="9"/>
      <c r="AK226" s="9" t="s">
        <v>30</v>
      </c>
      <c r="AL226" s="10"/>
      <c r="AM226" s="10"/>
      <c r="AN226" s="10"/>
      <c r="AO226" s="10"/>
      <c r="AP226" s="10"/>
      <c r="AQ226" s="11">
        <v>23</v>
      </c>
      <c r="AR226" s="4" t="s">
        <v>32</v>
      </c>
      <c r="AS226" s="10"/>
      <c r="AT226" s="10"/>
      <c r="AU226" s="10" t="s">
        <v>886</v>
      </c>
      <c r="AV226" s="10" t="s">
        <v>860</v>
      </c>
      <c r="AW226" s="10" t="s">
        <v>862</v>
      </c>
      <c r="AX226" s="10"/>
      <c r="AY226" s="10"/>
      <c r="AZ226" s="10"/>
      <c r="BA226" s="10"/>
      <c r="BB226" s="10"/>
      <c r="BC226" s="10"/>
      <c r="BD226" s="10"/>
      <c r="BE226" s="10"/>
      <c r="BF226" s="10"/>
    </row>
    <row r="227" spans="1:58" ht="60" hidden="1" x14ac:dyDescent="0.25">
      <c r="A227" s="4" t="s">
        <v>572</v>
      </c>
      <c r="B227" s="4"/>
      <c r="C227" s="4" t="s">
        <v>70</v>
      </c>
      <c r="D227" s="4" t="s">
        <v>23</v>
      </c>
      <c r="E227" s="5" t="s">
        <v>34</v>
      </c>
      <c r="F227" s="4" t="s">
        <v>568</v>
      </c>
      <c r="G227" s="4" t="s">
        <v>26</v>
      </c>
      <c r="H227" s="49" t="s">
        <v>573</v>
      </c>
      <c r="I227" s="12" t="s">
        <v>832</v>
      </c>
      <c r="J227" s="12">
        <f>5.1</f>
        <v>5.0999999999999996</v>
      </c>
      <c r="K227" s="12">
        <v>0.75</v>
      </c>
      <c r="L227" s="12" t="s">
        <v>1026</v>
      </c>
      <c r="M227" s="51">
        <f>0.0099</f>
        <v>9.9000000000000008E-3</v>
      </c>
      <c r="N227" s="12">
        <v>0.75</v>
      </c>
      <c r="O227" s="12"/>
      <c r="P227" s="12"/>
      <c r="Q227" s="12"/>
      <c r="R227" s="12" t="s">
        <v>1109</v>
      </c>
      <c r="S227" s="12">
        <v>6</v>
      </c>
      <c r="T227" s="12">
        <v>0.75</v>
      </c>
      <c r="U227" s="12">
        <v>3.1619999999999999</v>
      </c>
      <c r="V227" s="12">
        <v>3.1619999999999999</v>
      </c>
      <c r="W227" s="7"/>
      <c r="X227" s="12"/>
      <c r="Y227" s="7"/>
      <c r="Z227" s="7"/>
      <c r="AA227" s="7"/>
      <c r="AB227" s="8">
        <v>167000</v>
      </c>
      <c r="AC227" s="7"/>
      <c r="AD227" s="4"/>
      <c r="AE227" s="4"/>
      <c r="AF227" s="4"/>
      <c r="AG227" s="4"/>
      <c r="AH227" s="9"/>
      <c r="AI227" s="9"/>
      <c r="AJ227" s="9"/>
      <c r="AK227" s="9" t="s">
        <v>30</v>
      </c>
      <c r="AL227" s="10"/>
      <c r="AM227" s="10"/>
      <c r="AN227" s="10"/>
      <c r="AO227" s="10"/>
      <c r="AP227" s="10"/>
      <c r="AQ227" s="11">
        <v>23</v>
      </c>
      <c r="AR227" s="4" t="s">
        <v>32</v>
      </c>
      <c r="AS227" s="10"/>
      <c r="AT227" s="10"/>
      <c r="AU227" s="10"/>
      <c r="AV227" s="10"/>
      <c r="AW227" s="10"/>
      <c r="AX227" s="10"/>
      <c r="AY227" s="10"/>
      <c r="AZ227" s="10"/>
      <c r="BA227" s="10"/>
      <c r="BB227" s="10"/>
      <c r="BC227" s="10"/>
      <c r="BD227" s="10"/>
      <c r="BE227" s="10"/>
      <c r="BF227" s="10"/>
    </row>
    <row r="228" spans="1:58" ht="75" hidden="1" x14ac:dyDescent="0.25">
      <c r="A228" s="4" t="s">
        <v>574</v>
      </c>
      <c r="B228" s="4"/>
      <c r="C228" s="4" t="s">
        <v>70</v>
      </c>
      <c r="D228" s="4" t="s">
        <v>23</v>
      </c>
      <c r="E228" s="5" t="s">
        <v>34</v>
      </c>
      <c r="F228" s="4" t="s">
        <v>552</v>
      </c>
      <c r="G228" s="4" t="s">
        <v>26</v>
      </c>
      <c r="H228" s="49" t="s">
        <v>575</v>
      </c>
      <c r="I228" s="12" t="s">
        <v>761</v>
      </c>
      <c r="J228" s="12">
        <v>25.3</v>
      </c>
      <c r="K228" s="12">
        <v>0.75</v>
      </c>
      <c r="L228" s="12">
        <v>0.13020000000000001</v>
      </c>
      <c r="M228" s="51">
        <v>0.13020000000000001</v>
      </c>
      <c r="N228" s="12">
        <v>0.75</v>
      </c>
      <c r="O228" s="12"/>
      <c r="P228" s="12"/>
      <c r="Q228" s="12"/>
      <c r="R228" s="12">
        <v>180</v>
      </c>
      <c r="S228" s="12">
        <v>180</v>
      </c>
      <c r="T228" s="12">
        <v>0.75</v>
      </c>
      <c r="U228" s="12">
        <v>15.686</v>
      </c>
      <c r="V228" s="12">
        <v>15.686</v>
      </c>
      <c r="W228" s="7"/>
      <c r="X228" s="12"/>
      <c r="Y228" s="7" t="str">
        <f>Y217</f>
        <v>8
9</v>
      </c>
      <c r="Z228" s="7"/>
      <c r="AA228" s="7"/>
      <c r="AB228" s="8">
        <f>1/(3*10^-6)</f>
        <v>333333.33333333331</v>
      </c>
      <c r="AC228" s="7"/>
      <c r="AD228" s="4"/>
      <c r="AE228" s="4"/>
      <c r="AF228" s="4"/>
      <c r="AG228" s="4"/>
      <c r="AH228" s="9"/>
      <c r="AI228" s="9"/>
      <c r="AJ228" s="9"/>
      <c r="AK228" s="9" t="s">
        <v>30</v>
      </c>
      <c r="AL228" s="10"/>
      <c r="AM228" s="10"/>
      <c r="AN228" s="10"/>
      <c r="AO228" s="10"/>
      <c r="AP228" s="10"/>
      <c r="AQ228" s="11" t="s">
        <v>576</v>
      </c>
      <c r="AR228" s="4" t="s">
        <v>577</v>
      </c>
      <c r="AS228" s="10" t="s">
        <v>886</v>
      </c>
      <c r="AT228" s="10"/>
      <c r="AU228" s="10"/>
      <c r="AV228" s="10"/>
      <c r="AW228" s="10"/>
      <c r="AX228" s="10"/>
      <c r="AY228" s="10"/>
      <c r="AZ228" s="10"/>
      <c r="BA228" s="10"/>
      <c r="BB228" s="10"/>
      <c r="BC228" s="10"/>
      <c r="BD228" s="10" t="s">
        <v>1110</v>
      </c>
      <c r="BE228" s="10"/>
      <c r="BF228" s="10"/>
    </row>
    <row r="229" spans="1:58" ht="30" hidden="1" x14ac:dyDescent="0.25">
      <c r="A229" s="4" t="s">
        <v>578</v>
      </c>
      <c r="B229" s="4"/>
      <c r="C229" s="4" t="s">
        <v>70</v>
      </c>
      <c r="D229" s="4" t="s">
        <v>23</v>
      </c>
      <c r="E229" s="5" t="s">
        <v>34</v>
      </c>
      <c r="F229" s="4"/>
      <c r="G229" s="4" t="s">
        <v>26</v>
      </c>
      <c r="H229" s="49" t="s">
        <v>579</v>
      </c>
      <c r="I229" s="12">
        <v>2.7214999999999998</v>
      </c>
      <c r="J229" s="12">
        <v>2.7214999999999998</v>
      </c>
      <c r="K229" s="12">
        <v>0.75</v>
      </c>
      <c r="L229" s="12">
        <v>6.1215000000000002E-3</v>
      </c>
      <c r="M229" s="51">
        <v>6.1215000000000002E-3</v>
      </c>
      <c r="N229" s="12">
        <v>0.75</v>
      </c>
      <c r="O229" s="12"/>
      <c r="P229" s="12"/>
      <c r="Q229" s="12"/>
      <c r="R229" s="12">
        <v>0</v>
      </c>
      <c r="S229" s="12">
        <v>0</v>
      </c>
      <c r="T229" s="12">
        <v>0.75</v>
      </c>
      <c r="U229" s="12"/>
      <c r="V229" s="12"/>
      <c r="W229" s="7"/>
      <c r="X229" s="12"/>
      <c r="Y229" s="7"/>
      <c r="Z229" s="7"/>
      <c r="AA229" s="7"/>
      <c r="AB229" s="7"/>
      <c r="AC229" s="7"/>
      <c r="AD229" s="4"/>
      <c r="AE229" s="4"/>
      <c r="AF229" s="4"/>
      <c r="AG229" s="4"/>
      <c r="AH229" s="9"/>
      <c r="AI229" s="9"/>
      <c r="AJ229" s="9"/>
      <c r="AK229" s="9" t="s">
        <v>30</v>
      </c>
      <c r="AL229" s="10"/>
      <c r="AM229" s="10"/>
      <c r="AN229" s="10"/>
      <c r="AO229" s="10"/>
      <c r="AP229" s="10"/>
      <c r="AQ229" s="11">
        <v>11</v>
      </c>
      <c r="AR229" s="4" t="s">
        <v>32</v>
      </c>
      <c r="AS229" s="10"/>
      <c r="AT229" s="10"/>
      <c r="AU229" s="10"/>
      <c r="AV229" s="10"/>
      <c r="AW229" s="10"/>
      <c r="AX229" s="10"/>
      <c r="AY229" s="10"/>
      <c r="AZ229" s="10"/>
      <c r="BA229" s="10"/>
      <c r="BB229" s="10"/>
      <c r="BC229" s="10"/>
      <c r="BD229" s="10"/>
      <c r="BE229" s="10"/>
      <c r="BF229" s="10"/>
    </row>
    <row r="230" spans="1:58" ht="30" hidden="1" x14ac:dyDescent="0.25">
      <c r="A230" s="4" t="s">
        <v>713</v>
      </c>
      <c r="B230" s="4"/>
      <c r="C230" s="4" t="s">
        <v>70</v>
      </c>
      <c r="D230" s="4" t="s">
        <v>23</v>
      </c>
      <c r="E230" s="5" t="s">
        <v>34</v>
      </c>
      <c r="F230" s="4" t="s">
        <v>568</v>
      </c>
      <c r="G230" s="4" t="s">
        <v>26</v>
      </c>
      <c r="H230" s="4" t="s">
        <v>1066</v>
      </c>
      <c r="I230" s="13"/>
      <c r="J230" s="12">
        <f>technologies[[#This Row],[Mass
Literature]]</f>
        <v>0</v>
      </c>
      <c r="K230" s="12"/>
      <c r="L230" s="12"/>
      <c r="M230" s="51">
        <f>technologies[[#This Row],[Volume
Literature]]</f>
        <v>0</v>
      </c>
      <c r="N230" s="12"/>
      <c r="O230" s="12"/>
      <c r="P230" s="12"/>
      <c r="Q230" s="12"/>
      <c r="R230" s="12"/>
      <c r="S230" s="12"/>
      <c r="T230" s="12"/>
      <c r="U230" s="12"/>
      <c r="V230" s="12"/>
      <c r="W230" s="7"/>
      <c r="X230" s="12"/>
      <c r="Y230" s="7"/>
      <c r="Z230" s="7"/>
      <c r="AA230" s="7"/>
      <c r="AB230" s="7"/>
      <c r="AC230" s="7"/>
      <c r="AD230" s="4"/>
      <c r="AE230" s="4"/>
      <c r="AF230" s="4"/>
      <c r="AG230" s="4"/>
      <c r="AH230" s="9"/>
      <c r="AI230" s="9"/>
      <c r="AJ230" s="9"/>
      <c r="AK230" s="9"/>
      <c r="AL230" s="10"/>
      <c r="AM230" s="10"/>
      <c r="AN230" s="10"/>
      <c r="AO230" s="10"/>
      <c r="AP230" s="10"/>
      <c r="AQ230" s="11"/>
      <c r="AR230" s="25"/>
      <c r="AS230" s="10"/>
      <c r="AT230" s="10" t="s">
        <v>857</v>
      </c>
      <c r="AU230" s="10"/>
      <c r="AV230" s="10"/>
      <c r="AW230" s="10"/>
      <c r="AX230" s="10"/>
      <c r="AY230" s="10"/>
      <c r="AZ230" s="10"/>
      <c r="BA230" s="10"/>
      <c r="BB230" s="10"/>
      <c r="BC230" s="10"/>
      <c r="BD230" s="10"/>
      <c r="BE230" s="10"/>
      <c r="BF230" s="10"/>
    </row>
    <row r="231" spans="1:58" ht="45" x14ac:dyDescent="0.25">
      <c r="A231" s="4" t="s">
        <v>1171</v>
      </c>
      <c r="B231" s="4"/>
      <c r="C231" s="4" t="s">
        <v>70</v>
      </c>
      <c r="D231" s="4" t="s">
        <v>23</v>
      </c>
      <c r="E231" s="5" t="s">
        <v>24</v>
      </c>
      <c r="F231" s="6"/>
      <c r="G231" s="4" t="s">
        <v>35</v>
      </c>
      <c r="H231" s="4" t="s">
        <v>1172</v>
      </c>
      <c r="I231" s="7">
        <v>1.5</v>
      </c>
      <c r="J231" s="7">
        <v>1.5</v>
      </c>
      <c r="K231" s="7">
        <v>1</v>
      </c>
      <c r="L231" s="7">
        <v>2.8E-3</v>
      </c>
      <c r="M231" s="51">
        <v>2.8E-3</v>
      </c>
      <c r="N231" s="7">
        <v>1</v>
      </c>
      <c r="O231" s="7">
        <v>1.48</v>
      </c>
      <c r="P231" s="7">
        <v>1.48</v>
      </c>
      <c r="Q231" s="7">
        <v>0.5</v>
      </c>
      <c r="R231" s="7">
        <v>1.48</v>
      </c>
      <c r="S231" s="7">
        <v>1.48</v>
      </c>
      <c r="T231" s="7">
        <v>1</v>
      </c>
      <c r="U231" s="12">
        <v>0.92999999999999994</v>
      </c>
      <c r="V231" s="12">
        <v>0.92999999999999994</v>
      </c>
      <c r="W231" s="7"/>
      <c r="X231" s="12"/>
      <c r="Y231" s="7">
        <v>9</v>
      </c>
      <c r="Z231" s="7">
        <v>9</v>
      </c>
      <c r="AA231" s="7">
        <v>1</v>
      </c>
      <c r="AB231" s="7"/>
      <c r="AC231" s="7"/>
      <c r="AD231" s="4"/>
      <c r="AE231" s="4"/>
      <c r="AF231" s="4"/>
      <c r="AG231" s="4"/>
      <c r="AH231" s="9"/>
      <c r="AI231" s="9"/>
      <c r="AJ231" s="9"/>
      <c r="AK231" s="9"/>
      <c r="AL231" s="10"/>
      <c r="AM231" s="10"/>
      <c r="AN231" s="10"/>
      <c r="AO231" s="10"/>
      <c r="AP231" s="10"/>
      <c r="AQ231" s="11"/>
      <c r="AR231" s="4"/>
      <c r="AS231" s="10"/>
      <c r="AT231" s="10"/>
      <c r="AU231" s="10"/>
      <c r="AV231" s="10"/>
      <c r="AW231" s="10"/>
      <c r="AX231" s="10"/>
      <c r="AY231" s="10"/>
      <c r="AZ231" s="10"/>
      <c r="BA231" s="10"/>
      <c r="BB231" s="10"/>
      <c r="BC231" s="10"/>
      <c r="BD231" s="10"/>
      <c r="BE231" s="10"/>
      <c r="BF231" s="10"/>
    </row>
    <row r="232" spans="1:58" ht="45" hidden="1" x14ac:dyDescent="0.25">
      <c r="A232" s="4" t="s">
        <v>1173</v>
      </c>
      <c r="B232" s="4"/>
      <c r="C232" s="4" t="s">
        <v>70</v>
      </c>
      <c r="D232" s="4" t="s">
        <v>23</v>
      </c>
      <c r="E232" s="5" t="s">
        <v>24</v>
      </c>
      <c r="F232" s="6"/>
      <c r="G232" s="4" t="s">
        <v>26</v>
      </c>
      <c r="H232" s="4" t="s">
        <v>1174</v>
      </c>
      <c r="I232" s="7">
        <v>6.8</v>
      </c>
      <c r="J232" s="7">
        <v>6.8</v>
      </c>
      <c r="K232" s="7">
        <v>1</v>
      </c>
      <c r="L232" s="7">
        <v>4.0500000000000001E-2</v>
      </c>
      <c r="M232" s="51">
        <v>4.0500000000000001E-2</v>
      </c>
      <c r="N232" s="7">
        <v>1</v>
      </c>
      <c r="O232" s="7">
        <v>0</v>
      </c>
      <c r="P232" s="7">
        <v>0</v>
      </c>
      <c r="Q232" s="7">
        <v>1</v>
      </c>
      <c r="R232" s="7">
        <v>0</v>
      </c>
      <c r="S232" s="7">
        <v>0</v>
      </c>
      <c r="T232" s="7">
        <v>1</v>
      </c>
      <c r="U232" s="12"/>
      <c r="V232" s="12"/>
      <c r="W232" s="7"/>
      <c r="X232" s="12"/>
      <c r="Y232" s="7">
        <v>9</v>
      </c>
      <c r="Z232" s="7">
        <v>9</v>
      </c>
      <c r="AA232" s="7">
        <v>1</v>
      </c>
      <c r="AB232" s="7"/>
      <c r="AC232" s="7"/>
      <c r="AD232" s="4"/>
      <c r="AE232" s="4"/>
      <c r="AF232" s="4"/>
      <c r="AG232" s="4"/>
      <c r="AH232" s="9"/>
      <c r="AI232" s="9"/>
      <c r="AJ232" s="9"/>
      <c r="AK232" s="9"/>
      <c r="AL232" s="10"/>
      <c r="AM232" s="10"/>
      <c r="AN232" s="10"/>
      <c r="AO232" s="10"/>
      <c r="AP232" s="10"/>
      <c r="AQ232" s="11"/>
      <c r="AR232" s="4"/>
      <c r="AS232" s="10"/>
      <c r="AT232" s="10"/>
      <c r="AU232" s="10"/>
      <c r="AV232" s="10"/>
      <c r="AW232" s="10"/>
      <c r="AX232" s="10"/>
      <c r="AY232" s="10"/>
      <c r="AZ232" s="10"/>
      <c r="BA232" s="10"/>
      <c r="BB232" s="10"/>
      <c r="BC232" s="10"/>
      <c r="BD232" s="10"/>
      <c r="BE232" s="10"/>
      <c r="BF232" s="10"/>
    </row>
    <row r="233" spans="1:58" ht="30" x14ac:dyDescent="0.25">
      <c r="A233" s="4" t="s">
        <v>527</v>
      </c>
      <c r="B233" s="4"/>
      <c r="C233" s="4" t="s">
        <v>528</v>
      </c>
      <c r="D233" s="4" t="s">
        <v>23</v>
      </c>
      <c r="E233" s="5" t="s">
        <v>34</v>
      </c>
      <c r="F233" s="4"/>
      <c r="G233" s="6" t="s">
        <v>35</v>
      </c>
      <c r="H233" s="4" t="s">
        <v>1016</v>
      </c>
      <c r="I233" s="12">
        <v>300</v>
      </c>
      <c r="J233" s="12">
        <v>300</v>
      </c>
      <c r="K233" s="12"/>
      <c r="L233" s="12">
        <v>1</v>
      </c>
      <c r="M233" s="51">
        <v>1</v>
      </c>
      <c r="N233" s="12"/>
      <c r="O233" s="12"/>
      <c r="P233" s="12"/>
      <c r="Q233" s="12"/>
      <c r="R233" s="12"/>
      <c r="S233" s="12"/>
      <c r="T233" s="12"/>
      <c r="U233" s="12">
        <v>186</v>
      </c>
      <c r="V233" s="12">
        <v>186</v>
      </c>
      <c r="W233" s="7"/>
      <c r="X233" s="12"/>
      <c r="Y233" s="7"/>
      <c r="Z233" s="7"/>
      <c r="AA233" s="7"/>
      <c r="AB233" s="7"/>
      <c r="AC233" s="7"/>
      <c r="AD233" s="4"/>
      <c r="AE233" s="4"/>
      <c r="AF233" s="4"/>
      <c r="AG233" s="4"/>
      <c r="AH233" s="9"/>
      <c r="AI233" s="9"/>
      <c r="AJ233" s="9"/>
      <c r="AK233" s="9" t="s">
        <v>30</v>
      </c>
      <c r="AL233" s="10"/>
      <c r="AM233" s="10"/>
      <c r="AN233" s="10"/>
      <c r="AO233" s="10"/>
      <c r="AP233" s="10"/>
      <c r="AQ233" s="11">
        <v>9</v>
      </c>
      <c r="AR233" s="4"/>
      <c r="AS233" s="10"/>
      <c r="AT233" s="10"/>
      <c r="AU233" s="10"/>
      <c r="AV233" s="10"/>
      <c r="AW233" s="10"/>
      <c r="AX233" s="10"/>
      <c r="AY233" s="10"/>
      <c r="AZ233" s="10"/>
      <c r="BA233" s="10"/>
      <c r="BB233" s="10"/>
      <c r="BC233" s="10"/>
      <c r="BD233" s="10"/>
      <c r="BE233" s="10"/>
      <c r="BF233" s="10"/>
    </row>
    <row r="234" spans="1:58" ht="30" hidden="1" x14ac:dyDescent="0.25">
      <c r="A234" s="4" t="s">
        <v>529</v>
      </c>
      <c r="B234" s="4"/>
      <c r="C234" s="4" t="s">
        <v>528</v>
      </c>
      <c r="D234" s="4" t="s">
        <v>131</v>
      </c>
      <c r="E234" s="5" t="s">
        <v>34</v>
      </c>
      <c r="F234" s="6"/>
      <c r="G234" s="6" t="s">
        <v>26</v>
      </c>
      <c r="H234" s="4" t="s">
        <v>1016</v>
      </c>
      <c r="I234" s="12">
        <v>9</v>
      </c>
      <c r="J234" s="12">
        <v>9</v>
      </c>
      <c r="K234" s="12"/>
      <c r="L234" s="12">
        <v>0.1</v>
      </c>
      <c r="M234" s="51">
        <v>0.1</v>
      </c>
      <c r="N234" s="12"/>
      <c r="O234" s="12">
        <v>0</v>
      </c>
      <c r="P234" s="12"/>
      <c r="Q234" s="12"/>
      <c r="R234" s="12">
        <v>0</v>
      </c>
      <c r="S234" s="12"/>
      <c r="T234" s="12"/>
      <c r="U234" s="12"/>
      <c r="V234" s="12"/>
      <c r="W234" s="7"/>
      <c r="X234" s="12"/>
      <c r="Y234" s="7"/>
      <c r="Z234" s="7"/>
      <c r="AA234" s="7"/>
      <c r="AB234" s="7"/>
      <c r="AC234" s="7"/>
      <c r="AD234" s="4"/>
      <c r="AE234" s="4"/>
      <c r="AF234" s="4"/>
      <c r="AG234" s="4"/>
      <c r="AH234" s="9"/>
      <c r="AI234" s="9"/>
      <c r="AJ234" s="9"/>
      <c r="AK234" s="9" t="s">
        <v>30</v>
      </c>
      <c r="AL234" s="10"/>
      <c r="AM234" s="10"/>
      <c r="AN234" s="10"/>
      <c r="AO234" s="10"/>
      <c r="AP234" s="10"/>
      <c r="AQ234" s="11">
        <v>9</v>
      </c>
      <c r="AR234" s="4"/>
      <c r="AS234" s="10"/>
      <c r="AT234" s="10"/>
      <c r="AU234" s="10"/>
      <c r="AV234" s="10"/>
      <c r="AW234" s="10"/>
      <c r="AX234" s="10"/>
      <c r="AY234" s="10"/>
      <c r="AZ234" s="10"/>
      <c r="BA234" s="10"/>
      <c r="BB234" s="10"/>
      <c r="BC234" s="10"/>
      <c r="BD234" s="10"/>
      <c r="BE234" s="10"/>
      <c r="BF234" s="10"/>
    </row>
    <row r="235" spans="1:58" ht="60" hidden="1" x14ac:dyDescent="0.25">
      <c r="A235" s="4" t="s">
        <v>530</v>
      </c>
      <c r="B235" s="4"/>
      <c r="C235" s="4" t="s">
        <v>528</v>
      </c>
      <c r="D235" s="4" t="s">
        <v>131</v>
      </c>
      <c r="E235" s="5" t="s">
        <v>34</v>
      </c>
      <c r="F235" s="6"/>
      <c r="G235" s="4" t="s">
        <v>67</v>
      </c>
      <c r="H235" s="49" t="s">
        <v>1019</v>
      </c>
      <c r="I235" s="12"/>
      <c r="J235" s="12"/>
      <c r="K235" s="12"/>
      <c r="L235" s="12" t="s">
        <v>1196</v>
      </c>
      <c r="M235" s="51"/>
      <c r="N235" s="12"/>
      <c r="O235" s="12"/>
      <c r="P235" s="12"/>
      <c r="Q235" s="12"/>
      <c r="R235" s="12"/>
      <c r="S235" s="12"/>
      <c r="T235" s="12"/>
      <c r="U235" s="12"/>
      <c r="V235" s="12"/>
      <c r="W235" s="7"/>
      <c r="X235" s="12"/>
      <c r="Y235" s="7"/>
      <c r="Z235" s="7"/>
      <c r="AA235" s="7"/>
      <c r="AB235" s="7"/>
      <c r="AC235" s="7"/>
      <c r="AD235" s="4"/>
      <c r="AE235" s="4"/>
      <c r="AF235" s="4"/>
      <c r="AG235" s="4"/>
      <c r="AH235" s="9"/>
      <c r="AI235" s="9"/>
      <c r="AJ235" s="9"/>
      <c r="AK235" s="9" t="s">
        <v>30</v>
      </c>
      <c r="AL235" s="10"/>
      <c r="AM235" s="10"/>
      <c r="AN235" s="10"/>
      <c r="AO235" s="10"/>
      <c r="AP235" s="10"/>
      <c r="AQ235" s="11" t="s">
        <v>531</v>
      </c>
      <c r="AR235" s="4"/>
      <c r="AS235" s="10"/>
      <c r="AT235" s="10"/>
      <c r="AU235" s="10"/>
      <c r="AV235" s="10"/>
      <c r="AW235" s="10"/>
      <c r="AX235" s="10"/>
      <c r="AY235" s="10"/>
      <c r="AZ235" s="10"/>
      <c r="BA235" s="10"/>
      <c r="BB235" s="10"/>
      <c r="BC235" s="10" t="s">
        <v>1104</v>
      </c>
      <c r="BD235" s="10" t="s">
        <v>1105</v>
      </c>
      <c r="BE235" s="10"/>
      <c r="BF235" s="10"/>
    </row>
    <row r="236" spans="1:58" ht="30" hidden="1" x14ac:dyDescent="0.25">
      <c r="A236" s="4" t="s">
        <v>681</v>
      </c>
      <c r="B236" s="4"/>
      <c r="C236" s="4" t="s">
        <v>528</v>
      </c>
      <c r="D236" s="4" t="s">
        <v>23</v>
      </c>
      <c r="E236" s="5" t="s">
        <v>34</v>
      </c>
      <c r="F236" s="4"/>
      <c r="G236" s="4" t="s">
        <v>26</v>
      </c>
      <c r="H236" s="4" t="s">
        <v>682</v>
      </c>
      <c r="I236" s="12">
        <v>106</v>
      </c>
      <c r="J236" s="12">
        <v>106</v>
      </c>
      <c r="K236" s="12"/>
      <c r="L236" s="12">
        <v>0.1</v>
      </c>
      <c r="M236" s="51"/>
      <c r="N236" s="12"/>
      <c r="O236" s="12"/>
      <c r="P236" s="12"/>
      <c r="Q236" s="12"/>
      <c r="R236" s="12"/>
      <c r="S236" s="12"/>
      <c r="T236" s="12"/>
      <c r="U236" s="12"/>
      <c r="V236" s="12"/>
      <c r="W236" s="7"/>
      <c r="X236" s="12"/>
      <c r="Y236" s="7"/>
      <c r="Z236" s="7"/>
      <c r="AA236" s="7"/>
      <c r="AB236" s="8"/>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c r="BF236" s="10"/>
    </row>
    <row r="237" spans="1:58" ht="30" hidden="1" x14ac:dyDescent="0.25">
      <c r="A237" s="4" t="s">
        <v>683</v>
      </c>
      <c r="B237" s="4"/>
      <c r="C237" s="4" t="s">
        <v>528</v>
      </c>
      <c r="D237" s="4" t="s">
        <v>23</v>
      </c>
      <c r="E237" s="5" t="s">
        <v>34</v>
      </c>
      <c r="F237" s="4"/>
      <c r="G237" s="4" t="s">
        <v>26</v>
      </c>
      <c r="H237" s="4" t="s">
        <v>684</v>
      </c>
      <c r="I237" s="12">
        <v>34</v>
      </c>
      <c r="J237" s="12">
        <v>34</v>
      </c>
      <c r="K237" s="12"/>
      <c r="L237" s="12">
        <v>0.04</v>
      </c>
      <c r="M237" s="51"/>
      <c r="N237" s="12"/>
      <c r="O237" s="12"/>
      <c r="P237" s="12"/>
      <c r="Q237" s="12"/>
      <c r="R237" s="12"/>
      <c r="S237" s="12"/>
      <c r="T237" s="12"/>
      <c r="U237" s="12"/>
      <c r="V237" s="12"/>
      <c r="W237" s="7"/>
      <c r="X237" s="12"/>
      <c r="Y237" s="7"/>
      <c r="Z237" s="7"/>
      <c r="AA237" s="7"/>
      <c r="AB237" s="8"/>
      <c r="AC237" s="7"/>
      <c r="AD237" s="4"/>
      <c r="AE237" s="4"/>
      <c r="AF237" s="4"/>
      <c r="AG237" s="4"/>
      <c r="AH237" s="9"/>
      <c r="AI237" s="9"/>
      <c r="AJ237" s="9"/>
      <c r="AK237" s="9" t="s">
        <v>30</v>
      </c>
      <c r="AL237" s="10"/>
      <c r="AM237" s="10"/>
      <c r="AN237" s="10"/>
      <c r="AO237" s="10"/>
      <c r="AP237" s="10"/>
      <c r="AQ237" s="11">
        <v>9</v>
      </c>
      <c r="AR237" s="4"/>
      <c r="AS237" s="10"/>
      <c r="AT237" s="10"/>
      <c r="AU237" s="10"/>
      <c r="AV237" s="10"/>
      <c r="AW237" s="10"/>
      <c r="AX237" s="10"/>
      <c r="AY237" s="10"/>
      <c r="AZ237" s="10"/>
      <c r="BA237" s="10"/>
      <c r="BB237" s="10"/>
      <c r="BC237" s="10"/>
      <c r="BD237" s="10"/>
      <c r="BE237" s="10"/>
      <c r="BF237" s="10"/>
    </row>
    <row r="238" spans="1:58" ht="60" hidden="1" x14ac:dyDescent="0.25">
      <c r="A238" s="4" t="s">
        <v>1054</v>
      </c>
      <c r="B238" s="4"/>
      <c r="C238" s="4" t="s">
        <v>528</v>
      </c>
      <c r="D238" s="4" t="s">
        <v>23</v>
      </c>
      <c r="E238" s="5" t="s">
        <v>34</v>
      </c>
      <c r="F238" s="4"/>
      <c r="G238" s="4" t="s">
        <v>26</v>
      </c>
      <c r="H238" s="49" t="s">
        <v>1055</v>
      </c>
      <c r="I238" s="12" t="s">
        <v>835</v>
      </c>
      <c r="J238" s="12">
        <v>163.19999999999999</v>
      </c>
      <c r="K238" s="12"/>
      <c r="L238" s="12" t="s">
        <v>836</v>
      </c>
      <c r="M238" s="51">
        <v>0.59</v>
      </c>
      <c r="N238" s="12"/>
      <c r="O238" s="12"/>
      <c r="P238" s="12"/>
      <c r="Q238" s="12"/>
      <c r="R238" s="12"/>
      <c r="S238" s="12"/>
      <c r="T238" s="12"/>
      <c r="U238" s="12"/>
      <c r="V238" s="12"/>
      <c r="W238" s="7"/>
      <c r="X238" s="12"/>
      <c r="Y238" s="7"/>
      <c r="Z238" s="7"/>
      <c r="AA238" s="7"/>
      <c r="AB238" s="8"/>
      <c r="AC238" s="7"/>
      <c r="AD238" s="4"/>
      <c r="AE238" s="4"/>
      <c r="AF238" s="4"/>
      <c r="AG238" s="4"/>
      <c r="AH238" s="9"/>
      <c r="AI238" s="9"/>
      <c r="AJ238" s="9"/>
      <c r="AK238" s="9" t="s">
        <v>30</v>
      </c>
      <c r="AL238" s="10"/>
      <c r="AM238" s="10"/>
      <c r="AN238" s="10"/>
      <c r="AO238" s="10"/>
      <c r="AP238" s="10"/>
      <c r="AQ238" s="11"/>
      <c r="AR238" s="4"/>
      <c r="AS238" s="10"/>
      <c r="AT238" s="10"/>
      <c r="AU238" s="10"/>
      <c r="AV238" s="10"/>
      <c r="AW238" s="10"/>
      <c r="AX238" s="10"/>
      <c r="AY238" s="10"/>
      <c r="AZ238" s="10"/>
      <c r="BA238" s="10"/>
      <c r="BB238" s="10"/>
      <c r="BC238" s="10"/>
      <c r="BD238" s="10"/>
      <c r="BE238" s="10"/>
      <c r="BF238" s="10"/>
    </row>
    <row r="239" spans="1:58" ht="30" hidden="1" x14ac:dyDescent="0.25">
      <c r="A239" s="4" t="s">
        <v>185</v>
      </c>
      <c r="B239" s="4"/>
      <c r="C239" s="4" t="s">
        <v>186</v>
      </c>
      <c r="D239" s="4" t="s">
        <v>131</v>
      </c>
      <c r="E239" s="5" t="s">
        <v>34</v>
      </c>
      <c r="F239" s="6"/>
      <c r="G239" s="4" t="s">
        <v>26</v>
      </c>
      <c r="H239" s="49" t="s">
        <v>1126</v>
      </c>
      <c r="I239" s="12"/>
      <c r="J239" s="12"/>
      <c r="K239" s="12"/>
      <c r="L239" s="12"/>
      <c r="M239" s="51"/>
      <c r="N239" s="12"/>
      <c r="O239" s="12"/>
      <c r="P239" s="12"/>
      <c r="Q239" s="12"/>
      <c r="R239" s="7"/>
      <c r="S239" s="7"/>
      <c r="T239" s="7"/>
      <c r="U239" s="12"/>
      <c r="V239" s="12"/>
      <c r="W239" s="7"/>
      <c r="X239" s="12"/>
      <c r="Y239" s="7"/>
      <c r="Z239" s="7"/>
      <c r="AA239" s="7"/>
      <c r="AB239" s="7"/>
      <c r="AC239" s="7"/>
      <c r="AD239" s="4"/>
      <c r="AE239" s="4"/>
      <c r="AF239" s="4"/>
      <c r="AG239" s="4"/>
      <c r="AH239" s="9"/>
      <c r="AI239" s="9"/>
      <c r="AJ239" s="9"/>
      <c r="AK239" s="9" t="s">
        <v>30</v>
      </c>
      <c r="AL239" s="10"/>
      <c r="AM239" s="10"/>
      <c r="AN239" s="10"/>
      <c r="AO239" s="10"/>
      <c r="AP239" s="10"/>
      <c r="AQ239" s="11"/>
      <c r="AR239" s="4"/>
      <c r="AS239" s="10" t="s">
        <v>952</v>
      </c>
      <c r="AT239" s="10"/>
      <c r="AU239" s="10"/>
      <c r="AV239" s="10"/>
      <c r="AW239" s="10"/>
      <c r="AX239" s="10"/>
      <c r="AY239" s="10"/>
      <c r="AZ239" s="10"/>
      <c r="BA239" s="10"/>
      <c r="BB239" s="10"/>
      <c r="BC239" s="10"/>
      <c r="BD239" s="10"/>
      <c r="BE239" s="10"/>
      <c r="BF239" s="10"/>
    </row>
    <row r="240" spans="1:58" ht="105" hidden="1" x14ac:dyDescent="0.25">
      <c r="A240" s="4" t="s">
        <v>191</v>
      </c>
      <c r="B240" s="4"/>
      <c r="C240" s="4" t="s">
        <v>186</v>
      </c>
      <c r="D240" s="4" t="s">
        <v>131</v>
      </c>
      <c r="E240" s="5"/>
      <c r="F240" s="6"/>
      <c r="G240" s="4" t="s">
        <v>26</v>
      </c>
      <c r="H240" s="49" t="s">
        <v>192</v>
      </c>
      <c r="I240" s="12"/>
      <c r="J240" s="12"/>
      <c r="K240" s="12"/>
      <c r="L240" s="12"/>
      <c r="M240" s="51"/>
      <c r="N240" s="12"/>
      <c r="O240" s="12"/>
      <c r="P240" s="12"/>
      <c r="Q240" s="12"/>
      <c r="R240" s="7"/>
      <c r="S240" s="7"/>
      <c r="T240" s="7"/>
      <c r="U240" s="12"/>
      <c r="V240" s="12"/>
      <c r="W240" s="7"/>
      <c r="X240" s="12"/>
      <c r="Y240" s="7"/>
      <c r="Z240" s="7"/>
      <c r="AA240" s="7"/>
      <c r="AB240" s="7"/>
      <c r="AC240" s="7"/>
      <c r="AD240" s="4"/>
      <c r="AE240" s="4"/>
      <c r="AF240" s="4"/>
      <c r="AG240" s="4"/>
      <c r="AH240" s="9"/>
      <c r="AI240" s="9"/>
      <c r="AJ240" s="9"/>
      <c r="AK240" s="9" t="s">
        <v>30</v>
      </c>
      <c r="AL240" s="10"/>
      <c r="AM240" s="10"/>
      <c r="AN240" s="10"/>
      <c r="AO240" s="10"/>
      <c r="AP240" s="10"/>
      <c r="AQ240" s="11">
        <v>4</v>
      </c>
      <c r="AR240" s="4"/>
      <c r="AS240" s="10" t="s">
        <v>952</v>
      </c>
      <c r="AT240" s="10"/>
      <c r="AU240" s="10"/>
      <c r="AV240" s="10"/>
      <c r="AW240" s="10"/>
      <c r="AX240" s="10"/>
      <c r="AY240" s="10"/>
      <c r="AZ240" s="10"/>
      <c r="BA240" s="10"/>
      <c r="BB240" s="10"/>
      <c r="BC240" s="10"/>
      <c r="BD240" s="10"/>
      <c r="BE240" s="10"/>
      <c r="BF240" s="10"/>
    </row>
    <row r="241" spans="1:58" ht="135" hidden="1" x14ac:dyDescent="0.25">
      <c r="A241" s="4" t="s">
        <v>974</v>
      </c>
      <c r="B241" s="4"/>
      <c r="C241" s="4" t="s">
        <v>186</v>
      </c>
      <c r="D241" s="4" t="s">
        <v>131</v>
      </c>
      <c r="E241" s="5" t="s">
        <v>34</v>
      </c>
      <c r="F241" s="6"/>
      <c r="G241" s="4" t="s">
        <v>26</v>
      </c>
      <c r="H241" s="49" t="s">
        <v>1114</v>
      </c>
      <c r="I241" s="12" t="s">
        <v>206</v>
      </c>
      <c r="J241" s="12">
        <f>100/6*Crew_Size</f>
        <v>66.666666666666671</v>
      </c>
      <c r="K241" s="12"/>
      <c r="L241" s="12" t="s">
        <v>1071</v>
      </c>
      <c r="M241" s="51">
        <f>0.5/6*Crew_Size</f>
        <v>0.33333333333333331</v>
      </c>
      <c r="N241" s="12"/>
      <c r="O241" s="12" t="s">
        <v>207</v>
      </c>
      <c r="P241" s="12"/>
      <c r="Q241" s="12"/>
      <c r="R241" s="7" t="s">
        <v>208</v>
      </c>
      <c r="S241" s="7">
        <v>1400</v>
      </c>
      <c r="T241" s="7"/>
      <c r="U241" s="12"/>
      <c r="V241" s="12"/>
      <c r="W241" s="7"/>
      <c r="X241" s="12"/>
      <c r="Y241" s="7"/>
      <c r="Z241" s="7"/>
      <c r="AA241" s="7"/>
      <c r="AB241" s="7"/>
      <c r="AC241" s="7"/>
      <c r="AD241" s="4"/>
      <c r="AE241" s="4"/>
      <c r="AF241" s="4"/>
      <c r="AG241" s="4"/>
      <c r="AH241" s="9"/>
      <c r="AI241" s="9"/>
      <c r="AJ241" s="9"/>
      <c r="AK241" s="9" t="s">
        <v>30</v>
      </c>
      <c r="AL241" s="10"/>
      <c r="AM241" s="10"/>
      <c r="AN241" s="10"/>
      <c r="AO241" s="10"/>
      <c r="AP241" s="10"/>
      <c r="AQ241" s="11">
        <v>9</v>
      </c>
      <c r="AR241" s="4"/>
      <c r="AS241" s="10" t="s">
        <v>952</v>
      </c>
      <c r="AT241" s="10"/>
      <c r="AU241" s="10"/>
      <c r="AV241" s="10"/>
      <c r="AW241" s="10"/>
      <c r="AX241" s="10"/>
      <c r="AY241" s="10"/>
      <c r="AZ241" s="10"/>
      <c r="BA241" s="10"/>
      <c r="BB241" s="10"/>
      <c r="BC241" s="10"/>
      <c r="BD241" s="10"/>
      <c r="BE241" s="10"/>
      <c r="BF241" s="10"/>
    </row>
    <row r="242" spans="1:58" ht="165" hidden="1" x14ac:dyDescent="0.25">
      <c r="A242" s="4" t="s">
        <v>240</v>
      </c>
      <c r="B242" s="4"/>
      <c r="C242" s="4" t="s">
        <v>186</v>
      </c>
      <c r="D242" s="4" t="s">
        <v>131</v>
      </c>
      <c r="E242" s="5"/>
      <c r="F242" s="6"/>
      <c r="G242" s="4" t="s">
        <v>26</v>
      </c>
      <c r="H242" s="49" t="s">
        <v>241</v>
      </c>
      <c r="I242" s="12"/>
      <c r="J242" s="12"/>
      <c r="K242" s="12"/>
      <c r="L242" s="12"/>
      <c r="M242" s="51"/>
      <c r="N242" s="12"/>
      <c r="O242" s="12"/>
      <c r="P242" s="12"/>
      <c r="Q242" s="12"/>
      <c r="R242" s="12"/>
      <c r="S242" s="12"/>
      <c r="T242" s="12"/>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v>6</v>
      </c>
      <c r="AR242" s="4"/>
      <c r="AS242" s="10" t="s">
        <v>952</v>
      </c>
      <c r="AT242" s="10"/>
      <c r="AU242" s="10"/>
      <c r="AV242" s="10"/>
      <c r="AW242" s="10"/>
      <c r="AX242" s="10"/>
      <c r="AY242" s="10"/>
      <c r="AZ242" s="10"/>
      <c r="BA242" s="10"/>
      <c r="BB242" s="10"/>
      <c r="BC242" s="10"/>
      <c r="BD242" s="10"/>
      <c r="BE242" s="10"/>
      <c r="BF242" s="10"/>
    </row>
    <row r="243" spans="1:58" ht="75" hidden="1" x14ac:dyDescent="0.25">
      <c r="A243" s="4" t="s">
        <v>242</v>
      </c>
      <c r="B243" s="4"/>
      <c r="C243" s="4" t="s">
        <v>186</v>
      </c>
      <c r="D243" s="4" t="s">
        <v>131</v>
      </c>
      <c r="E243" s="5"/>
      <c r="F243" s="6"/>
      <c r="G243" s="4" t="s">
        <v>26</v>
      </c>
      <c r="H243" s="49" t="s">
        <v>243</v>
      </c>
      <c r="I243" s="12"/>
      <c r="J243" s="12"/>
      <c r="K243" s="12"/>
      <c r="L243" s="12"/>
      <c r="M243" s="51"/>
      <c r="N243" s="12"/>
      <c r="O243" s="12"/>
      <c r="P243" s="12"/>
      <c r="Q243" s="12"/>
      <c r="R243" s="12"/>
      <c r="S243" s="12"/>
      <c r="T243" s="12"/>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5</v>
      </c>
      <c r="AR243" s="4"/>
      <c r="AS243" s="10" t="s">
        <v>952</v>
      </c>
      <c r="AT243" s="10"/>
      <c r="AU243" s="10"/>
      <c r="AV243" s="10"/>
      <c r="AW243" s="10"/>
      <c r="AX243" s="10"/>
      <c r="AY243" s="10"/>
      <c r="AZ243" s="10"/>
      <c r="BA243" s="10"/>
      <c r="BB243" s="10"/>
      <c r="BC243" s="10"/>
      <c r="BD243" s="10"/>
      <c r="BE243" s="10"/>
      <c r="BF243" s="10"/>
    </row>
    <row r="244" spans="1:58" ht="90" hidden="1" x14ac:dyDescent="0.25">
      <c r="A244" s="4" t="s">
        <v>328</v>
      </c>
      <c r="B244" s="4"/>
      <c r="C244" s="4" t="s">
        <v>186</v>
      </c>
      <c r="D244" s="4" t="s">
        <v>131</v>
      </c>
      <c r="E244" s="5"/>
      <c r="F244" s="6"/>
      <c r="G244" s="4" t="s">
        <v>26</v>
      </c>
      <c r="H244" s="49" t="s">
        <v>329</v>
      </c>
      <c r="I244" s="12"/>
      <c r="J244" s="12"/>
      <c r="K244" s="12"/>
      <c r="L244" s="12"/>
      <c r="M244" s="51"/>
      <c r="N244" s="12"/>
      <c r="O244" s="12"/>
      <c r="P244" s="12"/>
      <c r="Q244" s="12"/>
      <c r="R244" s="12"/>
      <c r="S244" s="12"/>
      <c r="T244" s="12"/>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7</v>
      </c>
      <c r="AR244" s="4"/>
      <c r="AS244" s="10" t="s">
        <v>952</v>
      </c>
      <c r="AT244" s="10"/>
      <c r="AU244" s="10"/>
      <c r="AV244" s="10"/>
      <c r="AW244" s="10"/>
      <c r="AX244" s="10"/>
      <c r="AY244" s="10"/>
      <c r="AZ244" s="10"/>
      <c r="BA244" s="10"/>
      <c r="BB244" s="10"/>
      <c r="BC244" s="10"/>
      <c r="BD244" s="10"/>
      <c r="BE244" s="10"/>
      <c r="BF244" s="10"/>
    </row>
    <row r="245" spans="1:58" ht="45" hidden="1" x14ac:dyDescent="0.25">
      <c r="A245" s="4" t="s">
        <v>970</v>
      </c>
      <c r="B245" s="4"/>
      <c r="C245" s="4" t="s">
        <v>186</v>
      </c>
      <c r="D245" s="4" t="s">
        <v>23</v>
      </c>
      <c r="E245" s="5" t="s">
        <v>34</v>
      </c>
      <c r="F245" s="6"/>
      <c r="G245" s="4" t="s">
        <v>26</v>
      </c>
      <c r="H245" s="4" t="s">
        <v>367</v>
      </c>
      <c r="I245" s="12">
        <v>36.299999999999997</v>
      </c>
      <c r="J245" s="12">
        <v>36.299999999999997</v>
      </c>
      <c r="K245" s="12"/>
      <c r="L245" s="12">
        <v>9.4E-2</v>
      </c>
      <c r="M245" s="51">
        <v>0.09</v>
      </c>
      <c r="N245" s="12"/>
      <c r="O245" s="12"/>
      <c r="P245" s="12"/>
      <c r="Q245" s="12"/>
      <c r="R245" s="12">
        <f>540+360+60</f>
        <v>960</v>
      </c>
      <c r="S245" s="12">
        <v>960</v>
      </c>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v>10</v>
      </c>
      <c r="AR245" s="4"/>
      <c r="AS245" s="10" t="s">
        <v>953</v>
      </c>
      <c r="AT245" s="10"/>
      <c r="AU245" s="10"/>
      <c r="AV245" s="10"/>
      <c r="AW245" s="10"/>
      <c r="AX245" s="10"/>
      <c r="AY245" s="10"/>
      <c r="AZ245" s="10"/>
      <c r="BA245" s="10"/>
      <c r="BB245" s="10"/>
      <c r="BC245" s="10"/>
      <c r="BD245" s="10"/>
      <c r="BE245" s="10"/>
      <c r="BF245" s="10"/>
    </row>
    <row r="246" spans="1:58" ht="60" hidden="1" x14ac:dyDescent="0.25">
      <c r="A246" s="4" t="s">
        <v>505</v>
      </c>
      <c r="B246" s="4"/>
      <c r="C246" s="4" t="s">
        <v>186</v>
      </c>
      <c r="D246" s="4" t="s">
        <v>131</v>
      </c>
      <c r="E246" s="5" t="s">
        <v>24</v>
      </c>
      <c r="F246" s="6"/>
      <c r="G246" s="4" t="s">
        <v>26</v>
      </c>
      <c r="H246" s="49" t="s">
        <v>506</v>
      </c>
      <c r="I246" s="12"/>
      <c r="J246" s="12"/>
      <c r="K246" s="12"/>
      <c r="L246" s="12"/>
      <c r="M246" s="51"/>
      <c r="N246" s="12"/>
      <c r="O246" s="12"/>
      <c r="P246" s="12"/>
      <c r="Q246" s="12"/>
      <c r="R246" s="12"/>
      <c r="S246" s="12"/>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c r="AR246" s="4" t="s">
        <v>507</v>
      </c>
      <c r="AS246" s="10" t="s">
        <v>952</v>
      </c>
      <c r="AT246" s="10"/>
      <c r="AU246" s="10"/>
      <c r="AV246" s="10"/>
      <c r="AW246" s="10"/>
      <c r="AX246" s="10"/>
      <c r="AY246" s="10"/>
      <c r="AZ246" s="10"/>
      <c r="BA246" s="10"/>
      <c r="BB246" s="10"/>
      <c r="BC246" s="10"/>
      <c r="BD246" s="10"/>
      <c r="BE246" s="10"/>
      <c r="BF246" s="10"/>
    </row>
    <row r="247" spans="1:58" ht="30" hidden="1" x14ac:dyDescent="0.25">
      <c r="A247" s="4" t="s">
        <v>508</v>
      </c>
      <c r="B247" s="4"/>
      <c r="C247" s="4" t="s">
        <v>186</v>
      </c>
      <c r="D247" s="4" t="s">
        <v>23</v>
      </c>
      <c r="E247" s="5" t="s">
        <v>34</v>
      </c>
      <c r="F247" s="6"/>
      <c r="G247" s="4" t="s">
        <v>26</v>
      </c>
      <c r="H247" s="4" t="s">
        <v>1016</v>
      </c>
      <c r="I247" s="12">
        <v>50</v>
      </c>
      <c r="J247" s="12">
        <v>50</v>
      </c>
      <c r="K247" s="12"/>
      <c r="L247" s="12">
        <v>0.25</v>
      </c>
      <c r="M247" s="12">
        <v>0.25</v>
      </c>
      <c r="N247" s="12"/>
      <c r="O247" s="12"/>
      <c r="P247" s="12"/>
      <c r="Q247" s="12"/>
      <c r="R247" s="12">
        <v>2500</v>
      </c>
      <c r="S247" s="12">
        <v>2500</v>
      </c>
      <c r="T247" s="12"/>
      <c r="U247" s="12"/>
      <c r="V247" s="12"/>
      <c r="W247" s="7"/>
      <c r="X247" s="12"/>
      <c r="Y247" s="7"/>
      <c r="Z247" s="7"/>
      <c r="AA247" s="7"/>
      <c r="AB247" s="7"/>
      <c r="AC247" s="7"/>
      <c r="AD247" s="4"/>
      <c r="AE247" s="4"/>
      <c r="AF247" s="4"/>
      <c r="AG247" s="4"/>
      <c r="AH247" s="9"/>
      <c r="AI247" s="9"/>
      <c r="AJ247" s="9"/>
      <c r="AK247" s="9" t="s">
        <v>30</v>
      </c>
      <c r="AL247" s="10"/>
      <c r="AM247" s="10"/>
      <c r="AN247" s="10"/>
      <c r="AO247" s="10"/>
      <c r="AP247" s="10"/>
      <c r="AQ247" s="11">
        <v>9</v>
      </c>
      <c r="AR247" s="4"/>
      <c r="AS247" s="10" t="s">
        <v>953</v>
      </c>
      <c r="AT247" s="10"/>
      <c r="AU247" s="10"/>
      <c r="AV247" s="10"/>
      <c r="AW247" s="10"/>
      <c r="AX247" s="10"/>
      <c r="AY247" s="10"/>
      <c r="AZ247" s="10"/>
      <c r="BA247" s="10"/>
      <c r="BB247" s="10"/>
      <c r="BC247" s="10"/>
      <c r="BD247" s="10"/>
      <c r="BE247" s="10"/>
      <c r="BF247" s="10"/>
    </row>
    <row r="248" spans="1:58" ht="30" hidden="1" x14ac:dyDescent="0.25">
      <c r="A248" s="4" t="s">
        <v>509</v>
      </c>
      <c r="B248" s="4"/>
      <c r="C248" s="4" t="s">
        <v>186</v>
      </c>
      <c r="D248" s="4" t="s">
        <v>23</v>
      </c>
      <c r="E248" s="5" t="s">
        <v>34</v>
      </c>
      <c r="F248" s="6"/>
      <c r="G248" s="4" t="s">
        <v>26</v>
      </c>
      <c r="H248" s="4" t="s">
        <v>1016</v>
      </c>
      <c r="I248" s="12">
        <v>70</v>
      </c>
      <c r="J248" s="12">
        <v>70</v>
      </c>
      <c r="K248" s="12"/>
      <c r="L248" s="12">
        <v>0.3</v>
      </c>
      <c r="M248" s="12">
        <v>0.3</v>
      </c>
      <c r="N248" s="12"/>
      <c r="O248" s="12"/>
      <c r="P248" s="12"/>
      <c r="Q248" s="12"/>
      <c r="R248" s="12">
        <v>1800</v>
      </c>
      <c r="S248" s="12">
        <v>1800</v>
      </c>
      <c r="T248" s="12"/>
      <c r="U248" s="12"/>
      <c r="V248" s="12"/>
      <c r="W248" s="7"/>
      <c r="X248" s="12"/>
      <c r="Y248" s="7">
        <v>4</v>
      </c>
      <c r="Z248" s="7"/>
      <c r="AA248" s="7"/>
      <c r="AB248" s="7"/>
      <c r="AC248" s="7"/>
      <c r="AD248" s="4"/>
      <c r="AE248" s="4"/>
      <c r="AF248" s="4"/>
      <c r="AG248" s="4"/>
      <c r="AH248" s="9"/>
      <c r="AI248" s="9"/>
      <c r="AJ248" s="9"/>
      <c r="AK248" s="9" t="s">
        <v>30</v>
      </c>
      <c r="AL248" s="10"/>
      <c r="AM248" s="10"/>
      <c r="AN248" s="10"/>
      <c r="AO248" s="10"/>
      <c r="AP248" s="10"/>
      <c r="AQ248" s="11" t="s">
        <v>510</v>
      </c>
      <c r="AR248" s="4"/>
      <c r="AS248" s="10" t="s">
        <v>953</v>
      </c>
      <c r="AT248" s="10"/>
      <c r="AU248" s="10"/>
      <c r="AV248" s="10"/>
      <c r="AW248" s="10"/>
      <c r="AX248" s="10"/>
      <c r="AY248" s="10"/>
      <c r="AZ248" s="10"/>
      <c r="BA248" s="10"/>
      <c r="BB248" s="10"/>
      <c r="BC248" s="10"/>
      <c r="BD248" s="10"/>
      <c r="BE248" s="10"/>
      <c r="BF248" s="10"/>
    </row>
    <row r="249" spans="1:58" ht="45" hidden="1" x14ac:dyDescent="0.25">
      <c r="A249" s="4" t="s">
        <v>714</v>
      </c>
      <c r="B249" s="4"/>
      <c r="C249" s="4" t="s">
        <v>186</v>
      </c>
      <c r="D249" s="4" t="s">
        <v>131</v>
      </c>
      <c r="E249" s="5" t="s">
        <v>24</v>
      </c>
      <c r="F249" s="6"/>
      <c r="G249" s="4" t="s">
        <v>26</v>
      </c>
      <c r="H249" s="49" t="s">
        <v>524</v>
      </c>
      <c r="I249" s="12" t="s">
        <v>525</v>
      </c>
      <c r="J249" s="12">
        <v>100</v>
      </c>
      <c r="K249" s="12"/>
      <c r="L249" s="12" t="s">
        <v>1195</v>
      </c>
      <c r="M249" s="51">
        <v>0.54</v>
      </c>
      <c r="N249" s="12"/>
      <c r="O249" s="12">
        <v>0</v>
      </c>
      <c r="P249" s="12"/>
      <c r="Q249" s="12"/>
      <c r="R249" s="12">
        <v>0</v>
      </c>
      <c r="S249" s="12"/>
      <c r="T249" s="12"/>
      <c r="U249" s="12"/>
      <c r="V249" s="12"/>
      <c r="W249" s="7"/>
      <c r="X249" s="12"/>
      <c r="Y249" s="7"/>
      <c r="Z249" s="7"/>
      <c r="AA249" s="7"/>
      <c r="AB249" s="7"/>
      <c r="AC249" s="7"/>
      <c r="AD249" s="4"/>
      <c r="AE249" s="4"/>
      <c r="AF249" s="4"/>
      <c r="AG249" s="4"/>
      <c r="AH249" s="9"/>
      <c r="AI249" s="9"/>
      <c r="AJ249" s="9"/>
      <c r="AK249" s="9" t="s">
        <v>30</v>
      </c>
      <c r="AL249" s="10"/>
      <c r="AM249" s="10"/>
      <c r="AN249" s="10"/>
      <c r="AO249" s="10"/>
      <c r="AP249" s="10"/>
      <c r="AQ249" s="11" t="s">
        <v>526</v>
      </c>
      <c r="AR249" s="4"/>
      <c r="AS249" s="10"/>
      <c r="AT249" s="10"/>
      <c r="AU249" s="10"/>
      <c r="AV249" s="10"/>
      <c r="AW249" s="10"/>
      <c r="AX249" s="10"/>
      <c r="AY249" s="10"/>
      <c r="AZ249" s="10"/>
      <c r="BA249" s="10"/>
      <c r="BB249" s="10"/>
      <c r="BC249" s="10"/>
      <c r="BD249" s="10"/>
      <c r="BE249" s="10"/>
      <c r="BF249" s="10"/>
    </row>
    <row r="250" spans="1:58" ht="135" hidden="1" x14ac:dyDescent="0.25">
      <c r="A250" s="19" t="s">
        <v>980</v>
      </c>
      <c r="B250" s="4"/>
      <c r="C250" s="4" t="s">
        <v>139</v>
      </c>
      <c r="D250" s="4" t="s">
        <v>23</v>
      </c>
      <c r="E250" s="5" t="s">
        <v>34</v>
      </c>
      <c r="F250" s="6"/>
      <c r="G250" s="4" t="s">
        <v>26</v>
      </c>
      <c r="H250" s="49" t="s">
        <v>140</v>
      </c>
      <c r="I250" s="7">
        <v>72.599999999999994</v>
      </c>
      <c r="J250" s="7"/>
      <c r="K250" s="7"/>
      <c r="L250" s="7">
        <v>0.56999999999999995</v>
      </c>
      <c r="M250" s="51"/>
      <c r="N250" s="7"/>
      <c r="O250" s="7"/>
      <c r="P250" s="7"/>
      <c r="Q250" s="7"/>
      <c r="R250" s="7">
        <v>388</v>
      </c>
      <c r="S250" s="7"/>
      <c r="T250" s="7"/>
      <c r="U250" s="12"/>
      <c r="V250" s="12"/>
      <c r="W250" s="7"/>
      <c r="X250" s="12"/>
      <c r="Y250" s="7">
        <v>4</v>
      </c>
      <c r="Z250" s="7"/>
      <c r="AA250" s="7"/>
      <c r="AB250" s="7"/>
      <c r="AC250" s="7"/>
      <c r="AD250" s="4"/>
      <c r="AE250" s="4"/>
      <c r="AF250" s="4"/>
      <c r="AG250" s="4"/>
      <c r="AH250" s="9" t="s">
        <v>142</v>
      </c>
      <c r="AI250" s="9" t="s">
        <v>143</v>
      </c>
      <c r="AJ250" s="9"/>
      <c r="AK250" s="9" t="s">
        <v>30</v>
      </c>
      <c r="AL250" s="10"/>
      <c r="AM250" s="10"/>
      <c r="AN250" s="10"/>
      <c r="AO250" s="10"/>
      <c r="AP250" s="10"/>
      <c r="AQ250" s="11" t="s">
        <v>144</v>
      </c>
      <c r="AR250" s="4"/>
      <c r="AS250" s="10" t="s">
        <v>873</v>
      </c>
      <c r="AT250" s="10"/>
      <c r="AU250" s="10"/>
      <c r="AV250" s="10"/>
      <c r="AW250" s="10"/>
      <c r="AX250" s="10"/>
      <c r="AY250" s="10"/>
      <c r="AZ250" s="10"/>
      <c r="BA250" s="10"/>
      <c r="BB250" s="10"/>
      <c r="BC250" s="10" t="s">
        <v>141</v>
      </c>
      <c r="BD250" s="10"/>
      <c r="BE250" s="10"/>
      <c r="BF250" s="10"/>
    </row>
    <row r="251" spans="1:58" ht="75" hidden="1" x14ac:dyDescent="0.25">
      <c r="A251" s="19" t="s">
        <v>984</v>
      </c>
      <c r="B251" s="4"/>
      <c r="C251" s="4" t="s">
        <v>139</v>
      </c>
      <c r="D251" s="4" t="s">
        <v>23</v>
      </c>
      <c r="E251" s="5" t="s">
        <v>34</v>
      </c>
      <c r="F251" s="6"/>
      <c r="G251" s="4" t="s">
        <v>26</v>
      </c>
      <c r="H251" s="49" t="s">
        <v>162</v>
      </c>
      <c r="I251" s="7"/>
      <c r="J251" s="7"/>
      <c r="K251" s="7"/>
      <c r="L251" s="7"/>
      <c r="M251" s="51"/>
      <c r="N251" s="7"/>
      <c r="O251" s="7"/>
      <c r="P251" s="7"/>
      <c r="Q251" s="7"/>
      <c r="R251" s="7"/>
      <c r="S251" s="7"/>
      <c r="T251" s="7"/>
      <c r="U251" s="12"/>
      <c r="V251" s="12"/>
      <c r="W251" s="7"/>
      <c r="X251" s="12"/>
      <c r="Y251" s="7">
        <v>3</v>
      </c>
      <c r="Z251" s="7"/>
      <c r="AA251" s="7"/>
      <c r="AB251" s="7"/>
      <c r="AC251" s="7"/>
      <c r="AD251" s="4"/>
      <c r="AE251" s="4"/>
      <c r="AF251" s="4"/>
      <c r="AG251" s="4"/>
      <c r="AH251" s="9" t="s">
        <v>163</v>
      </c>
      <c r="AI251" s="9" t="s">
        <v>64</v>
      </c>
      <c r="AJ251" s="9"/>
      <c r="AK251" s="9" t="s">
        <v>30</v>
      </c>
      <c r="AL251" s="10"/>
      <c r="AM251" s="10"/>
      <c r="AN251" s="10"/>
      <c r="AO251" s="10"/>
      <c r="AP251" s="10"/>
      <c r="AQ251" s="11" t="s">
        <v>144</v>
      </c>
      <c r="AR251" s="4"/>
      <c r="AS251" s="10" t="s">
        <v>873</v>
      </c>
      <c r="AT251" s="10"/>
      <c r="AU251" s="10"/>
      <c r="AV251" s="10"/>
      <c r="AW251" s="10"/>
      <c r="AX251" s="10"/>
      <c r="AY251" s="10"/>
      <c r="AZ251" s="10"/>
      <c r="BA251" s="10"/>
      <c r="BB251" s="10"/>
      <c r="BC251" s="10">
        <v>422</v>
      </c>
      <c r="BD251" s="10"/>
      <c r="BE251" s="10"/>
      <c r="BF251" s="10"/>
    </row>
    <row r="252" spans="1:58" ht="45" hidden="1" x14ac:dyDescent="0.25">
      <c r="A252" s="19" t="s">
        <v>977</v>
      </c>
      <c r="B252" s="4"/>
      <c r="C252" s="4" t="s">
        <v>139</v>
      </c>
      <c r="D252" s="4" t="s">
        <v>131</v>
      </c>
      <c r="E252" s="5"/>
      <c r="F252" s="6"/>
      <c r="G252" s="49" t="s">
        <v>26</v>
      </c>
      <c r="H252" s="4"/>
      <c r="I252" s="12"/>
      <c r="J252" s="12"/>
      <c r="K252" s="12"/>
      <c r="L252" s="12"/>
      <c r="M252" s="51"/>
      <c r="N252" s="12"/>
      <c r="O252" s="12"/>
      <c r="P252" s="12"/>
      <c r="Q252" s="12"/>
      <c r="R252" s="7"/>
      <c r="S252" s="7"/>
      <c r="T252" s="7"/>
      <c r="U252" s="12"/>
      <c r="V252" s="12"/>
      <c r="W252" s="7"/>
      <c r="X252" s="12"/>
      <c r="Y252" s="7"/>
      <c r="Z252" s="7"/>
      <c r="AA252" s="7"/>
      <c r="AB252" s="7"/>
      <c r="AC252" s="7"/>
      <c r="AD252" s="4"/>
      <c r="AE252" s="4"/>
      <c r="AF252" s="4"/>
      <c r="AG252" s="4"/>
      <c r="AH252" s="9"/>
      <c r="AI252" s="9"/>
      <c r="AJ252" s="9"/>
      <c r="AK252" s="9" t="s">
        <v>183</v>
      </c>
      <c r="AL252" s="10"/>
      <c r="AM252" s="10"/>
      <c r="AN252" s="10"/>
      <c r="AO252" s="10"/>
      <c r="AP252" s="10"/>
      <c r="AQ252" s="11"/>
      <c r="AR252" s="4"/>
      <c r="AS252" s="10" t="s">
        <v>931</v>
      </c>
      <c r="AT252" s="10"/>
      <c r="AU252" s="10"/>
      <c r="AV252" s="10"/>
      <c r="AW252" s="10"/>
      <c r="AX252" s="10"/>
      <c r="AY252" s="10"/>
      <c r="AZ252" s="10"/>
      <c r="BA252" s="10"/>
      <c r="BB252" s="10"/>
      <c r="BC252" s="10"/>
      <c r="BD252" s="10"/>
      <c r="BE252" s="10"/>
      <c r="BF252" s="10"/>
    </row>
    <row r="253" spans="1:58" ht="105" x14ac:dyDescent="0.25">
      <c r="A253" s="19" t="s">
        <v>390</v>
      </c>
      <c r="B253" s="4" t="s">
        <v>1471</v>
      </c>
      <c r="C253" s="4" t="s">
        <v>139</v>
      </c>
      <c r="D253" s="4" t="s">
        <v>23</v>
      </c>
      <c r="E253" s="5" t="s">
        <v>34</v>
      </c>
      <c r="F253" s="4"/>
      <c r="G253" s="4" t="s">
        <v>35</v>
      </c>
      <c r="H253" s="49" t="s">
        <v>391</v>
      </c>
      <c r="I253" s="12"/>
      <c r="J253" s="12"/>
      <c r="K253" s="12"/>
      <c r="L253" s="12"/>
      <c r="M253" s="51"/>
      <c r="N253" s="12"/>
      <c r="O253" s="12"/>
      <c r="P253" s="12"/>
      <c r="Q253" s="12"/>
      <c r="R253" s="12"/>
      <c r="S253" s="12"/>
      <c r="T253" s="12"/>
      <c r="U253" s="12"/>
      <c r="V253" s="12"/>
      <c r="W253" s="7"/>
      <c r="X253" s="12">
        <v>0</v>
      </c>
      <c r="Y253" s="7"/>
      <c r="Z253" s="7"/>
      <c r="AA253" s="7"/>
      <c r="AB253" s="7"/>
      <c r="AC253" s="7"/>
      <c r="AD253" s="4"/>
      <c r="AE253" s="4"/>
      <c r="AF253" s="4"/>
      <c r="AG253" s="4"/>
      <c r="AH253" s="9" t="s">
        <v>392</v>
      </c>
      <c r="AI253" s="9" t="s">
        <v>393</v>
      </c>
      <c r="AJ253" s="9"/>
      <c r="AK253" s="9" t="s">
        <v>30</v>
      </c>
      <c r="AL253" s="10"/>
      <c r="AM253" s="10"/>
      <c r="AN253" s="10"/>
      <c r="AO253" s="10"/>
      <c r="AP253" s="10"/>
      <c r="AQ253" s="11">
        <v>1</v>
      </c>
      <c r="AR253" s="4"/>
      <c r="AS253" s="10"/>
      <c r="AT253" s="10"/>
      <c r="AU253" s="10"/>
      <c r="AV253" s="10"/>
      <c r="AW253" s="10"/>
      <c r="AX253" s="10"/>
      <c r="AY253" s="10"/>
      <c r="AZ253" s="10"/>
      <c r="BA253" s="10"/>
      <c r="BB253" s="10"/>
      <c r="BC253" s="10"/>
      <c r="BD253" s="10"/>
      <c r="BE253" s="10"/>
      <c r="BF253" s="10"/>
    </row>
    <row r="254" spans="1:58" ht="195" x14ac:dyDescent="0.25">
      <c r="A254" s="19" t="s">
        <v>405</v>
      </c>
      <c r="B254" s="4" t="s">
        <v>1474</v>
      </c>
      <c r="C254" s="4" t="s">
        <v>139</v>
      </c>
      <c r="D254" s="4" t="s">
        <v>23</v>
      </c>
      <c r="E254" s="5" t="s">
        <v>34</v>
      </c>
      <c r="F254" s="4"/>
      <c r="G254" s="4" t="s">
        <v>35</v>
      </c>
      <c r="H254" s="49" t="s">
        <v>406</v>
      </c>
      <c r="I254" s="12" t="s">
        <v>407</v>
      </c>
      <c r="J254" s="12"/>
      <c r="K254" s="12"/>
      <c r="L254" s="12" t="s">
        <v>746</v>
      </c>
      <c r="M254" s="51"/>
      <c r="N254" s="12"/>
      <c r="O254" s="12" t="s">
        <v>408</v>
      </c>
      <c r="P254" s="12"/>
      <c r="Q254" s="12"/>
      <c r="R254" s="12" t="s">
        <v>409</v>
      </c>
      <c r="S254" s="12"/>
      <c r="T254" s="12"/>
      <c r="U254" s="12"/>
      <c r="V254" s="12"/>
      <c r="W254" s="7">
        <v>100</v>
      </c>
      <c r="X254" s="12"/>
      <c r="Y254" s="7" t="s">
        <v>411</v>
      </c>
      <c r="Z254" s="7">
        <v>4</v>
      </c>
      <c r="AA254" s="7">
        <v>0.75</v>
      </c>
      <c r="AB254" s="15"/>
      <c r="AC254" s="7"/>
      <c r="AD254" s="4" t="s">
        <v>412</v>
      </c>
      <c r="AE254" s="4"/>
      <c r="AF254" s="4"/>
      <c r="AG254" s="4"/>
      <c r="AH254" s="9" t="s">
        <v>413</v>
      </c>
      <c r="AI254" s="9" t="s">
        <v>414</v>
      </c>
      <c r="AJ254" s="9" t="s">
        <v>415</v>
      </c>
      <c r="AK254" s="9" t="s">
        <v>416</v>
      </c>
      <c r="AL254" s="10" t="s">
        <v>417</v>
      </c>
      <c r="AM254" s="10" t="s">
        <v>418</v>
      </c>
      <c r="AN254" s="10"/>
      <c r="AO254" s="10" t="s">
        <v>419</v>
      </c>
      <c r="AP254" s="10"/>
      <c r="AQ254" s="11" t="s">
        <v>420</v>
      </c>
      <c r="AR254" s="4"/>
      <c r="AS254" s="10"/>
      <c r="AT254" s="10"/>
      <c r="AU254" s="10"/>
      <c r="AV254" s="10"/>
      <c r="AW254" s="10"/>
      <c r="AX254" s="10"/>
      <c r="AY254" s="10" t="s">
        <v>850</v>
      </c>
      <c r="AZ254" s="10" t="s">
        <v>854</v>
      </c>
      <c r="BA254" s="10" t="s">
        <v>873</v>
      </c>
      <c r="BB254" s="10"/>
      <c r="BC254" s="10" t="s">
        <v>410</v>
      </c>
      <c r="BD254" s="10" t="s">
        <v>1176</v>
      </c>
      <c r="BE254" s="10"/>
      <c r="BF254" s="10"/>
    </row>
    <row r="255" spans="1:58" ht="75" hidden="1" x14ac:dyDescent="0.25">
      <c r="A255" s="811" t="s">
        <v>966</v>
      </c>
      <c r="B255" s="4"/>
      <c r="C255" s="4" t="s">
        <v>139</v>
      </c>
      <c r="D255" s="4" t="s">
        <v>23</v>
      </c>
      <c r="E255" s="5" t="s">
        <v>34</v>
      </c>
      <c r="F255" s="6"/>
      <c r="G255" s="4" t="s">
        <v>67</v>
      </c>
      <c r="H255" s="4" t="s">
        <v>477</v>
      </c>
      <c r="I255" s="12"/>
      <c r="J255" s="12"/>
      <c r="K255" s="12"/>
      <c r="L255" s="12"/>
      <c r="M255" s="51"/>
      <c r="N255" s="12"/>
      <c r="O255" s="12"/>
      <c r="P255" s="12"/>
      <c r="Q255" s="12"/>
      <c r="R255" s="12"/>
      <c r="S255" s="12"/>
      <c r="T255" s="12"/>
      <c r="U255" s="12"/>
      <c r="V255" s="12"/>
      <c r="W255" s="7"/>
      <c r="X255" s="12"/>
      <c r="Y255" s="7"/>
      <c r="Z255" s="7"/>
      <c r="AA255" s="7"/>
      <c r="AB255" s="7"/>
      <c r="AC255" s="7"/>
      <c r="AD255" s="4"/>
      <c r="AE255" s="4"/>
      <c r="AF255" s="4"/>
      <c r="AG255" s="4"/>
      <c r="AH255" s="9" t="s">
        <v>478</v>
      </c>
      <c r="AI255" s="9"/>
      <c r="AJ255" s="9"/>
      <c r="AK255" s="9" t="s">
        <v>479</v>
      </c>
      <c r="AL255" s="10"/>
      <c r="AM255" s="10"/>
      <c r="AN255" s="10"/>
      <c r="AO255" s="10"/>
      <c r="AP255" s="10"/>
      <c r="AQ255" s="11">
        <v>1</v>
      </c>
      <c r="AR255" s="4"/>
      <c r="AS255" s="10" t="s">
        <v>852</v>
      </c>
      <c r="AT255" s="10"/>
      <c r="AU255" s="10"/>
      <c r="AV255" s="10"/>
      <c r="AW255" s="10"/>
      <c r="AX255" s="10"/>
      <c r="AY255" s="10"/>
      <c r="AZ255" s="10"/>
      <c r="BA255" s="10"/>
      <c r="BB255" s="10"/>
      <c r="BC255" s="10">
        <v>920</v>
      </c>
      <c r="BD255" s="10"/>
      <c r="BE255" s="10"/>
      <c r="BF255" s="10"/>
    </row>
    <row r="256" spans="1:58" ht="90" x14ac:dyDescent="0.25">
      <c r="A256" s="4" t="s">
        <v>965</v>
      </c>
      <c r="B256" s="4"/>
      <c r="C256" s="4" t="s">
        <v>139</v>
      </c>
      <c r="D256" s="4" t="s">
        <v>23</v>
      </c>
      <c r="E256" s="5" t="s">
        <v>34</v>
      </c>
      <c r="F256" s="4"/>
      <c r="G256" s="4" t="s">
        <v>35</v>
      </c>
      <c r="H256" s="49" t="s">
        <v>489</v>
      </c>
      <c r="I256" s="12"/>
      <c r="J256" s="12"/>
      <c r="K256" s="12"/>
      <c r="L256" s="12"/>
      <c r="M256" s="51"/>
      <c r="N256" s="12"/>
      <c r="O256" s="12"/>
      <c r="P256" s="12"/>
      <c r="Q256" s="12"/>
      <c r="R256" s="12"/>
      <c r="S256" s="12"/>
      <c r="T256" s="12"/>
      <c r="U256" s="12"/>
      <c r="V256" s="12"/>
      <c r="W256" s="7"/>
      <c r="X256" s="12"/>
      <c r="Y256" s="7">
        <v>4</v>
      </c>
      <c r="Z256" s="7"/>
      <c r="AA256" s="7"/>
      <c r="AB256" s="7"/>
      <c r="AC256" s="7"/>
      <c r="AD256" s="4"/>
      <c r="AE256" s="4"/>
      <c r="AF256" s="4"/>
      <c r="AG256" s="4"/>
      <c r="AH256" s="9" t="s">
        <v>492</v>
      </c>
      <c r="AI256" s="9" t="s">
        <v>493</v>
      </c>
      <c r="AJ256" s="9"/>
      <c r="AK256" s="9" t="s">
        <v>494</v>
      </c>
      <c r="AL256" s="10"/>
      <c r="AM256" s="10"/>
      <c r="AN256" s="10"/>
      <c r="AO256" s="10"/>
      <c r="AP256" s="10"/>
      <c r="AQ256" s="11" t="s">
        <v>144</v>
      </c>
      <c r="AR256" s="4"/>
      <c r="AS256" s="10" t="s">
        <v>873</v>
      </c>
      <c r="AT256" s="10"/>
      <c r="AU256" s="10"/>
      <c r="AV256" s="10"/>
      <c r="AW256" s="10"/>
      <c r="AX256" s="10"/>
      <c r="AY256" s="10"/>
      <c r="AZ256" s="10"/>
      <c r="BA256" s="10"/>
      <c r="BB256" s="10"/>
      <c r="BC256" s="10" t="s">
        <v>490</v>
      </c>
      <c r="BD256" s="10" t="s">
        <v>491</v>
      </c>
      <c r="BE256" s="10"/>
      <c r="BF256" s="10"/>
    </row>
    <row r="257" spans="1:58" ht="45" hidden="1" x14ac:dyDescent="0.25">
      <c r="A257" s="4" t="s">
        <v>512</v>
      </c>
      <c r="B257" s="4"/>
      <c r="C257" s="4" t="s">
        <v>139</v>
      </c>
      <c r="D257" s="4" t="s">
        <v>23</v>
      </c>
      <c r="E257" s="5" t="s">
        <v>34</v>
      </c>
      <c r="F257" s="6"/>
      <c r="G257" s="4" t="s">
        <v>26</v>
      </c>
      <c r="H257" s="4" t="s">
        <v>1017</v>
      </c>
      <c r="I257" s="12" t="s">
        <v>513</v>
      </c>
      <c r="J257" s="12">
        <v>90</v>
      </c>
      <c r="K257" s="12"/>
      <c r="L257" s="12" t="s">
        <v>1194</v>
      </c>
      <c r="M257" s="51">
        <v>4.3600000000000003</v>
      </c>
      <c r="N257" s="12"/>
      <c r="O257" s="12"/>
      <c r="P257" s="12"/>
      <c r="Q257" s="12"/>
      <c r="R257" s="12" t="s">
        <v>514</v>
      </c>
      <c r="S257" s="12">
        <v>180</v>
      </c>
      <c r="T257" s="12"/>
      <c r="U257" s="12"/>
      <c r="V257" s="12"/>
      <c r="W257" s="7"/>
      <c r="X257" s="12"/>
      <c r="Y257" s="7" t="s">
        <v>515</v>
      </c>
      <c r="Z257" s="7"/>
      <c r="AA257" s="7"/>
      <c r="AB257" s="7"/>
      <c r="AC257" s="7"/>
      <c r="AD257" s="4"/>
      <c r="AE257" s="4"/>
      <c r="AF257" s="4"/>
      <c r="AG257" s="4"/>
      <c r="AH257" s="9"/>
      <c r="AI257" s="9"/>
      <c r="AJ257" s="9"/>
      <c r="AK257" s="9" t="s">
        <v>30</v>
      </c>
      <c r="AL257" s="10"/>
      <c r="AM257" s="10"/>
      <c r="AN257" s="10"/>
      <c r="AO257" s="10"/>
      <c r="AP257" s="10"/>
      <c r="AQ257" s="11" t="s">
        <v>516</v>
      </c>
      <c r="AR257" s="4"/>
      <c r="AS257" s="10" t="s">
        <v>869</v>
      </c>
      <c r="AT257" s="10" t="s">
        <v>872</v>
      </c>
      <c r="AU257" s="10"/>
      <c r="AV257" s="10"/>
      <c r="AW257" s="10"/>
      <c r="AX257" s="10"/>
      <c r="AY257" s="10"/>
      <c r="AZ257" s="10"/>
      <c r="BA257" s="10"/>
      <c r="BB257" s="10"/>
      <c r="BC257" s="10"/>
      <c r="BD257" s="10"/>
      <c r="BE257" s="10"/>
      <c r="BF257" s="10"/>
    </row>
    <row r="258" spans="1:58" ht="45" hidden="1" x14ac:dyDescent="0.25">
      <c r="A258" s="4" t="s">
        <v>522</v>
      </c>
      <c r="B258" s="4"/>
      <c r="C258" s="4" t="s">
        <v>139</v>
      </c>
      <c r="D258" s="4" t="s">
        <v>131</v>
      </c>
      <c r="E258" s="5" t="s">
        <v>34</v>
      </c>
      <c r="F258" s="6"/>
      <c r="G258" s="4" t="s">
        <v>26</v>
      </c>
      <c r="H258" s="49" t="s">
        <v>1020</v>
      </c>
      <c r="I258" s="12" t="s">
        <v>826</v>
      </c>
      <c r="J258" s="12">
        <v>150</v>
      </c>
      <c r="K258" s="12"/>
      <c r="L258" s="12" t="s">
        <v>825</v>
      </c>
      <c r="M258" s="51">
        <v>0.3</v>
      </c>
      <c r="N258" s="12"/>
      <c r="O258" s="12"/>
      <c r="P258" s="12"/>
      <c r="Q258" s="12"/>
      <c r="R258" s="12" t="s">
        <v>523</v>
      </c>
      <c r="S258" s="12">
        <v>850</v>
      </c>
      <c r="T258" s="12"/>
      <c r="U258" s="12"/>
      <c r="V258" s="12"/>
      <c r="W258" s="7"/>
      <c r="X258" s="12"/>
      <c r="Y258" s="7" t="s">
        <v>515</v>
      </c>
      <c r="Z258" s="7"/>
      <c r="AA258" s="7"/>
      <c r="AB258" s="7"/>
      <c r="AC258" s="7"/>
      <c r="AD258" s="4"/>
      <c r="AE258" s="4"/>
      <c r="AF258" s="4"/>
      <c r="AG258" s="4"/>
      <c r="AH258" s="9"/>
      <c r="AI258" s="9"/>
      <c r="AJ258" s="9"/>
      <c r="AK258" s="9" t="s">
        <v>30</v>
      </c>
      <c r="AL258" s="10"/>
      <c r="AM258" s="10"/>
      <c r="AN258" s="10"/>
      <c r="AO258" s="10"/>
      <c r="AP258" s="10"/>
      <c r="AQ258" s="11" t="s">
        <v>516</v>
      </c>
      <c r="AR258" s="4"/>
      <c r="AS258" s="10" t="s">
        <v>930</v>
      </c>
      <c r="AT258" s="10"/>
      <c r="AU258" s="10"/>
      <c r="AV258" s="10"/>
      <c r="AW258" s="10"/>
      <c r="AX258" s="10"/>
      <c r="AY258" s="10"/>
      <c r="AZ258" s="10"/>
      <c r="BA258" s="10"/>
      <c r="BB258" s="10"/>
      <c r="BC258" s="10"/>
      <c r="BD258" s="10"/>
      <c r="BE258" s="10"/>
      <c r="BF258" s="10"/>
    </row>
    <row r="259" spans="1:58" ht="90" x14ac:dyDescent="0.25">
      <c r="A259" s="4" t="s">
        <v>678</v>
      </c>
      <c r="B259" s="4"/>
      <c r="C259" s="4" t="s">
        <v>139</v>
      </c>
      <c r="D259" s="4" t="s">
        <v>23</v>
      </c>
      <c r="E259" s="5" t="s">
        <v>34</v>
      </c>
      <c r="F259" s="4"/>
      <c r="G259" s="4" t="s">
        <v>35</v>
      </c>
      <c r="H259" s="49" t="s">
        <v>1053</v>
      </c>
      <c r="I259" s="12">
        <v>154</v>
      </c>
      <c r="J259" s="12">
        <v>154</v>
      </c>
      <c r="K259" s="12"/>
      <c r="L259" s="12">
        <v>0.8</v>
      </c>
      <c r="M259" s="51">
        <v>0.8</v>
      </c>
      <c r="N259" s="12"/>
      <c r="O259" s="12">
        <v>98.44</v>
      </c>
      <c r="P259" s="12">
        <v>98.44</v>
      </c>
      <c r="Q259" s="12"/>
      <c r="R259" s="12">
        <v>448.54</v>
      </c>
      <c r="S259" s="12">
        <v>448.54</v>
      </c>
      <c r="T259" s="12"/>
      <c r="U259" s="12">
        <v>95.48</v>
      </c>
      <c r="V259" s="12">
        <v>95.48</v>
      </c>
      <c r="W259" s="7"/>
      <c r="X259" s="12"/>
      <c r="Y259" s="7">
        <v>3</v>
      </c>
      <c r="Z259" s="7"/>
      <c r="AA259" s="7"/>
      <c r="AB259" s="8"/>
      <c r="AC259" s="7"/>
      <c r="AD259" s="4"/>
      <c r="AE259" s="4"/>
      <c r="AF259" s="4"/>
      <c r="AG259" s="4"/>
      <c r="AH259" s="9"/>
      <c r="AI259" s="9"/>
      <c r="AJ259" s="9"/>
      <c r="AK259" s="9" t="s">
        <v>30</v>
      </c>
      <c r="AL259" s="10"/>
      <c r="AM259" s="10"/>
      <c r="AN259" s="10"/>
      <c r="AO259" s="10"/>
      <c r="AP259" s="10"/>
      <c r="AQ259" s="11" t="s">
        <v>679</v>
      </c>
      <c r="AR259" s="4"/>
      <c r="AS259" s="10" t="s">
        <v>873</v>
      </c>
      <c r="AT259" s="10"/>
      <c r="AU259" s="10"/>
      <c r="AV259" s="10"/>
      <c r="AW259" s="10"/>
      <c r="AX259" s="10"/>
      <c r="AY259" s="10"/>
      <c r="AZ259" s="10"/>
      <c r="BA259" s="10"/>
      <c r="BB259" s="10"/>
      <c r="BC259" s="10"/>
      <c r="BD259" s="10"/>
      <c r="BE259" s="10"/>
      <c r="BF259" s="10"/>
    </row>
    <row r="260" spans="1:58" ht="30" hidden="1" x14ac:dyDescent="0.25">
      <c r="A260" s="4" t="s">
        <v>81</v>
      </c>
      <c r="B260" s="4"/>
      <c r="C260" s="4" t="s">
        <v>139</v>
      </c>
      <c r="D260" s="4" t="s">
        <v>23</v>
      </c>
      <c r="E260" s="5" t="s">
        <v>34</v>
      </c>
      <c r="F260" s="4" t="s">
        <v>678</v>
      </c>
      <c r="G260" s="4" t="s">
        <v>26</v>
      </c>
      <c r="H260" s="4" t="s">
        <v>1047</v>
      </c>
      <c r="I260" s="12"/>
      <c r="J260" s="12"/>
      <c r="K260" s="12"/>
      <c r="L260" s="12"/>
      <c r="M260" s="51"/>
      <c r="N260" s="12"/>
      <c r="O260" s="12"/>
      <c r="P260" s="12"/>
      <c r="Q260" s="12"/>
      <c r="R260" s="12"/>
      <c r="S260" s="12"/>
      <c r="T260" s="12"/>
      <c r="U260" s="12"/>
      <c r="V260" s="12"/>
      <c r="W260" s="7"/>
      <c r="X260" s="12"/>
      <c r="Y260" s="7"/>
      <c r="Z260" s="7"/>
      <c r="AA260" s="7"/>
      <c r="AB260" s="8">
        <f>1/(8*10^-6)</f>
        <v>125000</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c r="BE260" s="10"/>
      <c r="BF260" s="10"/>
    </row>
    <row r="261" spans="1:58" ht="30" hidden="1" x14ac:dyDescent="0.25">
      <c r="A261" s="4" t="s">
        <v>668</v>
      </c>
      <c r="B261" s="4"/>
      <c r="C261" s="4" t="s">
        <v>139</v>
      </c>
      <c r="D261" s="4" t="s">
        <v>23</v>
      </c>
      <c r="E261" s="5" t="s">
        <v>34</v>
      </c>
      <c r="F261" s="4" t="s">
        <v>678</v>
      </c>
      <c r="G261" s="4" t="s">
        <v>26</v>
      </c>
      <c r="H261" s="4" t="s">
        <v>1047</v>
      </c>
      <c r="I261" s="12"/>
      <c r="J261" s="12"/>
      <c r="K261" s="12"/>
      <c r="L261" s="12"/>
      <c r="M261" s="51"/>
      <c r="N261" s="12"/>
      <c r="O261" s="12"/>
      <c r="P261" s="12"/>
      <c r="Q261" s="12"/>
      <c r="R261" s="12"/>
      <c r="S261" s="12"/>
      <c r="T261" s="12"/>
      <c r="U261" s="12"/>
      <c r="V261" s="12"/>
      <c r="W261" s="7"/>
      <c r="X261" s="12"/>
      <c r="Y261" s="7"/>
      <c r="Z261" s="7"/>
      <c r="AA261" s="7"/>
      <c r="AB261" s="8">
        <f>1/(5*10^-7)</f>
        <v>2000000</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c r="BE261" s="10"/>
      <c r="BF261" s="10"/>
    </row>
    <row r="262" spans="1:58" ht="30" hidden="1" x14ac:dyDescent="0.25">
      <c r="A262" s="4" t="s">
        <v>680</v>
      </c>
      <c r="B262" s="4"/>
      <c r="C262" s="4" t="s">
        <v>139</v>
      </c>
      <c r="D262" s="4" t="s">
        <v>23</v>
      </c>
      <c r="E262" s="5" t="s">
        <v>34</v>
      </c>
      <c r="F262" s="4" t="s">
        <v>678</v>
      </c>
      <c r="G262" s="4" t="s">
        <v>26</v>
      </c>
      <c r="H262" s="4" t="s">
        <v>637</v>
      </c>
      <c r="I262" s="12"/>
      <c r="J262" s="12"/>
      <c r="K262" s="12"/>
      <c r="L262" s="12"/>
      <c r="M262" s="51"/>
      <c r="N262" s="12"/>
      <c r="O262" s="12"/>
      <c r="P262" s="12"/>
      <c r="Q262" s="12"/>
      <c r="R262" s="12"/>
      <c r="S262" s="12"/>
      <c r="T262" s="12"/>
      <c r="U262" s="12"/>
      <c r="V262" s="12"/>
      <c r="W262" s="7"/>
      <c r="X262" s="12"/>
      <c r="Y262" s="7"/>
      <c r="Z262" s="7"/>
      <c r="AA262" s="7"/>
      <c r="AB262" s="8">
        <f>1/(2.5*10^-5)</f>
        <v>40000</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c r="BE262" s="10"/>
      <c r="BF262" s="10"/>
    </row>
    <row r="263" spans="1:58" ht="30" hidden="1" x14ac:dyDescent="0.25">
      <c r="A263" s="4" t="s">
        <v>596</v>
      </c>
      <c r="B263" s="4"/>
      <c r="C263" s="4" t="s">
        <v>139</v>
      </c>
      <c r="D263" s="4" t="s">
        <v>23</v>
      </c>
      <c r="E263" s="5" t="s">
        <v>34</v>
      </c>
      <c r="F263" s="4" t="s">
        <v>678</v>
      </c>
      <c r="G263" s="4" t="s">
        <v>26</v>
      </c>
      <c r="H263" s="4" t="s">
        <v>1047</v>
      </c>
      <c r="I263" s="12"/>
      <c r="J263" s="12"/>
      <c r="K263" s="12"/>
      <c r="L263" s="12"/>
      <c r="M263" s="51"/>
      <c r="N263" s="12"/>
      <c r="O263" s="12"/>
      <c r="P263" s="12"/>
      <c r="Q263" s="12"/>
      <c r="R263" s="12"/>
      <c r="S263" s="12"/>
      <c r="T263" s="12"/>
      <c r="U263" s="12"/>
      <c r="V263" s="12"/>
      <c r="W263" s="7"/>
      <c r="X263" s="12"/>
      <c r="Y263" s="7"/>
      <c r="Z263" s="7"/>
      <c r="AA263" s="7"/>
      <c r="AB263" s="8">
        <f t="shared" ref="AB263:AB268" si="5">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c r="BF263" s="10"/>
    </row>
    <row r="264" spans="1:58" ht="30" hidden="1" x14ac:dyDescent="0.25">
      <c r="A264" s="4" t="s">
        <v>626</v>
      </c>
      <c r="B264" s="4"/>
      <c r="C264" s="4" t="s">
        <v>139</v>
      </c>
      <c r="D264" s="4" t="s">
        <v>23</v>
      </c>
      <c r="E264" s="5" t="s">
        <v>34</v>
      </c>
      <c r="F264" s="4" t="s">
        <v>678</v>
      </c>
      <c r="G264" s="4" t="s">
        <v>26</v>
      </c>
      <c r="H264" s="4" t="s">
        <v>651</v>
      </c>
      <c r="I264" s="12"/>
      <c r="J264" s="12"/>
      <c r="K264" s="12"/>
      <c r="L264" s="12"/>
      <c r="M264" s="51"/>
      <c r="N264" s="12"/>
      <c r="O264" s="12"/>
      <c r="P264" s="12"/>
      <c r="Q264" s="12"/>
      <c r="R264" s="12"/>
      <c r="S264" s="12"/>
      <c r="T264" s="12"/>
      <c r="U264" s="12"/>
      <c r="V264" s="12"/>
      <c r="W264" s="7"/>
      <c r="X264" s="12"/>
      <c r="Y264" s="7"/>
      <c r="Z264" s="7"/>
      <c r="AA264" s="7"/>
      <c r="AB264" s="8">
        <f t="shared" si="5"/>
        <v>99999.999999999985</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c r="BF264" s="10"/>
    </row>
    <row r="265" spans="1:58" ht="30" hidden="1" x14ac:dyDescent="0.25">
      <c r="A265" s="4" t="s">
        <v>600</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 t="shared" si="5"/>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c r="BF265" s="10"/>
    </row>
    <row r="266" spans="1:58" ht="30" hidden="1" x14ac:dyDescent="0.25">
      <c r="A266" s="4" t="s">
        <v>627</v>
      </c>
      <c r="B266" s="4"/>
      <c r="C266" s="4" t="s">
        <v>139</v>
      </c>
      <c r="D266" s="4" t="s">
        <v>23</v>
      </c>
      <c r="E266" s="5" t="s">
        <v>34</v>
      </c>
      <c r="F266" s="4" t="s">
        <v>678</v>
      </c>
      <c r="G266" s="4" t="s">
        <v>26</v>
      </c>
      <c r="H266" s="4" t="s">
        <v>637</v>
      </c>
      <c r="I266" s="12"/>
      <c r="J266" s="12"/>
      <c r="K266" s="12"/>
      <c r="L266" s="12"/>
      <c r="M266" s="51"/>
      <c r="N266" s="12"/>
      <c r="O266" s="12"/>
      <c r="P266" s="12"/>
      <c r="Q266" s="12"/>
      <c r="R266" s="12"/>
      <c r="S266" s="12"/>
      <c r="T266" s="12"/>
      <c r="U266" s="12"/>
      <c r="V266" s="12"/>
      <c r="W266" s="7"/>
      <c r="X266" s="12"/>
      <c r="Y266" s="7"/>
      <c r="Z266" s="7"/>
      <c r="AA266" s="7"/>
      <c r="AB266" s="8">
        <f t="shared" si="5"/>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c r="BF266" s="10"/>
    </row>
    <row r="267" spans="1:58" ht="30" hidden="1" x14ac:dyDescent="0.25">
      <c r="A267" s="4" t="s">
        <v>586</v>
      </c>
      <c r="B267" s="4"/>
      <c r="C267" s="4" t="s">
        <v>139</v>
      </c>
      <c r="D267" s="4" t="s">
        <v>23</v>
      </c>
      <c r="E267" s="5" t="s">
        <v>34</v>
      </c>
      <c r="F267" s="4" t="s">
        <v>678</v>
      </c>
      <c r="G267" s="4" t="s">
        <v>26</v>
      </c>
      <c r="H267" s="4" t="s">
        <v>638</v>
      </c>
      <c r="I267" s="12"/>
      <c r="J267" s="12"/>
      <c r="K267" s="12"/>
      <c r="L267" s="12"/>
      <c r="M267" s="51"/>
      <c r="N267" s="12"/>
      <c r="O267" s="12"/>
      <c r="P267" s="12"/>
      <c r="Q267" s="12"/>
      <c r="R267" s="12"/>
      <c r="S267" s="12"/>
      <c r="T267" s="12"/>
      <c r="U267" s="12"/>
      <c r="V267" s="12"/>
      <c r="W267" s="7"/>
      <c r="X267" s="12"/>
      <c r="Y267" s="7"/>
      <c r="Z267" s="7"/>
      <c r="AA267" s="7"/>
      <c r="AB267" s="8">
        <f t="shared" si="5"/>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c r="BF267" s="10"/>
    </row>
    <row r="268" spans="1:58" ht="30" hidden="1" x14ac:dyDescent="0.25">
      <c r="A268" s="4" t="s">
        <v>590</v>
      </c>
      <c r="B268" s="4"/>
      <c r="C268" s="4" t="s">
        <v>139</v>
      </c>
      <c r="D268" s="4" t="s">
        <v>23</v>
      </c>
      <c r="E268" s="5" t="s">
        <v>34</v>
      </c>
      <c r="F268" s="4" t="s">
        <v>678</v>
      </c>
      <c r="G268" s="4" t="s">
        <v>26</v>
      </c>
      <c r="H268" s="4" t="s">
        <v>651</v>
      </c>
      <c r="I268" s="12"/>
      <c r="J268" s="12"/>
      <c r="K268" s="12"/>
      <c r="L268" s="12"/>
      <c r="M268" s="51"/>
      <c r="N268" s="12"/>
      <c r="O268" s="12"/>
      <c r="P268" s="12"/>
      <c r="Q268" s="12"/>
      <c r="R268" s="12"/>
      <c r="S268" s="12"/>
      <c r="T268" s="12"/>
      <c r="U268" s="12"/>
      <c r="V268" s="12"/>
      <c r="W268" s="7"/>
      <c r="X268" s="12"/>
      <c r="Y268" s="7"/>
      <c r="Z268" s="7"/>
      <c r="AA268" s="7"/>
      <c r="AB268" s="8">
        <f t="shared" si="5"/>
        <v>99999.999999999985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c r="BF268" s="10"/>
    </row>
    <row r="269" spans="1:58" ht="30" hidden="1" x14ac:dyDescent="0.25">
      <c r="A269" s="4" t="s">
        <v>591</v>
      </c>
      <c r="B269" s="4"/>
      <c r="C269" s="4" t="s">
        <v>139</v>
      </c>
      <c r="D269" s="4" t="s">
        <v>23</v>
      </c>
      <c r="E269" s="5" t="s">
        <v>34</v>
      </c>
      <c r="F269" s="4" t="s">
        <v>678</v>
      </c>
      <c r="G269" s="4" t="s">
        <v>26</v>
      </c>
      <c r="H269" s="4" t="s">
        <v>1047</v>
      </c>
      <c r="I269" s="12"/>
      <c r="J269" s="12"/>
      <c r="K269" s="12"/>
      <c r="L269" s="12"/>
      <c r="M269" s="51"/>
      <c r="N269" s="12"/>
      <c r="O269" s="12"/>
      <c r="P269" s="12"/>
      <c r="Q269" s="12"/>
      <c r="R269" s="12"/>
      <c r="S269" s="12"/>
      <c r="T269" s="12"/>
      <c r="U269" s="12"/>
      <c r="V269" s="12"/>
      <c r="W269" s="7"/>
      <c r="X269" s="12"/>
      <c r="Y269" s="7"/>
      <c r="Z269" s="7"/>
      <c r="AA269" s="7"/>
      <c r="AB269" s="8">
        <f>1/(6*10^-6)</f>
        <v>166666.66666666666</v>
      </c>
      <c r="AC269" s="8"/>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c r="BF269" s="10"/>
    </row>
    <row r="270" spans="1:58" ht="30" hidden="1" x14ac:dyDescent="0.25">
      <c r="A270" s="4" t="s">
        <v>618</v>
      </c>
      <c r="B270" s="4"/>
      <c r="C270" s="4" t="s">
        <v>139</v>
      </c>
      <c r="D270" s="4" t="s">
        <v>23</v>
      </c>
      <c r="E270" s="5" t="s">
        <v>34</v>
      </c>
      <c r="F270" s="4" t="s">
        <v>678</v>
      </c>
      <c r="G270" s="4" t="s">
        <v>26</v>
      </c>
      <c r="H270" s="4" t="s">
        <v>635</v>
      </c>
      <c r="I270" s="12"/>
      <c r="J270" s="12"/>
      <c r="K270" s="12"/>
      <c r="L270" s="12"/>
      <c r="M270" s="51"/>
      <c r="N270" s="12"/>
      <c r="O270" s="12"/>
      <c r="P270" s="12"/>
      <c r="Q270" s="12"/>
      <c r="R270" s="12"/>
      <c r="S270" s="12"/>
      <c r="T270" s="12"/>
      <c r="U270" s="12"/>
      <c r="V270" s="12"/>
      <c r="W270" s="7"/>
      <c r="X270" s="12"/>
      <c r="Y270" s="7"/>
      <c r="Z270" s="7"/>
      <c r="AA270" s="7"/>
      <c r="AB270" s="8">
        <f>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c r="BE270" s="10"/>
      <c r="BF270" s="10"/>
    </row>
    <row r="271" spans="1:58" ht="45" x14ac:dyDescent="0.25">
      <c r="A271" s="4" t="s">
        <v>699</v>
      </c>
      <c r="B271" s="4" t="s">
        <v>1484</v>
      </c>
      <c r="C271" s="20" t="s">
        <v>139</v>
      </c>
      <c r="D271" s="20" t="s">
        <v>23</v>
      </c>
      <c r="E271" s="21" t="s">
        <v>34</v>
      </c>
      <c r="F271" s="20"/>
      <c r="G271" s="20" t="s">
        <v>35</v>
      </c>
      <c r="H271" s="4" t="s">
        <v>1061</v>
      </c>
      <c r="I271" s="12">
        <v>50</v>
      </c>
      <c r="J271" s="12">
        <v>50</v>
      </c>
      <c r="K271" s="12"/>
      <c r="L271" s="12">
        <v>0.2</v>
      </c>
      <c r="M271" s="51">
        <v>0.2</v>
      </c>
      <c r="N271" s="12"/>
      <c r="O271" s="12"/>
      <c r="P271" s="12"/>
      <c r="Q271" s="12"/>
      <c r="R271" s="12">
        <v>800</v>
      </c>
      <c r="S271" s="12">
        <v>800</v>
      </c>
      <c r="T271" s="12"/>
      <c r="U271" s="12">
        <v>31</v>
      </c>
      <c r="V271" s="12">
        <v>31</v>
      </c>
      <c r="W271" s="7"/>
      <c r="X271" s="12"/>
      <c r="Y271" s="7">
        <v>4</v>
      </c>
      <c r="Z271" s="7">
        <v>4</v>
      </c>
      <c r="AA271" s="7">
        <v>0.75</v>
      </c>
      <c r="AB271" s="8"/>
      <c r="AC271" s="7"/>
      <c r="AD271" s="4"/>
      <c r="AE271" s="4"/>
      <c r="AF271" s="4"/>
      <c r="AG271" s="4"/>
      <c r="AH271" s="9"/>
      <c r="AI271" s="9"/>
      <c r="AJ271" s="9"/>
      <c r="AK271" s="9" t="s">
        <v>700</v>
      </c>
      <c r="AL271" s="10"/>
      <c r="AM271" s="10"/>
      <c r="AN271" s="10"/>
      <c r="AO271" s="10"/>
      <c r="AP271" s="10"/>
      <c r="AQ271" s="11">
        <v>34</v>
      </c>
      <c r="AR271" s="4"/>
      <c r="AS271" s="817" t="s">
        <v>873</v>
      </c>
      <c r="AT271" s="10"/>
      <c r="AU271" s="10"/>
      <c r="AV271" s="10"/>
      <c r="AW271" s="10"/>
      <c r="AX271" s="10"/>
      <c r="AY271" s="10"/>
      <c r="AZ271" s="10"/>
      <c r="BA271" s="10"/>
      <c r="BB271" s="10"/>
      <c r="BC271" s="10"/>
      <c r="BD271" s="10"/>
      <c r="BE271" s="10"/>
      <c r="BF271" s="10"/>
    </row>
    <row r="272" spans="1:58" ht="30" x14ac:dyDescent="0.25">
      <c r="A272" s="4" t="s">
        <v>705</v>
      </c>
      <c r="B272" s="4" t="s">
        <v>1488</v>
      </c>
      <c r="C272" s="4" t="s">
        <v>139</v>
      </c>
      <c r="D272" s="4" t="s">
        <v>23</v>
      </c>
      <c r="E272" s="5" t="s">
        <v>34</v>
      </c>
      <c r="F272" s="4"/>
      <c r="G272" s="4" t="s">
        <v>35</v>
      </c>
      <c r="H272" s="4"/>
      <c r="I272" s="12"/>
      <c r="J272" s="12"/>
      <c r="K272" s="12"/>
      <c r="L272" s="12"/>
      <c r="M272" s="51"/>
      <c r="N272" s="12"/>
      <c r="O272" s="12"/>
      <c r="P272" s="12"/>
      <c r="Q272" s="12"/>
      <c r="R272" s="12"/>
      <c r="S272" s="12"/>
      <c r="T272" s="12"/>
      <c r="U272" s="12"/>
      <c r="V272" s="12"/>
      <c r="W272" s="7"/>
      <c r="X272" s="12"/>
      <c r="Y272" s="7" t="s">
        <v>706</v>
      </c>
      <c r="Z272" s="7"/>
      <c r="AA272" s="7"/>
      <c r="AB272" s="8"/>
      <c r="AC272" s="7"/>
      <c r="AD272" s="4"/>
      <c r="AE272" s="4"/>
      <c r="AF272" s="4"/>
      <c r="AG272" s="4"/>
      <c r="AH272" s="9"/>
      <c r="AI272" s="9"/>
      <c r="AJ272" s="9"/>
      <c r="AK272" s="9"/>
      <c r="AL272" s="10"/>
      <c r="AM272" s="10"/>
      <c r="AN272" s="10"/>
      <c r="AO272" s="10"/>
      <c r="AP272" s="10"/>
      <c r="AQ272" s="11"/>
      <c r="AR272" s="22"/>
      <c r="AS272" s="10"/>
      <c r="AT272" s="10"/>
      <c r="AU272" s="10"/>
      <c r="AV272" s="10"/>
      <c r="AW272" s="10"/>
      <c r="AX272" s="10"/>
      <c r="AY272" s="10"/>
      <c r="AZ272" s="10"/>
      <c r="BA272" s="10"/>
      <c r="BB272" s="10"/>
      <c r="BC272" s="10"/>
      <c r="BD272" s="10"/>
      <c r="BE272" s="10"/>
      <c r="BF272" s="10"/>
    </row>
    <row r="273" spans="1:58" ht="210" x14ac:dyDescent="0.25">
      <c r="A273" s="4" t="s">
        <v>982</v>
      </c>
      <c r="B273" s="4" t="s">
        <v>657</v>
      </c>
      <c r="C273" s="4" t="s">
        <v>46</v>
      </c>
      <c r="D273" s="4" t="s">
        <v>1152</v>
      </c>
      <c r="E273" s="5" t="s">
        <v>24</v>
      </c>
      <c r="F273" s="4" t="s">
        <v>48</v>
      </c>
      <c r="G273" s="4" t="s">
        <v>35</v>
      </c>
      <c r="H273" s="49" t="s">
        <v>1078</v>
      </c>
      <c r="I273" s="7" t="s">
        <v>1079</v>
      </c>
      <c r="J273" s="12">
        <v>23.787717801047119</v>
      </c>
      <c r="K273" s="7">
        <v>0.5</v>
      </c>
      <c r="L273" s="7" t="s">
        <v>1080</v>
      </c>
      <c r="M273" s="51">
        <v>7.8767277486910994E-2</v>
      </c>
      <c r="N273" s="7">
        <v>0.5</v>
      </c>
      <c r="O273" s="7" t="s">
        <v>49</v>
      </c>
      <c r="P273" s="12">
        <v>302.99146073298431</v>
      </c>
      <c r="Q273" s="7">
        <v>0.5</v>
      </c>
      <c r="R273" s="7" t="s">
        <v>50</v>
      </c>
      <c r="S273" s="8">
        <v>303.51657591623035</v>
      </c>
      <c r="T273" s="7">
        <v>0.5</v>
      </c>
      <c r="U273" s="12">
        <v>14.569977153141361</v>
      </c>
      <c r="V273" s="12">
        <v>14.569977153141361</v>
      </c>
      <c r="W273" s="7" t="s">
        <v>52</v>
      </c>
      <c r="X273" s="12">
        <v>3.72831780104712E-2</v>
      </c>
      <c r="Y273" s="7" t="s">
        <v>53</v>
      </c>
      <c r="Z273" s="7">
        <v>5</v>
      </c>
      <c r="AA273" s="7">
        <v>1</v>
      </c>
      <c r="AB273" s="7">
        <v>20000</v>
      </c>
      <c r="AC273" s="7">
        <v>0.5</v>
      </c>
      <c r="AD273" s="49" t="s">
        <v>54</v>
      </c>
      <c r="AE273" s="13">
        <f>207/9*Crew_Size/500*Mission_Duration</f>
        <v>73.599999999999994</v>
      </c>
      <c r="AF273" s="13"/>
      <c r="AG273" s="4">
        <v>0.5</v>
      </c>
      <c r="AH273" s="9" t="s">
        <v>55</v>
      </c>
      <c r="AI273" s="9" t="s">
        <v>56</v>
      </c>
      <c r="AJ273" s="9" t="s">
        <v>57</v>
      </c>
      <c r="AK273" s="9" t="s">
        <v>58</v>
      </c>
      <c r="AL273" s="10"/>
      <c r="AM273" s="10"/>
      <c r="AN273" s="10"/>
      <c r="AO273" s="10"/>
      <c r="AP273" s="10"/>
      <c r="AQ273" s="11" t="s">
        <v>59</v>
      </c>
      <c r="AR273" s="4" t="s">
        <v>60</v>
      </c>
      <c r="AS273" s="10" t="s">
        <v>855</v>
      </c>
      <c r="AT273" s="10"/>
      <c r="AU273" s="10"/>
      <c r="AV273" s="10" t="s">
        <v>854</v>
      </c>
      <c r="AW273" s="10"/>
      <c r="AX273" s="10"/>
      <c r="AY273" s="10"/>
      <c r="AZ273" s="10"/>
      <c r="BA273" s="10"/>
      <c r="BB273" s="10"/>
      <c r="BC273" s="10" t="s">
        <v>51</v>
      </c>
      <c r="BD273" s="10">
        <v>103.4</v>
      </c>
      <c r="BE273" s="10"/>
      <c r="BF273" s="10"/>
    </row>
    <row r="274" spans="1:58" ht="165" x14ac:dyDescent="0.25">
      <c r="A274" s="4" t="s">
        <v>164</v>
      </c>
      <c r="B274" s="4" t="s">
        <v>1463</v>
      </c>
      <c r="C274" s="4" t="s">
        <v>46</v>
      </c>
      <c r="D274" s="4" t="s">
        <v>165</v>
      </c>
      <c r="E274" s="5" t="s">
        <v>34</v>
      </c>
      <c r="F274" s="4"/>
      <c r="G274" s="4" t="s">
        <v>35</v>
      </c>
      <c r="H274" s="49" t="s">
        <v>166</v>
      </c>
      <c r="I274" s="7" t="s">
        <v>167</v>
      </c>
      <c r="J274" s="7"/>
      <c r="K274" s="7"/>
      <c r="L274" s="7" t="s">
        <v>725</v>
      </c>
      <c r="M274" s="51"/>
      <c r="N274" s="7"/>
      <c r="O274" s="7" t="s">
        <v>168</v>
      </c>
      <c r="P274" s="7"/>
      <c r="Q274" s="7"/>
      <c r="R274" s="7" t="s">
        <v>169</v>
      </c>
      <c r="S274" s="7"/>
      <c r="T274" s="7"/>
      <c r="U274" s="12"/>
      <c r="V274" s="12"/>
      <c r="W274" s="7" t="s">
        <v>172</v>
      </c>
      <c r="X274" s="12"/>
      <c r="Y274" s="7" t="s">
        <v>173</v>
      </c>
      <c r="Z274" s="7">
        <v>4</v>
      </c>
      <c r="AA274" s="7">
        <v>1</v>
      </c>
      <c r="AB274" s="7">
        <f>1*10^7</f>
        <v>10000000</v>
      </c>
      <c r="AC274" s="7"/>
      <c r="AD274" s="4" t="s">
        <v>174</v>
      </c>
      <c r="AE274" s="4"/>
      <c r="AF274" s="4"/>
      <c r="AG274" s="4"/>
      <c r="AH274" s="9" t="s">
        <v>175</v>
      </c>
      <c r="AI274" s="9" t="s">
        <v>176</v>
      </c>
      <c r="AJ274" s="9"/>
      <c r="AK274" s="9" t="s">
        <v>30</v>
      </c>
      <c r="AL274" s="10" t="s">
        <v>177</v>
      </c>
      <c r="AM274" s="10" t="s">
        <v>178</v>
      </c>
      <c r="AN274" s="10" t="s">
        <v>179</v>
      </c>
      <c r="AO274" s="10" t="s">
        <v>178</v>
      </c>
      <c r="AP274" s="10" t="s">
        <v>180</v>
      </c>
      <c r="AQ274" s="11" t="s">
        <v>181</v>
      </c>
      <c r="AR274" s="4"/>
      <c r="AS274" s="10"/>
      <c r="AT274" s="10"/>
      <c r="AU274" s="10"/>
      <c r="AV274" s="10" t="s">
        <v>852</v>
      </c>
      <c r="AW274" s="10" t="s">
        <v>853</v>
      </c>
      <c r="AX274" s="10"/>
      <c r="AY274" s="10"/>
      <c r="AZ274" s="10"/>
      <c r="BA274" s="10"/>
      <c r="BB274" s="10"/>
      <c r="BC274" s="10" t="s">
        <v>170</v>
      </c>
      <c r="BD274" s="10" t="s">
        <v>171</v>
      </c>
      <c r="BE274" s="10"/>
      <c r="BF274" s="10"/>
    </row>
    <row r="275" spans="1:58" ht="210" hidden="1" x14ac:dyDescent="0.25">
      <c r="A275" s="4" t="s">
        <v>270</v>
      </c>
      <c r="B275" s="4"/>
      <c r="C275" s="4" t="s">
        <v>46</v>
      </c>
      <c r="D275" s="4" t="s">
        <v>165</v>
      </c>
      <c r="E275" s="5" t="s">
        <v>24</v>
      </c>
      <c r="F275" s="4"/>
      <c r="G275" s="4" t="s">
        <v>67</v>
      </c>
      <c r="H275" s="49" t="s">
        <v>1101</v>
      </c>
      <c r="I275" s="12" t="s">
        <v>736</v>
      </c>
      <c r="J275" s="12">
        <v>80.14898035363457</v>
      </c>
      <c r="K275" s="12">
        <v>0.5</v>
      </c>
      <c r="L275" s="12" t="s">
        <v>735</v>
      </c>
      <c r="M275" s="51">
        <v>0.37034695481335944</v>
      </c>
      <c r="N275" s="12">
        <v>0.5</v>
      </c>
      <c r="O275" s="12" t="s">
        <v>1129</v>
      </c>
      <c r="P275" s="12">
        <v>167.31161100196462</v>
      </c>
      <c r="Q275" s="12">
        <v>0.5</v>
      </c>
      <c r="R275" s="12" t="s">
        <v>1128</v>
      </c>
      <c r="S275" s="12">
        <v>167.31161100196462</v>
      </c>
      <c r="T275" s="12">
        <v>0.5</v>
      </c>
      <c r="U275" s="12"/>
      <c r="V275" s="12"/>
      <c r="W275" s="7" t="s">
        <v>1127</v>
      </c>
      <c r="X275" s="12">
        <v>0.26874734774066794</v>
      </c>
      <c r="Y275" s="7" t="s">
        <v>273</v>
      </c>
      <c r="Z275" s="7">
        <v>9</v>
      </c>
      <c r="AA275" s="7">
        <v>1</v>
      </c>
      <c r="AB275" s="8">
        <v>40600</v>
      </c>
      <c r="AC275" s="7">
        <v>0.5</v>
      </c>
      <c r="AD275" s="4" t="s">
        <v>274</v>
      </c>
      <c r="AE275" s="13">
        <f>128/9*Crew_Size/500*Mission_Duration</f>
        <v>45.511111111111106</v>
      </c>
      <c r="AF275" s="13"/>
      <c r="AG275" s="4">
        <v>0.5</v>
      </c>
      <c r="AH275" s="9" t="s">
        <v>275</v>
      </c>
      <c r="AI275" s="9" t="s">
        <v>276</v>
      </c>
      <c r="AJ275" s="9" t="s">
        <v>277</v>
      </c>
      <c r="AK275" s="9" t="s">
        <v>30</v>
      </c>
      <c r="AL275" s="10" t="s">
        <v>278</v>
      </c>
      <c r="AM275" s="10" t="s">
        <v>279</v>
      </c>
      <c r="AN275" s="10" t="s">
        <v>280</v>
      </c>
      <c r="AO275" s="10" t="s">
        <v>281</v>
      </c>
      <c r="AP275" s="10" t="s">
        <v>282</v>
      </c>
      <c r="AQ275" s="11" t="s">
        <v>283</v>
      </c>
      <c r="AR275" s="4" t="s">
        <v>284</v>
      </c>
      <c r="AS275" s="10" t="s">
        <v>855</v>
      </c>
      <c r="AT275" s="10" t="s">
        <v>852</v>
      </c>
      <c r="AU275" s="10" t="s">
        <v>853</v>
      </c>
      <c r="AV275" s="10"/>
      <c r="AW275" s="10"/>
      <c r="AX275" s="10"/>
      <c r="AY275" s="10"/>
      <c r="AZ275" s="10"/>
      <c r="BA275" s="10"/>
      <c r="BB275" s="10"/>
      <c r="BC275" s="10" t="s">
        <v>271</v>
      </c>
      <c r="BD275" s="10" t="s">
        <v>272</v>
      </c>
      <c r="BE275" s="10"/>
      <c r="BF275" s="10"/>
    </row>
    <row r="276" spans="1:58" ht="345" x14ac:dyDescent="0.25">
      <c r="A276" s="4" t="s">
        <v>348</v>
      </c>
      <c r="B276" s="4" t="s">
        <v>1469</v>
      </c>
      <c r="C276" s="4" t="s">
        <v>46</v>
      </c>
      <c r="D276" s="4" t="s">
        <v>165</v>
      </c>
      <c r="E276" s="5" t="s">
        <v>34</v>
      </c>
      <c r="F276" s="4"/>
      <c r="G276" s="4" t="s">
        <v>35</v>
      </c>
      <c r="H276" s="49" t="s">
        <v>1177</v>
      </c>
      <c r="I276" s="12" t="s">
        <v>737</v>
      </c>
      <c r="J276" s="12"/>
      <c r="K276" s="12">
        <v>0.5</v>
      </c>
      <c r="L276" s="12" t="s">
        <v>738</v>
      </c>
      <c r="M276" s="51"/>
      <c r="N276" s="12">
        <v>0.5</v>
      </c>
      <c r="O276" s="12" t="s">
        <v>349</v>
      </c>
      <c r="P276" s="12"/>
      <c r="Q276" s="12">
        <v>0.5</v>
      </c>
      <c r="R276" s="12" t="s">
        <v>350</v>
      </c>
      <c r="S276" s="12"/>
      <c r="T276" s="12">
        <v>0.5</v>
      </c>
      <c r="U276" s="12"/>
      <c r="V276" s="12"/>
      <c r="W276" s="7">
        <v>80</v>
      </c>
      <c r="X276" s="12"/>
      <c r="Y276" s="7" t="s">
        <v>353</v>
      </c>
      <c r="Z276" s="7">
        <v>6</v>
      </c>
      <c r="AA276" s="7">
        <v>0.75</v>
      </c>
      <c r="AB276" s="7">
        <v>24000</v>
      </c>
      <c r="AC276" s="7">
        <v>0.5</v>
      </c>
      <c r="AD276" s="4" t="s">
        <v>1156</v>
      </c>
      <c r="AE276" s="13">
        <f>56/9*Crew_Size/500*Mission_Duration</f>
        <v>19.911111111111111</v>
      </c>
      <c r="AF276" s="13"/>
      <c r="AG276" s="4">
        <v>0.5</v>
      </c>
      <c r="AH276" s="9" t="s">
        <v>354</v>
      </c>
      <c r="AI276" s="9" t="s">
        <v>355</v>
      </c>
      <c r="AJ276" s="9" t="s">
        <v>356</v>
      </c>
      <c r="AK276" s="9" t="s">
        <v>357</v>
      </c>
      <c r="AL276" s="10"/>
      <c r="AM276" s="10"/>
      <c r="AN276" s="10"/>
      <c r="AO276" s="10"/>
      <c r="AP276" s="10"/>
      <c r="AQ276" s="11" t="s">
        <v>358</v>
      </c>
      <c r="AR276" s="4"/>
      <c r="AS276" s="10" t="s">
        <v>855</v>
      </c>
      <c r="AT276" s="10"/>
      <c r="AU276" s="10" t="s">
        <v>852</v>
      </c>
      <c r="AV276" s="10" t="s">
        <v>853</v>
      </c>
      <c r="AW276" s="10"/>
      <c r="AX276" s="10"/>
      <c r="AY276" s="10"/>
      <c r="AZ276" s="10"/>
      <c r="BA276" s="10"/>
      <c r="BB276" s="10"/>
      <c r="BC276" s="10" t="s">
        <v>351</v>
      </c>
      <c r="BD276" s="10" t="s">
        <v>352</v>
      </c>
      <c r="BE276" s="10"/>
      <c r="BF276" s="10"/>
    </row>
    <row r="277" spans="1:58" ht="315" x14ac:dyDescent="0.25">
      <c r="A277" s="4" t="s">
        <v>969</v>
      </c>
      <c r="B277" s="4" t="s">
        <v>640</v>
      </c>
      <c r="C277" s="4" t="s">
        <v>46</v>
      </c>
      <c r="D277" s="4" t="s">
        <v>1152</v>
      </c>
      <c r="E277" s="5" t="s">
        <v>34</v>
      </c>
      <c r="F277" s="4"/>
      <c r="G277" s="4" t="s">
        <v>35</v>
      </c>
      <c r="H277" s="49" t="s">
        <v>1100</v>
      </c>
      <c r="I277" s="12" t="s">
        <v>763</v>
      </c>
      <c r="J277" s="12">
        <v>5.4345654345654344</v>
      </c>
      <c r="K277" s="12">
        <v>0.5</v>
      </c>
      <c r="L277" s="12" t="s">
        <v>764</v>
      </c>
      <c r="M277" s="51">
        <v>1.8381618381618382E-2</v>
      </c>
      <c r="N277" s="12">
        <v>0.5</v>
      </c>
      <c r="O277" s="12" t="s">
        <v>433</v>
      </c>
      <c r="P277" s="12">
        <v>13.586413586413586</v>
      </c>
      <c r="Q277" s="12">
        <v>0.5</v>
      </c>
      <c r="R277" s="12" t="s">
        <v>434</v>
      </c>
      <c r="S277" s="12">
        <v>13.586413586413586</v>
      </c>
      <c r="T277" s="12">
        <v>0.5</v>
      </c>
      <c r="U277" s="12">
        <v>3.3286713286713288</v>
      </c>
      <c r="V277" s="12">
        <v>3.3286713286713288</v>
      </c>
      <c r="W277" s="7">
        <v>91</v>
      </c>
      <c r="X277" s="12">
        <v>3.996003996003996E-3</v>
      </c>
      <c r="Y277" s="7" t="s">
        <v>436</v>
      </c>
      <c r="Z277" s="7">
        <v>6</v>
      </c>
      <c r="AA277" s="7">
        <v>0.75</v>
      </c>
      <c r="AB277" s="7">
        <v>14300</v>
      </c>
      <c r="AC277" s="7">
        <v>0.5</v>
      </c>
      <c r="AD277" s="4" t="s">
        <v>437</v>
      </c>
      <c r="AE277" s="13">
        <f>36/9*Crew_Size/500*Mission_Duration</f>
        <v>12.8</v>
      </c>
      <c r="AF277" s="13"/>
      <c r="AG277" s="4">
        <v>0.5</v>
      </c>
      <c r="AH277" s="9" t="s">
        <v>438</v>
      </c>
      <c r="AI277" s="9" t="s">
        <v>439</v>
      </c>
      <c r="AJ277" s="9" t="s">
        <v>440</v>
      </c>
      <c r="AK277" s="9" t="s">
        <v>30</v>
      </c>
      <c r="AL277" s="10" t="s">
        <v>441</v>
      </c>
      <c r="AM277" s="10" t="s">
        <v>442</v>
      </c>
      <c r="AN277" s="10"/>
      <c r="AO277" s="10" t="s">
        <v>443</v>
      </c>
      <c r="AP277" s="10"/>
      <c r="AQ277" s="11" t="s">
        <v>444</v>
      </c>
      <c r="AR277" s="4" t="s">
        <v>445</v>
      </c>
      <c r="AS277" s="10" t="s">
        <v>855</v>
      </c>
      <c r="AT277" s="10"/>
      <c r="AU277" s="10"/>
      <c r="AV277" s="10"/>
      <c r="AW277" s="10"/>
      <c r="AX277" s="10" t="s">
        <v>854</v>
      </c>
      <c r="AY277" s="10"/>
      <c r="AZ277" s="10"/>
      <c r="BA277" s="10"/>
      <c r="BB277" s="10"/>
      <c r="BC277" s="10" t="s">
        <v>435</v>
      </c>
      <c r="BD277" s="10">
        <v>17</v>
      </c>
      <c r="BE277" s="10"/>
      <c r="BF277" s="10"/>
    </row>
    <row r="278" spans="1:58" ht="75" x14ac:dyDescent="0.25">
      <c r="A278" s="4" t="s">
        <v>446</v>
      </c>
      <c r="B278" s="4" t="s">
        <v>1475</v>
      </c>
      <c r="C278" s="4" t="s">
        <v>46</v>
      </c>
      <c r="D278" s="4" t="s">
        <v>165</v>
      </c>
      <c r="E278" s="5" t="s">
        <v>34</v>
      </c>
      <c r="F278" s="4"/>
      <c r="G278" s="4" t="s">
        <v>35</v>
      </c>
      <c r="H278" s="49" t="s">
        <v>447</v>
      </c>
      <c r="I278" s="12"/>
      <c r="J278" s="12"/>
      <c r="K278" s="12"/>
      <c r="L278" s="12"/>
      <c r="M278" s="51"/>
      <c r="N278" s="12"/>
      <c r="O278" s="12"/>
      <c r="P278" s="12"/>
      <c r="Q278" s="12"/>
      <c r="R278" s="12"/>
      <c r="S278" s="12"/>
      <c r="T278" s="12"/>
      <c r="U278" s="12"/>
      <c r="V278" s="12"/>
      <c r="W278" s="7"/>
      <c r="X278" s="12"/>
      <c r="Y278" s="7"/>
      <c r="Z278" s="7"/>
      <c r="AA278" s="7"/>
      <c r="AB278" s="7"/>
      <c r="AC278" s="7"/>
      <c r="AD278" s="4"/>
      <c r="AE278" s="4"/>
      <c r="AF278" s="4"/>
      <c r="AG278" s="4"/>
      <c r="AH278" s="9"/>
      <c r="AI278" s="9"/>
      <c r="AJ278" s="9"/>
      <c r="AK278" s="9" t="s">
        <v>30</v>
      </c>
      <c r="AL278" s="10"/>
      <c r="AM278" s="10"/>
      <c r="AN278" s="10"/>
      <c r="AO278" s="10"/>
      <c r="AP278" s="10"/>
      <c r="AQ278" s="11">
        <v>1</v>
      </c>
      <c r="AR278" s="4"/>
      <c r="AS278" s="10"/>
      <c r="AT278" s="10"/>
      <c r="AU278" s="10"/>
      <c r="AV278" s="10"/>
      <c r="AW278" s="10"/>
      <c r="AX278" s="10"/>
      <c r="AY278" s="10"/>
      <c r="AZ278" s="10"/>
      <c r="BA278" s="10"/>
      <c r="BB278" s="10"/>
      <c r="BC278" s="10"/>
      <c r="BD278" s="10"/>
      <c r="BE278" s="10"/>
      <c r="BF278" s="10"/>
    </row>
    <row r="279" spans="1:58" ht="135" x14ac:dyDescent="0.25">
      <c r="A279" s="4" t="s">
        <v>1496</v>
      </c>
      <c r="B279" s="4" t="s">
        <v>1491</v>
      </c>
      <c r="C279" s="4" t="s">
        <v>46</v>
      </c>
      <c r="D279" s="4" t="s">
        <v>1152</v>
      </c>
      <c r="E279" s="5" t="s">
        <v>34</v>
      </c>
      <c r="F279" s="4"/>
      <c r="G279" s="4" t="s">
        <v>35</v>
      </c>
      <c r="H279" s="4" t="s">
        <v>1497</v>
      </c>
      <c r="I279" s="12">
        <v>53</v>
      </c>
      <c r="J279" s="12">
        <f xml:space="preserve"> 53*26*1.6*0.85/22.6</f>
        <v>82.923893805309731</v>
      </c>
      <c r="K279" s="12">
        <v>0.75</v>
      </c>
      <c r="L279" s="12">
        <v>0.15</v>
      </c>
      <c r="M279" s="51">
        <f xml:space="preserve"> 0.15*26*1.6*0.85/22.6</f>
        <v>0.23469026548672567</v>
      </c>
      <c r="N279" s="12">
        <v>0.75</v>
      </c>
      <c r="O279" s="12">
        <v>142</v>
      </c>
      <c r="P279" s="12">
        <f xml:space="preserve"> 142*26*1.6*0.85/22.6</f>
        <v>222.17345132743364</v>
      </c>
      <c r="Q279" s="12">
        <v>0.75</v>
      </c>
      <c r="R279" s="12">
        <v>142</v>
      </c>
      <c r="S279" s="12">
        <f xml:space="preserve"> 142*26*1.6*0.85/22.6</f>
        <v>222.17345132743364</v>
      </c>
      <c r="T279" s="12">
        <v>0.75</v>
      </c>
      <c r="U279" s="12">
        <v>53</v>
      </c>
      <c r="V279" s="12">
        <v>53</v>
      </c>
      <c r="W279" s="7">
        <v>80</v>
      </c>
      <c r="X279" s="12">
        <f xml:space="preserve"> 0.25*0.8*1.6*0.85</f>
        <v>0.27200000000000002</v>
      </c>
      <c r="Y279" s="7">
        <v>9</v>
      </c>
      <c r="Z279" s="7">
        <v>9</v>
      </c>
      <c r="AA279" s="7">
        <v>1</v>
      </c>
      <c r="AB279" s="7"/>
      <c r="AC279" s="7"/>
      <c r="AD279" s="4"/>
      <c r="AE279" s="4"/>
      <c r="AF279" s="4">
        <v>14</v>
      </c>
      <c r="AG279" s="4"/>
      <c r="AH279" s="9"/>
      <c r="AI279" s="9"/>
      <c r="AJ279" s="9"/>
      <c r="AK279" s="9" t="s">
        <v>30</v>
      </c>
      <c r="AL279" s="10"/>
      <c r="AM279" s="10"/>
      <c r="AN279" s="10"/>
      <c r="AO279" s="10"/>
      <c r="AP279" s="10"/>
      <c r="AQ279" s="11"/>
      <c r="AR279" s="4"/>
      <c r="AS279" s="10" t="s">
        <v>1454</v>
      </c>
      <c r="AT279" s="10"/>
      <c r="AU279" s="10"/>
      <c r="AV279" s="10"/>
      <c r="AW279" s="10"/>
      <c r="AX279" s="10"/>
      <c r="AY279" s="10"/>
      <c r="AZ279" s="10"/>
      <c r="BA279" s="10"/>
      <c r="BB279" s="10"/>
      <c r="BC279" s="10"/>
      <c r="BD279" s="10"/>
      <c r="BE279" s="10"/>
      <c r="BF279" s="10"/>
    </row>
    <row r="280" spans="1:58" ht="165" x14ac:dyDescent="0.25">
      <c r="A280" s="4" t="s">
        <v>1381</v>
      </c>
      <c r="B280" s="4" t="s">
        <v>1476</v>
      </c>
      <c r="C280" s="4" t="s">
        <v>46</v>
      </c>
      <c r="D280" s="4" t="s">
        <v>1152</v>
      </c>
      <c r="E280" s="5" t="s">
        <v>34</v>
      </c>
      <c r="F280" s="4" t="s">
        <v>48</v>
      </c>
      <c r="G280" s="4" t="s">
        <v>35</v>
      </c>
      <c r="H280" s="49" t="s">
        <v>1677</v>
      </c>
      <c r="I280" s="12" t="s">
        <v>754</v>
      </c>
      <c r="J280" s="12">
        <f>455/6</f>
        <v>75.833333333333329</v>
      </c>
      <c r="K280" s="12">
        <v>0.75</v>
      </c>
      <c r="L280" s="12">
        <f>1.571/2</f>
        <v>0.78549999999999998</v>
      </c>
      <c r="M280" s="51">
        <f>technologies[[#This Row],[Volume
Literature]]/6</f>
        <v>0.13091666666666665</v>
      </c>
      <c r="N280" s="12">
        <v>0.75</v>
      </c>
      <c r="O280" s="12">
        <v>79</v>
      </c>
      <c r="P280" s="12">
        <f>technologies[[#This Row],[Power]]</f>
        <v>35.233333333333334</v>
      </c>
      <c r="Q280" s="12">
        <v>0.5</v>
      </c>
      <c r="R280" s="12" t="s">
        <v>1376</v>
      </c>
      <c r="S280" s="12">
        <f>211.4/6</f>
        <v>35.233333333333334</v>
      </c>
      <c r="T280" s="12">
        <v>1</v>
      </c>
      <c r="U280" s="12">
        <v>23.964705882352938</v>
      </c>
      <c r="V280" s="12">
        <v>23.964705882352938</v>
      </c>
      <c r="W280" s="7">
        <v>85</v>
      </c>
      <c r="X280" s="12">
        <f>1.6*technologies[[#This Row],[Efficiency]]/100 * 0.126</f>
        <v>0.17136000000000001</v>
      </c>
      <c r="Y280" s="7" t="s">
        <v>532</v>
      </c>
      <c r="Z280" s="7">
        <v>9</v>
      </c>
      <c r="AA280" s="7">
        <v>1</v>
      </c>
      <c r="AB280" s="12">
        <v>2898</v>
      </c>
      <c r="AC280" s="7">
        <v>0.75</v>
      </c>
      <c r="AD280" s="4" t="s">
        <v>1688</v>
      </c>
      <c r="AE280" s="4"/>
      <c r="AF280" s="4">
        <f>(9.75/1000)*4.2*365</f>
        <v>14.94675</v>
      </c>
      <c r="AG280" s="4">
        <v>1</v>
      </c>
      <c r="AH280" s="9"/>
      <c r="AI280" s="9"/>
      <c r="AJ280" s="9"/>
      <c r="AK280" s="9" t="s">
        <v>30</v>
      </c>
      <c r="AL280" s="10"/>
      <c r="AM280" s="10"/>
      <c r="AN280" s="10"/>
      <c r="AO280" s="10"/>
      <c r="AP280" s="10"/>
      <c r="AQ280" s="11" t="s">
        <v>533</v>
      </c>
      <c r="AR280" s="4"/>
      <c r="AS280" s="10" t="s">
        <v>854</v>
      </c>
      <c r="AT280" s="10"/>
      <c r="AU280" s="10"/>
      <c r="AV280" s="10"/>
      <c r="AW280" s="10"/>
      <c r="AX280" s="10"/>
      <c r="AY280" s="10"/>
      <c r="AZ280" s="10"/>
      <c r="BA280" s="10"/>
      <c r="BB280" s="10"/>
      <c r="BC280" s="10"/>
      <c r="BD280" s="10"/>
      <c r="BE280" s="10"/>
      <c r="BF280" s="10"/>
    </row>
    <row r="281" spans="1:58" ht="105" x14ac:dyDescent="0.25">
      <c r="A281" s="4" t="s">
        <v>534</v>
      </c>
      <c r="B281" s="4" t="s">
        <v>1477</v>
      </c>
      <c r="C281" s="4" t="s">
        <v>46</v>
      </c>
      <c r="D281" s="4" t="s">
        <v>165</v>
      </c>
      <c r="E281" s="5" t="s">
        <v>34</v>
      </c>
      <c r="F281" s="4" t="s">
        <v>48</v>
      </c>
      <c r="G281" s="4" t="s">
        <v>35</v>
      </c>
      <c r="H281" s="4" t="s">
        <v>1676</v>
      </c>
      <c r="I281" s="12" t="s">
        <v>1372</v>
      </c>
      <c r="J281" s="12">
        <f>930/6</f>
        <v>155</v>
      </c>
      <c r="K281" s="12">
        <v>1</v>
      </c>
      <c r="L281" s="12">
        <f>1.5*1.571</f>
        <v>2.3565</v>
      </c>
      <c r="M281" s="51">
        <f>technologies[[#This Row],[Volume
Literature]]/6</f>
        <v>0.39274999999999999</v>
      </c>
      <c r="N281" s="12">
        <v>0.75</v>
      </c>
      <c r="O281" s="12"/>
      <c r="P281" s="12">
        <f>technologies[[#This Row],[Power]]</f>
        <v>45.85</v>
      </c>
      <c r="Q281" s="12">
        <v>1</v>
      </c>
      <c r="R281" s="12" t="s">
        <v>1377</v>
      </c>
      <c r="S281" s="12">
        <f>275.1/6</f>
        <v>45.85</v>
      </c>
      <c r="T281" s="12">
        <v>1</v>
      </c>
      <c r="U281" s="12">
        <v>85.25</v>
      </c>
      <c r="V281" s="12">
        <v>85.25</v>
      </c>
      <c r="W281" s="7">
        <v>100</v>
      </c>
      <c r="X281" s="12">
        <f>4.2*(technologies[[#This Row],[Efficiency]]/100)*0.032</f>
        <v>0.13440000000000002</v>
      </c>
      <c r="Y281" s="7">
        <v>9</v>
      </c>
      <c r="Z281" s="7">
        <v>9</v>
      </c>
      <c r="AA281" s="7">
        <v>1</v>
      </c>
      <c r="AB281" s="12">
        <v>3214</v>
      </c>
      <c r="AC281" s="7"/>
      <c r="AD281" s="4" t="s">
        <v>1689</v>
      </c>
      <c r="AE281" s="4"/>
      <c r="AF281" s="4">
        <f>(4.55/1000)*1.6*365</f>
        <v>2.6572000000000005</v>
      </c>
      <c r="AG281" s="4">
        <v>1</v>
      </c>
      <c r="AH281" s="9"/>
      <c r="AI281" s="9"/>
      <c r="AJ281" s="9"/>
      <c r="AK281" s="9" t="s">
        <v>30</v>
      </c>
      <c r="AL281" s="10"/>
      <c r="AM281" s="10"/>
      <c r="AN281" s="10"/>
      <c r="AO281" s="10"/>
      <c r="AP281" s="10"/>
      <c r="AQ281" s="11" t="s">
        <v>535</v>
      </c>
      <c r="AR281" s="4"/>
      <c r="AS281" s="10" t="s">
        <v>852</v>
      </c>
      <c r="AT281" s="10"/>
      <c r="AU281" s="10"/>
      <c r="AV281" s="10"/>
      <c r="AW281" s="10"/>
      <c r="AX281" s="10"/>
      <c r="AY281" s="10"/>
      <c r="AZ281" s="10"/>
      <c r="BA281" s="10"/>
      <c r="BB281" s="10"/>
      <c r="BC281" s="10"/>
      <c r="BD281" s="10"/>
      <c r="BE281" s="10"/>
      <c r="BF281" s="10"/>
    </row>
    <row r="282" spans="1:58" ht="270" x14ac:dyDescent="0.25">
      <c r="A282" s="4" t="s">
        <v>1240</v>
      </c>
      <c r="B282" s="4" t="s">
        <v>648</v>
      </c>
      <c r="C282" s="4" t="s">
        <v>46</v>
      </c>
      <c r="D282" s="4" t="s">
        <v>1152</v>
      </c>
      <c r="E282" s="5" t="s">
        <v>34</v>
      </c>
      <c r="F282" s="4"/>
      <c r="G282" s="4" t="s">
        <v>35</v>
      </c>
      <c r="H282" s="49" t="s">
        <v>1009</v>
      </c>
      <c r="I282" s="12" t="s">
        <v>749</v>
      </c>
      <c r="J282" s="12">
        <v>67.992141453831039</v>
      </c>
      <c r="K282" s="12">
        <v>0.75</v>
      </c>
      <c r="L282" s="12" t="s">
        <v>750</v>
      </c>
      <c r="M282" s="51">
        <v>0.25909626719056977</v>
      </c>
      <c r="N282" s="12"/>
      <c r="O282" s="12" t="s">
        <v>462</v>
      </c>
      <c r="P282" s="12">
        <v>392.77013752455798</v>
      </c>
      <c r="Q282" s="12">
        <v>0.75</v>
      </c>
      <c r="R282" s="12" t="s">
        <v>463</v>
      </c>
      <c r="S282" s="12">
        <v>392.77013752455798</v>
      </c>
      <c r="T282" s="12">
        <v>0.75</v>
      </c>
      <c r="U282" s="12">
        <v>34.315633791748532</v>
      </c>
      <c r="V282" s="12">
        <v>34.315633791748532</v>
      </c>
      <c r="W282" s="7">
        <v>95</v>
      </c>
      <c r="X282" s="12">
        <v>8.25147347740668E-4</v>
      </c>
      <c r="Y282" s="7" t="s">
        <v>466</v>
      </c>
      <c r="Z282" s="7">
        <v>9</v>
      </c>
      <c r="AA282" s="7">
        <v>0.75</v>
      </c>
      <c r="AB282" s="15"/>
      <c r="AC282" s="7"/>
      <c r="AD282" s="4" t="s">
        <v>467</v>
      </c>
      <c r="AE282" s="4"/>
      <c r="AF282" s="4"/>
      <c r="AG282" s="4"/>
      <c r="AH282" s="9" t="s">
        <v>468</v>
      </c>
      <c r="AI282" s="9" t="s">
        <v>469</v>
      </c>
      <c r="AJ282" s="9" t="s">
        <v>470</v>
      </c>
      <c r="AK282" s="9" t="s">
        <v>30</v>
      </c>
      <c r="AL282" s="10"/>
      <c r="AM282" s="10" t="s">
        <v>471</v>
      </c>
      <c r="AN282" s="10"/>
      <c r="AO282" s="10" t="s">
        <v>472</v>
      </c>
      <c r="AP282" s="10"/>
      <c r="AQ282" s="11" t="s">
        <v>473</v>
      </c>
      <c r="AR282" s="4" t="s">
        <v>474</v>
      </c>
      <c r="AS282" s="10"/>
      <c r="AT282" s="10"/>
      <c r="AU282" s="10"/>
      <c r="AV282" s="10"/>
      <c r="AW282" s="10"/>
      <c r="AX282" s="10"/>
      <c r="AY282" s="10" t="s">
        <v>854</v>
      </c>
      <c r="AZ282" s="10"/>
      <c r="BA282" s="10"/>
      <c r="BB282" s="10"/>
      <c r="BC282" s="10" t="s">
        <v>464</v>
      </c>
      <c r="BD282" s="10" t="s">
        <v>465</v>
      </c>
      <c r="BE282" s="10"/>
      <c r="BF282" s="10"/>
    </row>
    <row r="283" spans="1:58" ht="105" x14ac:dyDescent="0.25">
      <c r="A283" s="4" t="s">
        <v>961</v>
      </c>
      <c r="B283" s="4"/>
      <c r="C283" s="4" t="s">
        <v>46</v>
      </c>
      <c r="D283" s="4" t="s">
        <v>101</v>
      </c>
      <c r="E283" s="5" t="s">
        <v>24</v>
      </c>
      <c r="F283" s="4"/>
      <c r="G283" s="4" t="s">
        <v>35</v>
      </c>
      <c r="H283" s="49" t="s">
        <v>480</v>
      </c>
      <c r="I283" s="12" t="s">
        <v>751</v>
      </c>
      <c r="J283" s="12">
        <f>38</f>
        <v>38</v>
      </c>
      <c r="K283" s="12">
        <v>0.75</v>
      </c>
      <c r="L283" s="12" t="s">
        <v>752</v>
      </c>
      <c r="M283" s="51">
        <v>5.0999999999999997E-2</v>
      </c>
      <c r="N283" s="12">
        <v>0.75</v>
      </c>
      <c r="O283" s="12">
        <v>4.72</v>
      </c>
      <c r="P283" s="12">
        <f>technologies[[#This Row],[Power]]</f>
        <v>30</v>
      </c>
      <c r="Q283" s="12">
        <v>0.25</v>
      </c>
      <c r="R283" s="12" t="s">
        <v>1258</v>
      </c>
      <c r="S283" s="12">
        <v>30</v>
      </c>
      <c r="T283" s="12">
        <v>0.75</v>
      </c>
      <c r="U283" s="12">
        <v>23.56</v>
      </c>
      <c r="V283" s="12">
        <v>23.56</v>
      </c>
      <c r="W283" s="7"/>
      <c r="X283" s="12"/>
      <c r="Y283" s="7"/>
      <c r="Z283" s="7">
        <v>9</v>
      </c>
      <c r="AA283" s="7">
        <v>1</v>
      </c>
      <c r="AB283" s="4">
        <f>3150*24</f>
        <v>75600</v>
      </c>
      <c r="AC283" s="4">
        <v>0.25</v>
      </c>
      <c r="AD283" s="4"/>
      <c r="AE283" s="4">
        <v>0</v>
      </c>
      <c r="AF283" s="4"/>
      <c r="AG283" s="4">
        <v>0.25</v>
      </c>
      <c r="AH283" s="9"/>
      <c r="AI283" s="9"/>
      <c r="AJ283" s="9"/>
      <c r="AK283" s="9" t="s">
        <v>30</v>
      </c>
      <c r="AL283" s="10"/>
      <c r="AM283" s="10"/>
      <c r="AN283" s="10"/>
      <c r="AO283" s="10"/>
      <c r="AP283" s="10"/>
      <c r="AQ283" s="11" t="s">
        <v>481</v>
      </c>
      <c r="AR283" s="4"/>
      <c r="AS283" s="10" t="s">
        <v>866</v>
      </c>
      <c r="AT283" s="10"/>
      <c r="AU283" s="10"/>
      <c r="AV283" s="10"/>
      <c r="AW283" s="10"/>
      <c r="AX283" s="10"/>
      <c r="AY283" s="10"/>
      <c r="AZ283" s="10"/>
      <c r="BA283" s="10"/>
      <c r="BB283" s="10"/>
      <c r="BC283" s="10"/>
      <c r="BD283" s="10"/>
      <c r="BE283" s="10"/>
      <c r="BF283" s="10"/>
    </row>
    <row r="284" spans="1:58" ht="45" hidden="1" x14ac:dyDescent="0.25">
      <c r="A284" s="4" t="s">
        <v>495</v>
      </c>
      <c r="B284" s="4"/>
      <c r="C284" s="4" t="s">
        <v>46</v>
      </c>
      <c r="D284" s="4" t="s">
        <v>23</v>
      </c>
      <c r="E284" s="5" t="s">
        <v>34</v>
      </c>
      <c r="F284" s="6" t="s">
        <v>48</v>
      </c>
      <c r="G284" s="4" t="s">
        <v>67</v>
      </c>
      <c r="H284" s="4" t="s">
        <v>1012</v>
      </c>
      <c r="I284" s="12">
        <v>4.55</v>
      </c>
      <c r="J284" s="12"/>
      <c r="K284" s="12"/>
      <c r="L284" s="12">
        <v>0.02</v>
      </c>
      <c r="M284" s="51"/>
      <c r="N284" s="12"/>
      <c r="O284" s="12">
        <v>4</v>
      </c>
      <c r="P284" s="12"/>
      <c r="Q284" s="12"/>
      <c r="R284" s="12">
        <v>4</v>
      </c>
      <c r="S284" s="12"/>
      <c r="T284" s="12"/>
      <c r="U284" s="12"/>
      <c r="V284" s="12"/>
      <c r="W284" s="7"/>
      <c r="X284" s="12"/>
      <c r="Y284" s="7"/>
      <c r="Z284" s="7">
        <v>9</v>
      </c>
      <c r="AA284" s="7"/>
      <c r="AB284" s="7"/>
      <c r="AC284" s="7"/>
      <c r="AD284" s="4"/>
      <c r="AE284" s="4"/>
      <c r="AF284" s="4"/>
      <c r="AG284" s="4"/>
      <c r="AH284" s="9"/>
      <c r="AI284" s="9"/>
      <c r="AJ284" s="9"/>
      <c r="AK284" s="9" t="s">
        <v>30</v>
      </c>
      <c r="AL284" s="10"/>
      <c r="AM284" s="10"/>
      <c r="AN284" s="10"/>
      <c r="AO284" s="10"/>
      <c r="AP284" s="10"/>
      <c r="AQ284" s="11">
        <v>14</v>
      </c>
      <c r="AR284" s="4" t="s">
        <v>32</v>
      </c>
      <c r="AS284" s="10" t="s">
        <v>869</v>
      </c>
      <c r="AT284" s="10" t="s">
        <v>872</v>
      </c>
      <c r="AU284" s="10"/>
      <c r="AV284" s="10"/>
      <c r="AW284" s="10"/>
      <c r="AX284" s="10"/>
      <c r="AY284" s="10"/>
      <c r="AZ284" s="10"/>
      <c r="BA284" s="10"/>
      <c r="BB284" s="10"/>
      <c r="BC284" s="10"/>
      <c r="BD284" s="10"/>
      <c r="BE284" s="10"/>
      <c r="BF284" s="10"/>
    </row>
    <row r="285" spans="1:58" ht="90" hidden="1" x14ac:dyDescent="0.25">
      <c r="A285" s="4" t="s">
        <v>496</v>
      </c>
      <c r="B285" s="4"/>
      <c r="C285" s="4" t="s">
        <v>46</v>
      </c>
      <c r="D285" s="4" t="s">
        <v>23</v>
      </c>
      <c r="E285" s="5" t="s">
        <v>34</v>
      </c>
      <c r="F285" s="6"/>
      <c r="G285" s="4" t="s">
        <v>67</v>
      </c>
      <c r="H285" s="4" t="s">
        <v>1013</v>
      </c>
      <c r="I285" s="12" t="s">
        <v>1014</v>
      </c>
      <c r="J285" s="12"/>
      <c r="K285" s="12"/>
      <c r="L285" s="12" t="s">
        <v>1102</v>
      </c>
      <c r="M285" s="51"/>
      <c r="N285" s="12"/>
      <c r="O285" s="12" t="s">
        <v>497</v>
      </c>
      <c r="P285" s="12"/>
      <c r="Q285" s="12"/>
      <c r="R285" s="12" t="s">
        <v>498</v>
      </c>
      <c r="S285" s="12"/>
      <c r="T285" s="12"/>
      <c r="U285" s="12"/>
      <c r="V285" s="12"/>
      <c r="W285" s="7"/>
      <c r="X285" s="12"/>
      <c r="Y285" s="7" t="s">
        <v>499</v>
      </c>
      <c r="Z285" s="7"/>
      <c r="AA285" s="7"/>
      <c r="AB285" s="7"/>
      <c r="AC285" s="7"/>
      <c r="AD285" s="4"/>
      <c r="AE285" s="4"/>
      <c r="AF285" s="4"/>
      <c r="AG285" s="4"/>
      <c r="AH285" s="9"/>
      <c r="AI285" s="9"/>
      <c r="AJ285" s="9"/>
      <c r="AK285" s="9" t="s">
        <v>30</v>
      </c>
      <c r="AL285" s="10"/>
      <c r="AM285" s="10"/>
      <c r="AN285" s="10"/>
      <c r="AO285" s="10"/>
      <c r="AP285" s="10"/>
      <c r="AQ285" s="11" t="s">
        <v>500</v>
      </c>
      <c r="AR285" s="4" t="s">
        <v>32</v>
      </c>
      <c r="AS285" s="10" t="s">
        <v>866</v>
      </c>
      <c r="AT285" s="10" t="s">
        <v>855</v>
      </c>
      <c r="AU285" s="10"/>
      <c r="AV285" s="10"/>
      <c r="AW285" s="10"/>
      <c r="AX285" s="10"/>
      <c r="AY285" s="10"/>
      <c r="AZ285" s="10" t="s">
        <v>852</v>
      </c>
      <c r="BA285" s="10"/>
      <c r="BB285" s="10"/>
      <c r="BC285" s="10"/>
      <c r="BD285" s="10"/>
      <c r="BE285" s="10"/>
      <c r="BF285" s="10"/>
    </row>
    <row r="286" spans="1:58" ht="45" x14ac:dyDescent="0.25">
      <c r="A286" s="4" t="s">
        <v>1241</v>
      </c>
      <c r="B286" s="4" t="s">
        <v>1498</v>
      </c>
      <c r="C286" s="4" t="s">
        <v>46</v>
      </c>
      <c r="D286" s="4" t="s">
        <v>23</v>
      </c>
      <c r="E286" s="5" t="s">
        <v>34</v>
      </c>
      <c r="F286" s="4"/>
      <c r="G286" s="4" t="s">
        <v>35</v>
      </c>
      <c r="H286" s="4" t="s">
        <v>1012</v>
      </c>
      <c r="I286" s="12">
        <v>582.41999999999996</v>
      </c>
      <c r="J286" s="12"/>
      <c r="K286" s="12"/>
      <c r="L286" s="12">
        <v>2.02</v>
      </c>
      <c r="M286" s="51"/>
      <c r="N286" s="12"/>
      <c r="O286" s="12">
        <v>2831.45</v>
      </c>
      <c r="P286" s="12"/>
      <c r="Q286" s="12"/>
      <c r="R286" s="12">
        <v>2831.45</v>
      </c>
      <c r="S286" s="12"/>
      <c r="T286" s="12"/>
      <c r="U286" s="12"/>
      <c r="V286" s="12"/>
      <c r="W286" s="7"/>
      <c r="X286" s="12"/>
      <c r="Y286" s="7" t="s">
        <v>502</v>
      </c>
      <c r="Z286" s="7">
        <v>4</v>
      </c>
      <c r="AA286" s="7"/>
      <c r="AB286" s="7"/>
      <c r="AC286" s="7"/>
      <c r="AD286" s="4" t="s">
        <v>501</v>
      </c>
      <c r="AE286" s="13">
        <f>180/365</f>
        <v>0.49315068493150682</v>
      </c>
      <c r="AF286" s="13"/>
      <c r="AG286" s="4"/>
      <c r="AH286" s="9" t="s">
        <v>502</v>
      </c>
      <c r="AI286" s="9" t="s">
        <v>502</v>
      </c>
      <c r="AJ286" s="9"/>
      <c r="AK286" s="9" t="s">
        <v>30</v>
      </c>
      <c r="AL286" s="10"/>
      <c r="AM286" s="10"/>
      <c r="AN286" s="10"/>
      <c r="AO286" s="10"/>
      <c r="AP286" s="10"/>
      <c r="AQ286" s="11">
        <v>14</v>
      </c>
      <c r="AR286" s="4"/>
      <c r="AS286" s="10" t="s">
        <v>855</v>
      </c>
      <c r="AT286" s="10"/>
      <c r="AU286" s="10"/>
      <c r="AV286" s="10"/>
      <c r="AW286" s="10"/>
      <c r="AX286" s="10"/>
      <c r="AY286" s="10" t="s">
        <v>854</v>
      </c>
      <c r="AZ286" s="10"/>
      <c r="BA286" s="10"/>
      <c r="BB286" s="10"/>
      <c r="BC286" s="10"/>
      <c r="BD286" s="10"/>
      <c r="BE286" s="10"/>
      <c r="BF286" s="10"/>
    </row>
    <row r="287" spans="1:58" ht="30" hidden="1" x14ac:dyDescent="0.25">
      <c r="A287" s="4" t="s">
        <v>503</v>
      </c>
      <c r="B287" s="4"/>
      <c r="C287" s="4" t="s">
        <v>46</v>
      </c>
      <c r="D287" s="4" t="s">
        <v>101</v>
      </c>
      <c r="E287" s="5" t="s">
        <v>34</v>
      </c>
      <c r="F287" s="6"/>
      <c r="G287" s="6" t="s">
        <v>26</v>
      </c>
      <c r="H287" s="4" t="s">
        <v>1012</v>
      </c>
      <c r="I287" s="12">
        <v>8.67</v>
      </c>
      <c r="J287" s="12">
        <f>technologies[[#This Row],[Mass
Literature]]/6</f>
        <v>1.4450000000000001</v>
      </c>
      <c r="K287" s="12">
        <v>0.75</v>
      </c>
      <c r="L287" s="12">
        <v>0.02</v>
      </c>
      <c r="M287" s="51">
        <f>technologies[[#This Row],[Volume
Literature]]/6</f>
        <v>3.3333333333333335E-3</v>
      </c>
      <c r="N287" s="12">
        <v>0.75</v>
      </c>
      <c r="O287" s="12">
        <v>0</v>
      </c>
      <c r="P287" s="12">
        <v>0</v>
      </c>
      <c r="Q287" s="12">
        <v>0.75</v>
      </c>
      <c r="R287" s="12">
        <v>0</v>
      </c>
      <c r="S287" s="12">
        <v>0</v>
      </c>
      <c r="T287" s="12">
        <v>0.75</v>
      </c>
      <c r="U287" s="12"/>
      <c r="V287" s="12"/>
      <c r="W287" s="7"/>
      <c r="X287" s="12"/>
      <c r="Y287" s="7">
        <v>9</v>
      </c>
      <c r="Z287" s="7">
        <v>9</v>
      </c>
      <c r="AA287" s="7">
        <v>0.75</v>
      </c>
      <c r="AB287" s="8">
        <f>1/(6.97*10^-6)</f>
        <v>143472.02295552369</v>
      </c>
      <c r="AC287" s="7">
        <v>0.75</v>
      </c>
      <c r="AD287" s="4"/>
      <c r="AE287" s="4"/>
      <c r="AF287" s="4"/>
      <c r="AG287" s="4"/>
      <c r="AH287" s="9"/>
      <c r="AI287" s="9"/>
      <c r="AJ287" s="9"/>
      <c r="AK287" s="9" t="s">
        <v>30</v>
      </c>
      <c r="AL287" s="10"/>
      <c r="AM287" s="10"/>
      <c r="AN287" s="10"/>
      <c r="AO287" s="10"/>
      <c r="AP287" s="10"/>
      <c r="AQ287" s="11" t="s">
        <v>504</v>
      </c>
      <c r="AR287" s="4"/>
      <c r="AS287" s="10" t="s">
        <v>865</v>
      </c>
      <c r="AT287" s="10"/>
      <c r="AU287" s="10"/>
      <c r="AV287" s="10"/>
      <c r="AW287" s="10"/>
      <c r="AX287" s="10"/>
      <c r="AY287" s="10"/>
      <c r="AZ287" s="10"/>
      <c r="BA287" s="10"/>
      <c r="BB287" s="10"/>
      <c r="BC287" s="10"/>
      <c r="BD287" s="10"/>
      <c r="BE287" s="10"/>
      <c r="BF287" s="10"/>
    </row>
    <row r="288" spans="1:58" ht="30" hidden="1" x14ac:dyDescent="0.25">
      <c r="A288" s="4" t="s">
        <v>511</v>
      </c>
      <c r="B288" s="4"/>
      <c r="C288" s="4" t="s">
        <v>46</v>
      </c>
      <c r="D288" s="4" t="s">
        <v>23</v>
      </c>
      <c r="E288" s="5" t="s">
        <v>34</v>
      </c>
      <c r="F288" s="6"/>
      <c r="G288" s="4" t="s">
        <v>26</v>
      </c>
      <c r="H288" s="4" t="s">
        <v>1016</v>
      </c>
      <c r="I288" s="12">
        <v>40</v>
      </c>
      <c r="J288" s="12">
        <v>40</v>
      </c>
      <c r="K288" s="12"/>
      <c r="L288" s="12">
        <v>0.56000000000000005</v>
      </c>
      <c r="M288" s="51"/>
      <c r="N288" s="12"/>
      <c r="O288" s="12"/>
      <c r="P288" s="12"/>
      <c r="Q288" s="12"/>
      <c r="R288" s="12">
        <v>1200</v>
      </c>
      <c r="S288" s="12">
        <v>1200</v>
      </c>
      <c r="T288" s="12"/>
      <c r="U288" s="12"/>
      <c r="V288" s="12"/>
      <c r="W288" s="7"/>
      <c r="X288" s="12"/>
      <c r="Y288" s="7"/>
      <c r="Z288" s="7"/>
      <c r="AA288" s="7"/>
      <c r="AB288" s="7"/>
      <c r="AC288" s="7"/>
      <c r="AD288" s="4"/>
      <c r="AE288" s="4"/>
      <c r="AF288" s="4"/>
      <c r="AG288" s="4"/>
      <c r="AH288" s="9"/>
      <c r="AI288" s="9"/>
      <c r="AJ288" s="9"/>
      <c r="AK288" s="9" t="s">
        <v>30</v>
      </c>
      <c r="AL288" s="10"/>
      <c r="AM288" s="10"/>
      <c r="AN288" s="10"/>
      <c r="AO288" s="10"/>
      <c r="AP288" s="10"/>
      <c r="AQ288" s="11">
        <v>9</v>
      </c>
      <c r="AR288" s="4"/>
      <c r="AS288" s="10"/>
      <c r="AT288" s="10"/>
      <c r="AU288" s="10"/>
      <c r="AV288" s="10"/>
      <c r="AW288" s="10"/>
      <c r="AX288" s="10"/>
      <c r="AY288" s="10"/>
      <c r="AZ288" s="10"/>
      <c r="BA288" s="10"/>
      <c r="BB288" s="10"/>
      <c r="BC288" s="10"/>
      <c r="BD288" s="10"/>
      <c r="BE288" s="10"/>
      <c r="BF288" s="10"/>
    </row>
    <row r="289" spans="1:58" ht="30" hidden="1" x14ac:dyDescent="0.25">
      <c r="A289" s="4" t="s">
        <v>517</v>
      </c>
      <c r="B289" s="4"/>
      <c r="C289" s="4" t="s">
        <v>46</v>
      </c>
      <c r="D289" s="4" t="s">
        <v>23</v>
      </c>
      <c r="E289" s="5" t="s">
        <v>34</v>
      </c>
      <c r="F289" s="6"/>
      <c r="G289" s="4" t="s">
        <v>26</v>
      </c>
      <c r="H289" s="49" t="s">
        <v>1018</v>
      </c>
      <c r="I289" s="12" t="s">
        <v>827</v>
      </c>
      <c r="J289" s="12">
        <v>75</v>
      </c>
      <c r="K289" s="12"/>
      <c r="L289" s="12" t="s">
        <v>824</v>
      </c>
      <c r="M289" s="51">
        <v>1.41</v>
      </c>
      <c r="N289" s="12"/>
      <c r="O289" s="12"/>
      <c r="P289" s="12"/>
      <c r="Q289" s="12"/>
      <c r="R289" s="12" t="s">
        <v>518</v>
      </c>
      <c r="S289" s="12">
        <v>100</v>
      </c>
      <c r="T289" s="12"/>
      <c r="U289" s="12"/>
      <c r="V289" s="12"/>
      <c r="W289" s="7"/>
      <c r="X289" s="12"/>
      <c r="Y289" s="7">
        <v>9</v>
      </c>
      <c r="Z289" s="7"/>
      <c r="AA289" s="7"/>
      <c r="AB289" s="7"/>
      <c r="AC289" s="7"/>
      <c r="AD289" s="4"/>
      <c r="AE289" s="4"/>
      <c r="AF289" s="4"/>
      <c r="AG289" s="4"/>
      <c r="AH289" s="9"/>
      <c r="AI289" s="9"/>
      <c r="AJ289" s="9"/>
      <c r="AK289" s="9" t="s">
        <v>30</v>
      </c>
      <c r="AL289" s="10"/>
      <c r="AM289" s="10"/>
      <c r="AN289" s="10"/>
      <c r="AO289" s="10"/>
      <c r="AP289" s="10"/>
      <c r="AQ289" s="11" t="s">
        <v>519</v>
      </c>
      <c r="AR289" s="4"/>
      <c r="AS289" s="10" t="s">
        <v>869</v>
      </c>
      <c r="AT289" s="10"/>
      <c r="AU289" s="10"/>
      <c r="AV289" s="10"/>
      <c r="AW289" s="10"/>
      <c r="AX289" s="10"/>
      <c r="AY289" s="10"/>
      <c r="AZ289" s="10"/>
      <c r="BA289" s="10"/>
      <c r="BB289" s="10"/>
      <c r="BC289" s="10"/>
      <c r="BD289" s="10"/>
      <c r="BE289" s="10"/>
      <c r="BF289" s="10"/>
    </row>
    <row r="290" spans="1:58" ht="30" hidden="1" x14ac:dyDescent="0.25">
      <c r="A290" s="4" t="s">
        <v>1015</v>
      </c>
      <c r="B290" s="4"/>
      <c r="C290" s="4" t="s">
        <v>46</v>
      </c>
      <c r="D290" s="4" t="s">
        <v>23</v>
      </c>
      <c r="E290" s="5" t="s">
        <v>34</v>
      </c>
      <c r="F290" s="6"/>
      <c r="G290" s="4" t="s">
        <v>26</v>
      </c>
      <c r="H290" s="4" t="s">
        <v>1016</v>
      </c>
      <c r="I290" s="12">
        <v>8</v>
      </c>
      <c r="J290" s="12"/>
      <c r="K290" s="12"/>
      <c r="L290" s="12">
        <v>0.01</v>
      </c>
      <c r="M290" s="51"/>
      <c r="N290" s="12"/>
      <c r="O290" s="12"/>
      <c r="P290" s="12"/>
      <c r="Q290" s="12"/>
      <c r="R290" s="12"/>
      <c r="S290" s="12"/>
      <c r="T290" s="12"/>
      <c r="U290" s="12"/>
      <c r="V290" s="12"/>
      <c r="W290" s="7"/>
      <c r="X290" s="12"/>
      <c r="Y290" s="7"/>
      <c r="Z290" s="7"/>
      <c r="AA290" s="7"/>
      <c r="AB290" s="7"/>
      <c r="AC290" s="7"/>
      <c r="AD290" s="4"/>
      <c r="AE290" s="4"/>
      <c r="AF290" s="4"/>
      <c r="AG290" s="4"/>
      <c r="AH290" s="9"/>
      <c r="AI290" s="9"/>
      <c r="AJ290" s="9"/>
      <c r="AK290" s="9" t="s">
        <v>30</v>
      </c>
      <c r="AL290" s="10"/>
      <c r="AM290" s="10"/>
      <c r="AN290" s="10"/>
      <c r="AO290" s="10"/>
      <c r="AP290" s="10"/>
      <c r="AQ290" s="11">
        <v>9</v>
      </c>
      <c r="AR290" s="4"/>
      <c r="AS290" s="10" t="s">
        <v>869</v>
      </c>
      <c r="AT290" s="10"/>
      <c r="AU290" s="10"/>
      <c r="AV290" s="10"/>
      <c r="AW290" s="10"/>
      <c r="AX290" s="10"/>
      <c r="AY290" s="10"/>
      <c r="AZ290" s="10"/>
      <c r="BA290" s="10"/>
      <c r="BB290" s="10"/>
      <c r="BC290" s="10"/>
      <c r="BD290" s="10"/>
      <c r="BE290" s="10"/>
      <c r="BF290" s="10"/>
    </row>
    <row r="291" spans="1:58" ht="30" hidden="1" x14ac:dyDescent="0.25">
      <c r="A291" s="4" t="s">
        <v>520</v>
      </c>
      <c r="B291" s="4"/>
      <c r="C291" s="4" t="s">
        <v>46</v>
      </c>
      <c r="D291" s="4" t="s">
        <v>23</v>
      </c>
      <c r="E291" s="5" t="s">
        <v>34</v>
      </c>
      <c r="F291" s="6"/>
      <c r="G291" s="6" t="s">
        <v>26</v>
      </c>
      <c r="H291" s="4" t="s">
        <v>1016</v>
      </c>
      <c r="I291" s="12">
        <v>100</v>
      </c>
      <c r="J291" s="12">
        <v>100</v>
      </c>
      <c r="K291" s="12"/>
      <c r="L291" s="12">
        <v>0.75</v>
      </c>
      <c r="M291" s="51">
        <v>0.75</v>
      </c>
      <c r="N291" s="12"/>
      <c r="O291" s="12"/>
      <c r="P291" s="12"/>
      <c r="Q291" s="12"/>
      <c r="R291" s="12">
        <v>1500</v>
      </c>
      <c r="S291" s="12">
        <v>1500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c r="BF291" s="10"/>
    </row>
    <row r="292" spans="1:58" ht="30" hidden="1" x14ac:dyDescent="0.25">
      <c r="A292" s="4" t="s">
        <v>521</v>
      </c>
      <c r="B292" s="4"/>
      <c r="C292" s="4" t="s">
        <v>46</v>
      </c>
      <c r="D292" s="4" t="s">
        <v>23</v>
      </c>
      <c r="E292" s="5" t="s">
        <v>34</v>
      </c>
      <c r="F292" s="6"/>
      <c r="G292" s="6" t="s">
        <v>26</v>
      </c>
      <c r="H292" s="4" t="s">
        <v>1016</v>
      </c>
      <c r="I292" s="12">
        <v>60</v>
      </c>
      <c r="J292" s="12">
        <v>60</v>
      </c>
      <c r="K292" s="12"/>
      <c r="L292" s="12">
        <v>0.75</v>
      </c>
      <c r="M292" s="51">
        <v>0.75</v>
      </c>
      <c r="N292" s="12"/>
      <c r="O292" s="12"/>
      <c r="P292" s="12"/>
      <c r="Q292" s="12"/>
      <c r="R292" s="12">
        <v>2500</v>
      </c>
      <c r="S292" s="12">
        <v>2500</v>
      </c>
      <c r="T292" s="12"/>
      <c r="U292" s="12"/>
      <c r="V292" s="12"/>
      <c r="W292" s="7"/>
      <c r="X292" s="12"/>
      <c r="Y292" s="7"/>
      <c r="Z292" s="7"/>
      <c r="AA292" s="7"/>
      <c r="AB292" s="7"/>
      <c r="AC292" s="7"/>
      <c r="AD292" s="4"/>
      <c r="AE292" s="4"/>
      <c r="AF292" s="4"/>
      <c r="AG292" s="4"/>
      <c r="AH292" s="9"/>
      <c r="AI292" s="9"/>
      <c r="AJ292" s="9"/>
      <c r="AK292" s="9" t="s">
        <v>30</v>
      </c>
      <c r="AL292" s="10"/>
      <c r="AM292" s="10"/>
      <c r="AN292" s="10"/>
      <c r="AO292" s="10"/>
      <c r="AP292" s="10"/>
      <c r="AQ292" s="11">
        <v>9</v>
      </c>
      <c r="AR292" s="4"/>
      <c r="AS292" s="10"/>
      <c r="AT292" s="10"/>
      <c r="AU292" s="10"/>
      <c r="AV292" s="10"/>
      <c r="AW292" s="10"/>
      <c r="AX292" s="10"/>
      <c r="AY292" s="10"/>
      <c r="AZ292" s="10"/>
      <c r="BA292" s="10"/>
      <c r="BB292" s="10"/>
      <c r="BC292" s="10"/>
      <c r="BD292" s="10"/>
      <c r="BE292" s="10"/>
      <c r="BF292" s="10"/>
    </row>
    <row r="293" spans="1:58" ht="210" hidden="1" x14ac:dyDescent="0.25">
      <c r="A293" s="4" t="s">
        <v>967</v>
      </c>
      <c r="B293" s="4"/>
      <c r="C293" s="4" t="s">
        <v>46</v>
      </c>
      <c r="D293" s="4" t="s">
        <v>23</v>
      </c>
      <c r="E293" s="5" t="s">
        <v>34</v>
      </c>
      <c r="F293" s="4"/>
      <c r="G293" s="4" t="s">
        <v>67</v>
      </c>
      <c r="H293" s="49" t="s">
        <v>1008</v>
      </c>
      <c r="I293" s="12" t="s">
        <v>747</v>
      </c>
      <c r="J293" s="12">
        <v>61.78217821782178</v>
      </c>
      <c r="K293" s="12">
        <v>0.5</v>
      </c>
      <c r="L293" s="12" t="s">
        <v>748</v>
      </c>
      <c r="M293" s="51">
        <v>0.2212792707842213</v>
      </c>
      <c r="N293" s="12">
        <v>0.5</v>
      </c>
      <c r="O293" s="12" t="s">
        <v>448</v>
      </c>
      <c r="P293" s="12">
        <v>107.87364450730789</v>
      </c>
      <c r="Q293" s="12">
        <v>0.5</v>
      </c>
      <c r="R293" s="12" t="s">
        <v>449</v>
      </c>
      <c r="S293" s="12">
        <v>359.32736130755933</v>
      </c>
      <c r="T293" s="12">
        <v>0.5</v>
      </c>
      <c r="U293" s="12"/>
      <c r="V293" s="12"/>
      <c r="W293" s="7">
        <v>70</v>
      </c>
      <c r="X293" s="12">
        <v>0.2082036775106082</v>
      </c>
      <c r="Y293" s="7" t="s">
        <v>451</v>
      </c>
      <c r="Z293" s="7">
        <v>9</v>
      </c>
      <c r="AA293" s="7">
        <v>1</v>
      </c>
      <c r="AB293" s="7">
        <v>13600</v>
      </c>
      <c r="AC293" s="7">
        <v>0.5</v>
      </c>
      <c r="AD293" s="4" t="s">
        <v>1157</v>
      </c>
      <c r="AE293" s="13">
        <f>13.1/9*Crew_Size/500*Mission_Duration</f>
        <v>4.6577777777777776</v>
      </c>
      <c r="AF293" s="13"/>
      <c r="AG293" s="4">
        <v>0.5</v>
      </c>
      <c r="AH293" s="9" t="s">
        <v>452</v>
      </c>
      <c r="AI293" s="9" t="s">
        <v>453</v>
      </c>
      <c r="AJ293" s="9" t="s">
        <v>454</v>
      </c>
      <c r="AK293" s="9" t="s">
        <v>30</v>
      </c>
      <c r="AL293" s="10" t="s">
        <v>455</v>
      </c>
      <c r="AM293" s="10" t="s">
        <v>456</v>
      </c>
      <c r="AN293" s="10" t="s">
        <v>457</v>
      </c>
      <c r="AO293" s="10" t="s">
        <v>458</v>
      </c>
      <c r="AP293" s="10" t="s">
        <v>459</v>
      </c>
      <c r="AQ293" s="11" t="s">
        <v>460</v>
      </c>
      <c r="AR293" s="4" t="s">
        <v>461</v>
      </c>
      <c r="AS293" s="10" t="s">
        <v>855</v>
      </c>
      <c r="AT293" s="10"/>
      <c r="AU293" s="10"/>
      <c r="AV293" s="10"/>
      <c r="AW293" s="10" t="s">
        <v>852</v>
      </c>
      <c r="AX293" s="10" t="s">
        <v>853</v>
      </c>
      <c r="AY293" s="10" t="s">
        <v>854</v>
      </c>
      <c r="AZ293" s="10"/>
      <c r="BA293" s="10"/>
      <c r="BB293" s="10"/>
      <c r="BC293" s="10" t="s">
        <v>450</v>
      </c>
      <c r="BD293" s="10" t="s">
        <v>1130</v>
      </c>
      <c r="BE293" s="10"/>
      <c r="BF293" s="10"/>
    </row>
    <row r="294" spans="1:58" ht="45" x14ac:dyDescent="0.25">
      <c r="A294" s="19" t="s">
        <v>1264</v>
      </c>
      <c r="B294" s="4" t="s">
        <v>1264</v>
      </c>
      <c r="C294" s="4" t="s">
        <v>46</v>
      </c>
      <c r="D294" s="4" t="s">
        <v>131</v>
      </c>
      <c r="E294" s="5" t="s">
        <v>24</v>
      </c>
      <c r="F294" s="4"/>
      <c r="G294" s="4" t="s">
        <v>35</v>
      </c>
      <c r="H294" s="4" t="s">
        <v>1029</v>
      </c>
      <c r="I294" s="12"/>
      <c r="J294" s="12">
        <v>93.876941165923142</v>
      </c>
      <c r="K294" s="12">
        <v>1</v>
      </c>
      <c r="L294" s="12"/>
      <c r="M294" s="51">
        <v>26.982045036207516</v>
      </c>
      <c r="N294" s="12">
        <v>1</v>
      </c>
      <c r="O294" s="12"/>
      <c r="P294" s="12">
        <v>0</v>
      </c>
      <c r="Q294" s="12">
        <v>1</v>
      </c>
      <c r="R294" s="12"/>
      <c r="S294" s="12">
        <v>0</v>
      </c>
      <c r="T294" s="12">
        <v>1</v>
      </c>
      <c r="U294" s="12">
        <v>20</v>
      </c>
      <c r="V294" s="12">
        <v>20</v>
      </c>
      <c r="W294" s="7">
        <v>100</v>
      </c>
      <c r="X294" s="12">
        <v>24479.999999999996</v>
      </c>
      <c r="Y294" s="7">
        <v>9</v>
      </c>
      <c r="Z294" s="7">
        <v>9</v>
      </c>
      <c r="AA294" s="7">
        <v>1</v>
      </c>
      <c r="AB294" s="7">
        <v>64561</v>
      </c>
      <c r="AC294" s="7">
        <v>1</v>
      </c>
      <c r="AD294" s="4">
        <v>0</v>
      </c>
      <c r="AE294" s="4">
        <v>0</v>
      </c>
      <c r="AF294" s="4"/>
      <c r="AG294" s="4">
        <v>0.25</v>
      </c>
      <c r="AH294" s="9"/>
      <c r="AI294" s="9"/>
      <c r="AJ294" s="9"/>
      <c r="AK294" s="9" t="s">
        <v>30</v>
      </c>
      <c r="AL294" s="10"/>
      <c r="AM294" s="10"/>
      <c r="AN294" s="10"/>
      <c r="AO294" s="10"/>
      <c r="AP294" s="10"/>
      <c r="AQ294" s="11">
        <v>48</v>
      </c>
      <c r="AR294" s="4"/>
      <c r="AS294" s="10" t="s">
        <v>868</v>
      </c>
      <c r="AT294" s="10" t="s">
        <v>870</v>
      </c>
      <c r="AU294" s="10"/>
      <c r="AV294" s="10"/>
      <c r="AW294" s="10"/>
      <c r="AX294" s="10"/>
      <c r="AY294" s="10"/>
      <c r="AZ294" s="10"/>
      <c r="BA294" s="10"/>
      <c r="BB294" s="10"/>
      <c r="BC294" s="10"/>
      <c r="BD294" s="10"/>
      <c r="BE294" s="10"/>
      <c r="BF294" s="10"/>
    </row>
    <row r="295" spans="1:58" ht="30" hidden="1" x14ac:dyDescent="0.25">
      <c r="A295" s="19" t="s">
        <v>620</v>
      </c>
      <c r="B295" s="4"/>
      <c r="C295" s="4" t="s">
        <v>46</v>
      </c>
      <c r="D295" s="4" t="s">
        <v>47</v>
      </c>
      <c r="E295" s="5" t="s">
        <v>34</v>
      </c>
      <c r="F295" s="4" t="s">
        <v>632</v>
      </c>
      <c r="G295" s="4" t="s">
        <v>26</v>
      </c>
      <c r="H295" s="4" t="s">
        <v>1047</v>
      </c>
      <c r="I295" s="12"/>
      <c r="J295" s="12"/>
      <c r="K295" s="12"/>
      <c r="L295" s="12"/>
      <c r="M295" s="51"/>
      <c r="N295" s="12"/>
      <c r="O295" s="12"/>
      <c r="P295" s="12"/>
      <c r="Q295" s="12"/>
      <c r="R295" s="12"/>
      <c r="S295" s="12"/>
      <c r="T295" s="12"/>
      <c r="U295" s="12"/>
      <c r="V295" s="12"/>
      <c r="W295" s="7"/>
      <c r="X295" s="12"/>
      <c r="Y295" s="7"/>
      <c r="Z295" s="7"/>
      <c r="AA295" s="7"/>
      <c r="AB295" s="8">
        <f>1/(1.7*10^-5)</f>
        <v>58823.529411764706</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c r="BE295" s="10"/>
      <c r="BF295" s="10"/>
    </row>
    <row r="296" spans="1:58" ht="30" hidden="1" x14ac:dyDescent="0.25">
      <c r="A296" s="19" t="s">
        <v>614</v>
      </c>
      <c r="B296" s="4"/>
      <c r="C296" s="4" t="s">
        <v>46</v>
      </c>
      <c r="D296" s="4" t="s">
        <v>47</v>
      </c>
      <c r="E296" s="5" t="s">
        <v>34</v>
      </c>
      <c r="F296" s="4" t="s">
        <v>632</v>
      </c>
      <c r="G296" s="4" t="s">
        <v>26</v>
      </c>
      <c r="H296" s="4" t="s">
        <v>1047</v>
      </c>
      <c r="I296" s="12"/>
      <c r="J296" s="12"/>
      <c r="K296" s="12"/>
      <c r="L296" s="12"/>
      <c r="M296" s="51"/>
      <c r="N296" s="12"/>
      <c r="O296" s="12"/>
      <c r="P296" s="12"/>
      <c r="Q296" s="12"/>
      <c r="R296" s="12"/>
      <c r="S296" s="12"/>
      <c r="T296" s="12"/>
      <c r="U296" s="12"/>
      <c r="V296" s="12"/>
      <c r="W296" s="7"/>
      <c r="X296" s="12"/>
      <c r="Y296" s="7"/>
      <c r="Z296" s="7"/>
      <c r="AA296" s="7"/>
      <c r="AB296" s="8">
        <f>1/(4.67*10^-5)</f>
        <v>21413.276231263382</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c r="BE296" s="10"/>
      <c r="BF296" s="10"/>
    </row>
    <row r="297" spans="1:58" ht="30" hidden="1" x14ac:dyDescent="0.25">
      <c r="A297" s="19" t="s">
        <v>634</v>
      </c>
      <c r="B297" s="4"/>
      <c r="C297" s="4" t="s">
        <v>46</v>
      </c>
      <c r="D297" s="4" t="s">
        <v>47</v>
      </c>
      <c r="E297" s="5" t="s">
        <v>34</v>
      </c>
      <c r="F297" s="4" t="s">
        <v>632</v>
      </c>
      <c r="G297" s="4" t="s">
        <v>26</v>
      </c>
      <c r="H297" s="4" t="s">
        <v>1047</v>
      </c>
      <c r="I297" s="12"/>
      <c r="J297" s="12"/>
      <c r="K297" s="12"/>
      <c r="L297" s="12"/>
      <c r="M297" s="51"/>
      <c r="N297" s="12"/>
      <c r="O297" s="12"/>
      <c r="P297" s="12"/>
      <c r="Q297" s="12"/>
      <c r="R297" s="12"/>
      <c r="S297" s="12"/>
      <c r="T297" s="12"/>
      <c r="U297" s="12"/>
      <c r="V297" s="12"/>
      <c r="W297" s="7"/>
      <c r="X297" s="12"/>
      <c r="Y297" s="7"/>
      <c r="Z297" s="7"/>
      <c r="AA297" s="7"/>
      <c r="AB297" s="8">
        <f>1/(7.02*10^-6)</f>
        <v>142450.14245014248</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c r="BE297" s="10"/>
      <c r="BF297" s="10"/>
    </row>
    <row r="298" spans="1:58" ht="30" hidden="1" x14ac:dyDescent="0.25">
      <c r="A298" s="19" t="s">
        <v>629</v>
      </c>
      <c r="B298" s="4"/>
      <c r="C298" s="4" t="s">
        <v>46</v>
      </c>
      <c r="D298" s="4" t="s">
        <v>47</v>
      </c>
      <c r="E298" s="5" t="s">
        <v>34</v>
      </c>
      <c r="F298" s="4" t="s">
        <v>632</v>
      </c>
      <c r="G298" s="4" t="s">
        <v>26</v>
      </c>
      <c r="H298" s="4" t="s">
        <v>1047</v>
      </c>
      <c r="I298" s="12"/>
      <c r="J298" s="12"/>
      <c r="K298" s="12"/>
      <c r="L298" s="12"/>
      <c r="M298" s="51"/>
      <c r="N298" s="12"/>
      <c r="O298" s="12"/>
      <c r="P298" s="12"/>
      <c r="Q298" s="12"/>
      <c r="R298" s="12"/>
      <c r="S298" s="12"/>
      <c r="T298" s="12"/>
      <c r="U298" s="12"/>
      <c r="V298" s="12"/>
      <c r="W298" s="7"/>
      <c r="X298" s="12"/>
      <c r="Y298" s="7"/>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c r="BF298" s="10"/>
    </row>
    <row r="299" spans="1:58" ht="30" hidden="1" x14ac:dyDescent="0.25">
      <c r="A299" s="19" t="s">
        <v>603</v>
      </c>
      <c r="B299" s="4"/>
      <c r="C299" s="4" t="s">
        <v>46</v>
      </c>
      <c r="D299" s="4" t="s">
        <v>47</v>
      </c>
      <c r="E299" s="5" t="s">
        <v>34</v>
      </c>
      <c r="F299" s="4" t="s">
        <v>632</v>
      </c>
      <c r="G299" s="4" t="s">
        <v>26</v>
      </c>
      <c r="H299" s="4" t="s">
        <v>1047</v>
      </c>
      <c r="I299" s="12"/>
      <c r="J299" s="12"/>
      <c r="K299" s="12"/>
      <c r="L299" s="12"/>
      <c r="M299" s="51"/>
      <c r="N299" s="12"/>
      <c r="O299" s="12"/>
      <c r="P299" s="12"/>
      <c r="Q299" s="12"/>
      <c r="R299" s="12"/>
      <c r="S299" s="12"/>
      <c r="T299" s="12"/>
      <c r="U299" s="12"/>
      <c r="V299" s="12"/>
      <c r="W299" s="7"/>
      <c r="X299" s="12"/>
      <c r="Y299" s="7"/>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c r="BF299" s="10"/>
    </row>
    <row r="300" spans="1:58" ht="30" hidden="1" x14ac:dyDescent="0.25">
      <c r="A300" s="19" t="s">
        <v>586</v>
      </c>
      <c r="B300" s="4"/>
      <c r="C300" s="4" t="s">
        <v>46</v>
      </c>
      <c r="D300" s="4" t="s">
        <v>47</v>
      </c>
      <c r="E300" s="5" t="s">
        <v>34</v>
      </c>
      <c r="F300" s="4" t="s">
        <v>632</v>
      </c>
      <c r="G300" s="4" t="s">
        <v>26</v>
      </c>
      <c r="H300" s="4" t="s">
        <v>1050</v>
      </c>
      <c r="I300" s="12"/>
      <c r="J300" s="12"/>
      <c r="K300" s="12"/>
      <c r="L300" s="12"/>
      <c r="M300" s="51"/>
      <c r="N300" s="12"/>
      <c r="O300" s="12"/>
      <c r="P300" s="12"/>
      <c r="Q300" s="12"/>
      <c r="R300" s="12"/>
      <c r="S300" s="12"/>
      <c r="T300" s="12"/>
      <c r="U300" s="12"/>
      <c r="V300" s="12"/>
      <c r="W300" s="7"/>
      <c r="X300" s="12"/>
      <c r="Y300" s="7"/>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c r="BF300" s="10"/>
    </row>
    <row r="301" spans="1:58" ht="30" hidden="1" x14ac:dyDescent="0.25">
      <c r="A301" s="19" t="s">
        <v>587</v>
      </c>
      <c r="B301" s="4"/>
      <c r="C301" s="4" t="s">
        <v>46</v>
      </c>
      <c r="D301" s="4" t="s">
        <v>47</v>
      </c>
      <c r="E301" s="5" t="s">
        <v>34</v>
      </c>
      <c r="F301" s="4" t="s">
        <v>632</v>
      </c>
      <c r="G301" s="4" t="s">
        <v>26</v>
      </c>
      <c r="H301" s="4" t="s">
        <v>635</v>
      </c>
      <c r="I301" s="12"/>
      <c r="J301" s="12"/>
      <c r="K301" s="12"/>
      <c r="L301" s="12"/>
      <c r="M301" s="51"/>
      <c r="N301" s="12"/>
      <c r="O301" s="12"/>
      <c r="P301" s="12"/>
      <c r="Q301" s="12"/>
      <c r="R301" s="12"/>
      <c r="S301" s="12"/>
      <c r="T301" s="12"/>
      <c r="U301" s="12"/>
      <c r="V301" s="12"/>
      <c r="W301" s="7"/>
      <c r="X301" s="12"/>
      <c r="Y301" s="7"/>
      <c r="Z301" s="7"/>
      <c r="AA301" s="7"/>
      <c r="AB301" s="8">
        <f>1/(1.5*10^-5)</f>
        <v>66666.666666666657</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c r="BF301" s="10"/>
    </row>
    <row r="302" spans="1:58" ht="30" hidden="1" x14ac:dyDescent="0.25">
      <c r="A302" s="19" t="s">
        <v>636</v>
      </c>
      <c r="B302" s="4"/>
      <c r="C302" s="4" t="s">
        <v>46</v>
      </c>
      <c r="D302" s="4" t="s">
        <v>47</v>
      </c>
      <c r="E302" s="5" t="s">
        <v>34</v>
      </c>
      <c r="F302" s="4" t="s">
        <v>632</v>
      </c>
      <c r="G302" s="4" t="s">
        <v>26</v>
      </c>
      <c r="H302" s="4" t="s">
        <v>1047</v>
      </c>
      <c r="I302" s="12"/>
      <c r="J302" s="12"/>
      <c r="K302" s="12"/>
      <c r="L302" s="12"/>
      <c r="M302" s="51"/>
      <c r="N302" s="12"/>
      <c r="O302" s="12"/>
      <c r="P302" s="12"/>
      <c r="Q302" s="12"/>
      <c r="R302" s="12"/>
      <c r="S302" s="12"/>
      <c r="T302" s="12"/>
      <c r="U302" s="12"/>
      <c r="V302" s="12"/>
      <c r="W302" s="7"/>
      <c r="X302" s="12"/>
      <c r="Y302" s="7"/>
      <c r="Z302" s="7"/>
      <c r="AA302" s="7"/>
      <c r="AB302" s="8">
        <f>1/(1*10^-8)</f>
        <v>100000000</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c r="BF302" s="10"/>
    </row>
    <row r="303" spans="1:58" ht="30" hidden="1" x14ac:dyDescent="0.25">
      <c r="A303" s="19" t="s">
        <v>590</v>
      </c>
      <c r="B303" s="4"/>
      <c r="C303" s="4" t="s">
        <v>46</v>
      </c>
      <c r="D303" s="4" t="s">
        <v>47</v>
      </c>
      <c r="E303" s="5" t="s">
        <v>34</v>
      </c>
      <c r="F303" s="4" t="s">
        <v>632</v>
      </c>
      <c r="G303" s="4" t="s">
        <v>26</v>
      </c>
      <c r="H303" s="4" t="s">
        <v>637</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c r="BF303" s="10"/>
    </row>
    <row r="304" spans="1:58" ht="30" hidden="1" x14ac:dyDescent="0.25">
      <c r="A304" s="19" t="s">
        <v>592</v>
      </c>
      <c r="B304" s="4"/>
      <c r="C304" s="4" t="s">
        <v>46</v>
      </c>
      <c r="D304" s="4" t="s">
        <v>47</v>
      </c>
      <c r="E304" s="5" t="s">
        <v>34</v>
      </c>
      <c r="F304" s="4" t="s">
        <v>632</v>
      </c>
      <c r="G304" s="4" t="s">
        <v>26</v>
      </c>
      <c r="H304" s="4" t="s">
        <v>1047</v>
      </c>
      <c r="I304" s="12"/>
      <c r="J304" s="12"/>
      <c r="K304" s="12"/>
      <c r="L304" s="12"/>
      <c r="M304" s="51"/>
      <c r="N304" s="12"/>
      <c r="O304" s="12"/>
      <c r="P304" s="12"/>
      <c r="Q304" s="12"/>
      <c r="R304" s="12"/>
      <c r="S304" s="12"/>
      <c r="T304" s="12"/>
      <c r="U304" s="12"/>
      <c r="V304" s="12"/>
      <c r="W304" s="7"/>
      <c r="X304" s="12"/>
      <c r="Y304" s="7"/>
      <c r="Z304" s="7"/>
      <c r="AA304" s="7"/>
      <c r="AB304" s="8">
        <f>1/(1*10^-5)</f>
        <v>99999.999999999985</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c r="BF304" s="10"/>
    </row>
    <row r="305" spans="1:58" ht="30" hidden="1" x14ac:dyDescent="0.25">
      <c r="A305" s="19" t="s">
        <v>591</v>
      </c>
      <c r="B305" s="4"/>
      <c r="C305" s="4" t="s">
        <v>46</v>
      </c>
      <c r="D305" s="4" t="s">
        <v>47</v>
      </c>
      <c r="E305" s="5" t="s">
        <v>34</v>
      </c>
      <c r="F305" s="4" t="s">
        <v>632</v>
      </c>
      <c r="G305" s="4" t="s">
        <v>26</v>
      </c>
      <c r="H305" s="4" t="s">
        <v>635</v>
      </c>
      <c r="I305" s="12"/>
      <c r="J305" s="12"/>
      <c r="K305" s="12"/>
      <c r="L305" s="12"/>
      <c r="M305" s="51"/>
      <c r="N305" s="12"/>
      <c r="O305" s="12"/>
      <c r="P305" s="12"/>
      <c r="Q305" s="12"/>
      <c r="R305" s="12"/>
      <c r="S305" s="12"/>
      <c r="T305" s="12"/>
      <c r="U305" s="12"/>
      <c r="V305" s="12"/>
      <c r="W305" s="7"/>
      <c r="X305" s="12"/>
      <c r="Y305" s="7"/>
      <c r="Z305" s="7"/>
      <c r="AA305" s="7"/>
      <c r="AB305" s="8">
        <f>1/(6*10^-6)</f>
        <v>166666.66666666666</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c r="BF305" s="10"/>
    </row>
    <row r="306" spans="1:58" ht="30" hidden="1" x14ac:dyDescent="0.25">
      <c r="A306" s="19" t="s">
        <v>617</v>
      </c>
      <c r="B306" s="4"/>
      <c r="C306" s="4" t="s">
        <v>46</v>
      </c>
      <c r="D306" s="4" t="s">
        <v>47</v>
      </c>
      <c r="E306" s="5" t="s">
        <v>34</v>
      </c>
      <c r="F306" s="4" t="s">
        <v>632</v>
      </c>
      <c r="G306" s="4" t="s">
        <v>26</v>
      </c>
      <c r="H306" s="4" t="s">
        <v>637</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c r="BF306" s="10"/>
    </row>
    <row r="307" spans="1:58" ht="30" hidden="1" x14ac:dyDescent="0.25">
      <c r="A307" s="19" t="s">
        <v>618</v>
      </c>
      <c r="B307" s="4"/>
      <c r="C307" s="4" t="s">
        <v>46</v>
      </c>
      <c r="D307" s="4" t="s">
        <v>47</v>
      </c>
      <c r="E307" s="5" t="s">
        <v>34</v>
      </c>
      <c r="F307" s="4" t="s">
        <v>632</v>
      </c>
      <c r="G307" s="4" t="s">
        <v>26</v>
      </c>
      <c r="H307" s="4" t="s">
        <v>638</v>
      </c>
      <c r="I307" s="12"/>
      <c r="J307" s="12"/>
      <c r="K307" s="12"/>
      <c r="L307" s="12"/>
      <c r="M307" s="51"/>
      <c r="N307" s="12"/>
      <c r="O307" s="12"/>
      <c r="P307" s="12"/>
      <c r="Q307" s="12"/>
      <c r="R307" s="12"/>
      <c r="S307" s="12"/>
      <c r="T307" s="12"/>
      <c r="U307" s="12"/>
      <c r="V307" s="12"/>
      <c r="W307" s="7"/>
      <c r="X307" s="12"/>
      <c r="Y307" s="7"/>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c r="BF307" s="10"/>
    </row>
    <row r="308" spans="1:58" ht="30" hidden="1" x14ac:dyDescent="0.25">
      <c r="A308" s="19" t="s">
        <v>631</v>
      </c>
      <c r="B308" s="4"/>
      <c r="C308" s="4" t="s">
        <v>46</v>
      </c>
      <c r="D308" s="4" t="s">
        <v>47</v>
      </c>
      <c r="E308" s="5" t="s">
        <v>34</v>
      </c>
      <c r="F308" s="4" t="s">
        <v>632</v>
      </c>
      <c r="G308" s="4" t="s">
        <v>26</v>
      </c>
      <c r="H308" s="4" t="s">
        <v>639</v>
      </c>
      <c r="I308" s="12"/>
      <c r="J308" s="12"/>
      <c r="K308" s="12"/>
      <c r="L308" s="12"/>
      <c r="M308" s="51"/>
      <c r="N308" s="12"/>
      <c r="O308" s="12"/>
      <c r="P308" s="12"/>
      <c r="Q308" s="12"/>
      <c r="R308" s="12"/>
      <c r="S308" s="12"/>
      <c r="T308" s="12"/>
      <c r="U308" s="12"/>
      <c r="V308" s="12"/>
      <c r="W308" s="7"/>
      <c r="X308" s="12"/>
      <c r="Y308" s="7"/>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c r="BF308" s="10"/>
    </row>
    <row r="309" spans="1:58" ht="30" hidden="1" x14ac:dyDescent="0.25">
      <c r="A309" s="4" t="s">
        <v>81</v>
      </c>
      <c r="B309" s="4"/>
      <c r="C309" s="4" t="s">
        <v>46</v>
      </c>
      <c r="D309" s="4" t="s">
        <v>47</v>
      </c>
      <c r="E309" s="5" t="s">
        <v>34</v>
      </c>
      <c r="F309" s="4" t="s">
        <v>640</v>
      </c>
      <c r="G309" s="4" t="s">
        <v>26</v>
      </c>
      <c r="H309" s="4" t="s">
        <v>1051</v>
      </c>
      <c r="I309" s="12"/>
      <c r="J309" s="12"/>
      <c r="K309" s="12"/>
      <c r="L309" s="12"/>
      <c r="M309" s="51"/>
      <c r="N309" s="12"/>
      <c r="O309" s="12"/>
      <c r="P309" s="12"/>
      <c r="Q309" s="12"/>
      <c r="R309" s="12"/>
      <c r="S309" s="12"/>
      <c r="T309" s="12"/>
      <c r="U309" s="12"/>
      <c r="V309" s="12"/>
      <c r="W309" s="7"/>
      <c r="X309" s="12"/>
      <c r="Y309" s="7">
        <f t="shared" ref="Y309:Y323" si="6">$Y$89</f>
        <v>0</v>
      </c>
      <c r="Z309" s="7"/>
      <c r="AA309" s="7"/>
      <c r="AB309" s="8">
        <f>1/(8*10^-6)</f>
        <v>125000</v>
      </c>
      <c r="AC309" s="7"/>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c r="BF309" s="10"/>
    </row>
    <row r="310" spans="1:58" ht="30" hidden="1" x14ac:dyDescent="0.25">
      <c r="A310" s="4" t="s">
        <v>641</v>
      </c>
      <c r="B310" s="4"/>
      <c r="C310" s="4" t="s">
        <v>46</v>
      </c>
      <c r="D310" s="4" t="s">
        <v>47</v>
      </c>
      <c r="E310" s="5" t="s">
        <v>34</v>
      </c>
      <c r="F310" s="4" t="s">
        <v>640</v>
      </c>
      <c r="G310" s="4" t="s">
        <v>26</v>
      </c>
      <c r="H310" s="4" t="s">
        <v>1051</v>
      </c>
      <c r="I310" s="12"/>
      <c r="J310" s="12"/>
      <c r="K310" s="12"/>
      <c r="L310" s="12"/>
      <c r="M310" s="51"/>
      <c r="N310" s="12"/>
      <c r="O310" s="12"/>
      <c r="P310" s="12"/>
      <c r="Q310" s="12"/>
      <c r="R310" s="12"/>
      <c r="S310" s="12"/>
      <c r="T310" s="12"/>
      <c r="U310" s="12"/>
      <c r="V310" s="12"/>
      <c r="W310" s="7"/>
      <c r="X310" s="12"/>
      <c r="Y310" s="7">
        <f t="shared" si="6"/>
        <v>0</v>
      </c>
      <c r="Z310" s="7"/>
      <c r="AA310" s="7"/>
      <c r="AB310" s="8">
        <f>1/(1.7*10^-5)</f>
        <v>58823.529411764706</v>
      </c>
      <c r="AC310" s="7"/>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c r="BF310" s="10"/>
    </row>
    <row r="311" spans="1:58" ht="30" hidden="1" x14ac:dyDescent="0.25">
      <c r="A311" s="4" t="s">
        <v>614</v>
      </c>
      <c r="B311" s="4"/>
      <c r="C311" s="4" t="s">
        <v>46</v>
      </c>
      <c r="D311" s="4" t="s">
        <v>47</v>
      </c>
      <c r="E311" s="5" t="s">
        <v>34</v>
      </c>
      <c r="F311" s="4" t="s">
        <v>640</v>
      </c>
      <c r="G311" s="4" t="s">
        <v>26</v>
      </c>
      <c r="H311" s="4" t="s">
        <v>642</v>
      </c>
      <c r="I311" s="12"/>
      <c r="J311" s="12"/>
      <c r="K311" s="12"/>
      <c r="L311" s="12"/>
      <c r="M311" s="51"/>
      <c r="N311" s="12"/>
      <c r="O311" s="12"/>
      <c r="P311" s="12"/>
      <c r="Q311" s="12"/>
      <c r="R311" s="12"/>
      <c r="S311" s="12"/>
      <c r="T311" s="12"/>
      <c r="U311" s="12"/>
      <c r="V311" s="12"/>
      <c r="W311" s="7"/>
      <c r="X311" s="12"/>
      <c r="Y311" s="7">
        <f t="shared" si="6"/>
        <v>0</v>
      </c>
      <c r="Z311" s="7"/>
      <c r="AA311" s="7"/>
      <c r="AB311" s="8">
        <f>1/(4.67*10^-5)</f>
        <v>21413.276231263382</v>
      </c>
      <c r="AC311" s="7"/>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c r="BF311" s="10"/>
    </row>
    <row r="312" spans="1:58" ht="30" hidden="1" x14ac:dyDescent="0.25">
      <c r="A312" s="4" t="s">
        <v>599</v>
      </c>
      <c r="B312" s="4"/>
      <c r="C312" s="4" t="s">
        <v>46</v>
      </c>
      <c r="D312" s="4" t="s">
        <v>47</v>
      </c>
      <c r="E312" s="5" t="s">
        <v>34</v>
      </c>
      <c r="F312" s="4" t="s">
        <v>640</v>
      </c>
      <c r="G312" s="4" t="s">
        <v>26</v>
      </c>
      <c r="H312" s="4" t="s">
        <v>643</v>
      </c>
      <c r="I312" s="12"/>
      <c r="J312" s="12"/>
      <c r="K312" s="12"/>
      <c r="L312" s="12"/>
      <c r="M312" s="51"/>
      <c r="N312" s="12"/>
      <c r="O312" s="12"/>
      <c r="P312" s="12"/>
      <c r="Q312" s="12"/>
      <c r="R312" s="12"/>
      <c r="S312" s="12"/>
      <c r="T312" s="12"/>
      <c r="U312" s="12"/>
      <c r="V312" s="12"/>
      <c r="W312" s="7"/>
      <c r="X312" s="12"/>
      <c r="Y312" s="7">
        <f t="shared" si="6"/>
        <v>0</v>
      </c>
      <c r="Z312" s="7"/>
      <c r="AA312" s="7"/>
      <c r="AB312" s="8">
        <f>1/(5*10^-6)</f>
        <v>200000.00000000003</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c r="BF312" s="10"/>
    </row>
    <row r="313" spans="1:58" ht="30" hidden="1" x14ac:dyDescent="0.25">
      <c r="A313" s="4" t="s">
        <v>583</v>
      </c>
      <c r="B313" s="4"/>
      <c r="C313" s="4" t="s">
        <v>46</v>
      </c>
      <c r="D313" s="4" t="s">
        <v>47</v>
      </c>
      <c r="E313" s="5" t="s">
        <v>34</v>
      </c>
      <c r="F313" s="4" t="s">
        <v>640</v>
      </c>
      <c r="G313" s="4" t="s">
        <v>26</v>
      </c>
      <c r="H313" s="4" t="s">
        <v>644</v>
      </c>
      <c r="I313" s="12"/>
      <c r="J313" s="12"/>
      <c r="K313" s="12"/>
      <c r="L313" s="12"/>
      <c r="M313" s="51"/>
      <c r="N313" s="12"/>
      <c r="O313" s="12"/>
      <c r="P313" s="12"/>
      <c r="Q313" s="12"/>
      <c r="R313" s="12"/>
      <c r="S313" s="12"/>
      <c r="T313" s="12"/>
      <c r="U313" s="12"/>
      <c r="V313" s="12"/>
      <c r="W313" s="7"/>
      <c r="X313" s="12"/>
      <c r="Y313" s="7">
        <f t="shared" si="6"/>
        <v>0</v>
      </c>
      <c r="Z313" s="7"/>
      <c r="AA313" s="7"/>
      <c r="AB313" s="8">
        <f>1/(5.99*10^-6)</f>
        <v>166944.9081803005</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c r="BF313" s="10"/>
    </row>
    <row r="314" spans="1:58" ht="30" hidden="1" x14ac:dyDescent="0.25">
      <c r="A314" s="4" t="s">
        <v>586</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 t="shared" si="6"/>
        <v>0</v>
      </c>
      <c r="Z314" s="7"/>
      <c r="AA314" s="7"/>
      <c r="AB314" s="8">
        <f>1/(1*10^-5)</f>
        <v>99999.999999999985</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c r="BF314" s="10"/>
    </row>
    <row r="315" spans="1:58" ht="30" hidden="1" x14ac:dyDescent="0.25">
      <c r="A315" s="4" t="s">
        <v>587</v>
      </c>
      <c r="B315" s="4"/>
      <c r="C315" s="4" t="s">
        <v>46</v>
      </c>
      <c r="D315" s="4" t="s">
        <v>47</v>
      </c>
      <c r="E315" s="5" t="s">
        <v>34</v>
      </c>
      <c r="F315" s="4" t="s">
        <v>640</v>
      </c>
      <c r="G315" s="4" t="s">
        <v>26</v>
      </c>
      <c r="H315" s="4" t="s">
        <v>642</v>
      </c>
      <c r="I315" s="12"/>
      <c r="J315" s="12"/>
      <c r="K315" s="12"/>
      <c r="L315" s="12"/>
      <c r="M315" s="51"/>
      <c r="N315" s="12"/>
      <c r="O315" s="12"/>
      <c r="P315" s="12"/>
      <c r="Q315" s="12"/>
      <c r="R315" s="12"/>
      <c r="S315" s="12"/>
      <c r="T315" s="12"/>
      <c r="U315" s="12"/>
      <c r="V315" s="12"/>
      <c r="W315" s="7"/>
      <c r="X315" s="12"/>
      <c r="Y315" s="7">
        <f t="shared" si="6"/>
        <v>0</v>
      </c>
      <c r="Z315" s="7"/>
      <c r="AA315" s="7"/>
      <c r="AB315" s="8">
        <f>1/(1.5*10^-5)</f>
        <v>66666.666666666657</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c r="BF315" s="10"/>
    </row>
    <row r="316" spans="1:58" ht="30" hidden="1" x14ac:dyDescent="0.25">
      <c r="A316" s="4" t="s">
        <v>588</v>
      </c>
      <c r="B316" s="4"/>
      <c r="C316" s="4" t="s">
        <v>46</v>
      </c>
      <c r="D316" s="4" t="s">
        <v>47</v>
      </c>
      <c r="E316" s="5" t="s">
        <v>34</v>
      </c>
      <c r="F316" s="4" t="s">
        <v>640</v>
      </c>
      <c r="G316" s="4" t="s">
        <v>26</v>
      </c>
      <c r="H316" s="4" t="s">
        <v>1051</v>
      </c>
      <c r="I316" s="12"/>
      <c r="J316" s="12"/>
      <c r="K316" s="12"/>
      <c r="L316" s="12"/>
      <c r="M316" s="51"/>
      <c r="N316" s="12"/>
      <c r="O316" s="12"/>
      <c r="P316" s="12"/>
      <c r="Q316" s="12"/>
      <c r="R316" s="12"/>
      <c r="S316" s="12"/>
      <c r="T316" s="12"/>
      <c r="U316" s="12"/>
      <c r="V316" s="12"/>
      <c r="W316" s="7"/>
      <c r="X316" s="12"/>
      <c r="Y316" s="7">
        <f t="shared" si="6"/>
        <v>0</v>
      </c>
      <c r="Z316" s="7"/>
      <c r="AA316" s="7"/>
      <c r="AB316" s="8">
        <f>1/(1*10^-5)</f>
        <v>99999.999999999985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c r="BF316" s="10"/>
    </row>
    <row r="317" spans="1:58" ht="30" hidden="1" x14ac:dyDescent="0.25">
      <c r="A317" s="4" t="s">
        <v>590</v>
      </c>
      <c r="B317" s="4"/>
      <c r="C317" s="4" t="s">
        <v>46</v>
      </c>
      <c r="D317" s="4" t="s">
        <v>47</v>
      </c>
      <c r="E317" s="5" t="s">
        <v>34</v>
      </c>
      <c r="F317" s="4" t="s">
        <v>640</v>
      </c>
      <c r="G317" s="4" t="s">
        <v>26</v>
      </c>
      <c r="H317" s="4" t="s">
        <v>645</v>
      </c>
      <c r="I317" s="12"/>
      <c r="J317" s="12"/>
      <c r="K317" s="12"/>
      <c r="L317" s="12"/>
      <c r="M317" s="51"/>
      <c r="N317" s="12"/>
      <c r="O317" s="12"/>
      <c r="P317" s="12"/>
      <c r="Q317" s="12"/>
      <c r="R317" s="12"/>
      <c r="S317" s="12"/>
      <c r="T317" s="12"/>
      <c r="U317" s="12"/>
      <c r="V317" s="12"/>
      <c r="W317" s="7"/>
      <c r="X317" s="12"/>
      <c r="Y317" s="7">
        <f t="shared" si="6"/>
        <v>0</v>
      </c>
      <c r="Z317" s="7"/>
      <c r="AA317" s="7"/>
      <c r="AB317" s="8">
        <f>1/(1*10^-5)</f>
        <v>99999.999999999985</v>
      </c>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c r="BF317" s="10"/>
    </row>
    <row r="318" spans="1:58" ht="30" hidden="1" x14ac:dyDescent="0.25">
      <c r="A318" s="4" t="s">
        <v>646</v>
      </c>
      <c r="B318" s="4"/>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 t="shared" si="6"/>
        <v>0</v>
      </c>
      <c r="Z318" s="7"/>
      <c r="AA318" s="7"/>
      <c r="AB318" s="8"/>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c r="BF318" s="10"/>
    </row>
    <row r="319" spans="1:58" ht="30" hidden="1" x14ac:dyDescent="0.25">
      <c r="A319" s="20" t="s">
        <v>592</v>
      </c>
      <c r="B319" s="20"/>
      <c r="C319" s="4" t="s">
        <v>46</v>
      </c>
      <c r="D319" s="4" t="s">
        <v>47</v>
      </c>
      <c r="E319" s="5" t="s">
        <v>34</v>
      </c>
      <c r="F319" s="4" t="s">
        <v>640</v>
      </c>
      <c r="G319" s="4" t="s">
        <v>26</v>
      </c>
      <c r="H319" s="4" t="s">
        <v>642</v>
      </c>
      <c r="I319" s="12"/>
      <c r="J319" s="12"/>
      <c r="K319" s="12"/>
      <c r="L319" s="12"/>
      <c r="M319" s="51"/>
      <c r="N319" s="12"/>
      <c r="O319" s="12"/>
      <c r="P319" s="12"/>
      <c r="Q319" s="12"/>
      <c r="R319" s="12"/>
      <c r="S319" s="12"/>
      <c r="T319" s="12"/>
      <c r="U319" s="12"/>
      <c r="V319" s="12"/>
      <c r="W319" s="7"/>
      <c r="X319" s="12"/>
      <c r="Y319" s="7">
        <f t="shared" si="6"/>
        <v>0</v>
      </c>
      <c r="Z319" s="7"/>
      <c r="AA319" s="7"/>
      <c r="AB319" s="8">
        <f>1/(1*10^-5)</f>
        <v>99999.999999999985</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c r="BF319" s="10"/>
    </row>
    <row r="320" spans="1:58" ht="30" hidden="1" x14ac:dyDescent="0.25">
      <c r="A320" s="4" t="s">
        <v>591</v>
      </c>
      <c r="B320" s="4"/>
      <c r="C320" s="4" t="s">
        <v>46</v>
      </c>
      <c r="D320" s="4" t="s">
        <v>47</v>
      </c>
      <c r="E320" s="5" t="s">
        <v>34</v>
      </c>
      <c r="F320" s="4" t="s">
        <v>640</v>
      </c>
      <c r="G320" s="4" t="s">
        <v>26</v>
      </c>
      <c r="H320" s="4" t="s">
        <v>1051</v>
      </c>
      <c r="I320" s="12"/>
      <c r="J320" s="12"/>
      <c r="K320" s="12"/>
      <c r="L320" s="12"/>
      <c r="M320" s="51"/>
      <c r="N320" s="12"/>
      <c r="O320" s="12"/>
      <c r="P320" s="12"/>
      <c r="Q320" s="12"/>
      <c r="R320" s="12"/>
      <c r="S320" s="12"/>
      <c r="T320" s="12"/>
      <c r="U320" s="12"/>
      <c r="V320" s="12"/>
      <c r="W320" s="7"/>
      <c r="X320" s="12"/>
      <c r="Y320" s="7">
        <f t="shared" si="6"/>
        <v>0</v>
      </c>
      <c r="Z320" s="7"/>
      <c r="AA320" s="7"/>
      <c r="AB320" s="8">
        <f>1/(6*10^-6)</f>
        <v>166666.66666666666</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c r="BF320" s="10"/>
    </row>
    <row r="321" spans="1:58" ht="30" hidden="1" x14ac:dyDescent="0.25">
      <c r="A321" s="20" t="s">
        <v>617</v>
      </c>
      <c r="B321" s="20"/>
      <c r="C321" s="4" t="s">
        <v>46</v>
      </c>
      <c r="D321" s="4" t="s">
        <v>47</v>
      </c>
      <c r="E321" s="5" t="s">
        <v>34</v>
      </c>
      <c r="F321" s="4" t="s">
        <v>640</v>
      </c>
      <c r="G321" s="4" t="s">
        <v>26</v>
      </c>
      <c r="H321" s="4" t="s">
        <v>642</v>
      </c>
      <c r="I321" s="12"/>
      <c r="J321" s="12"/>
      <c r="K321" s="12"/>
      <c r="L321" s="12"/>
      <c r="M321" s="51"/>
      <c r="N321" s="12"/>
      <c r="O321" s="12"/>
      <c r="P321" s="12"/>
      <c r="Q321" s="12"/>
      <c r="R321" s="12"/>
      <c r="S321" s="12"/>
      <c r="T321" s="12"/>
      <c r="U321" s="12"/>
      <c r="V321" s="12"/>
      <c r="W321" s="7"/>
      <c r="X321" s="12"/>
      <c r="Y321" s="7">
        <f t="shared" si="6"/>
        <v>0</v>
      </c>
      <c r="Z321" s="7"/>
      <c r="AA321" s="7"/>
      <c r="AB321" s="8">
        <f>1/(1*10^-5)</f>
        <v>99999.999999999985</v>
      </c>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c r="BF321" s="10"/>
    </row>
    <row r="322" spans="1:58" ht="30" hidden="1" x14ac:dyDescent="0.25">
      <c r="A322" s="4" t="s">
        <v>618</v>
      </c>
      <c r="B322" s="4"/>
      <c r="C322" s="4" t="s">
        <v>46</v>
      </c>
      <c r="D322" s="4" t="s">
        <v>47</v>
      </c>
      <c r="E322" s="5" t="s">
        <v>34</v>
      </c>
      <c r="F322" s="4" t="s">
        <v>640</v>
      </c>
      <c r="G322" s="4" t="s">
        <v>26</v>
      </c>
      <c r="H322" s="4" t="s">
        <v>643</v>
      </c>
      <c r="I322" s="12"/>
      <c r="J322" s="12"/>
      <c r="K322" s="12"/>
      <c r="L322" s="12"/>
      <c r="M322" s="51"/>
      <c r="N322" s="12"/>
      <c r="O322" s="12"/>
      <c r="P322" s="12"/>
      <c r="Q322" s="12"/>
      <c r="R322" s="12"/>
      <c r="S322" s="12"/>
      <c r="T322" s="12"/>
      <c r="U322" s="12"/>
      <c r="V322" s="12"/>
      <c r="W322" s="7"/>
      <c r="X322" s="12"/>
      <c r="Y322" s="7">
        <f t="shared" si="6"/>
        <v>0</v>
      </c>
      <c r="Z322" s="7"/>
      <c r="AA322" s="7"/>
      <c r="AB322" s="8">
        <f>1/(1*10^-5)</f>
        <v>99999.999999999985</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c r="BF322" s="10"/>
    </row>
    <row r="323" spans="1:58" ht="30" hidden="1" x14ac:dyDescent="0.25">
      <c r="A323" s="20" t="s">
        <v>647</v>
      </c>
      <c r="B323" s="20"/>
      <c r="C323" s="4" t="s">
        <v>46</v>
      </c>
      <c r="D323" s="4" t="s">
        <v>47</v>
      </c>
      <c r="E323" s="5" t="s">
        <v>34</v>
      </c>
      <c r="F323" s="4" t="s">
        <v>640</v>
      </c>
      <c r="G323" s="4" t="s">
        <v>26</v>
      </c>
      <c r="H323" s="4" t="s">
        <v>643</v>
      </c>
      <c r="I323" s="12"/>
      <c r="J323" s="12"/>
      <c r="K323" s="12"/>
      <c r="L323" s="12"/>
      <c r="M323" s="51"/>
      <c r="N323" s="12"/>
      <c r="O323" s="12"/>
      <c r="P323" s="12"/>
      <c r="Q323" s="12"/>
      <c r="R323" s="12"/>
      <c r="S323" s="12"/>
      <c r="T323" s="12"/>
      <c r="U323" s="12"/>
      <c r="V323" s="12"/>
      <c r="W323" s="7"/>
      <c r="X323" s="12"/>
      <c r="Y323" s="7">
        <f t="shared" si="6"/>
        <v>0</v>
      </c>
      <c r="Z323" s="7"/>
      <c r="AA323" s="7"/>
      <c r="AB323" s="8">
        <f>1/(7.65*10^-6)</f>
        <v>130718.95424836602</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c r="BF323" s="10"/>
    </row>
    <row r="324" spans="1:58" ht="30" hidden="1" x14ac:dyDescent="0.25">
      <c r="A324" s="4" t="s">
        <v>633</v>
      </c>
      <c r="B324" s="4"/>
      <c r="C324" s="4" t="s">
        <v>46</v>
      </c>
      <c r="D324" s="4" t="s">
        <v>47</v>
      </c>
      <c r="E324" s="5" t="s">
        <v>34</v>
      </c>
      <c r="F324" s="4" t="s">
        <v>648</v>
      </c>
      <c r="G324" s="4" t="s">
        <v>26</v>
      </c>
      <c r="H324" s="4" t="s">
        <v>1047</v>
      </c>
      <c r="I324" s="12"/>
      <c r="J324" s="12"/>
      <c r="K324" s="12"/>
      <c r="L324" s="12"/>
      <c r="M324" s="51"/>
      <c r="N324" s="12"/>
      <c r="O324" s="12"/>
      <c r="P324" s="12"/>
      <c r="Q324" s="12"/>
      <c r="R324" s="12"/>
      <c r="S324" s="12"/>
      <c r="T324" s="12"/>
      <c r="U324" s="12"/>
      <c r="V324" s="12"/>
      <c r="W324" s="7"/>
      <c r="X324" s="12"/>
      <c r="Y324" s="7"/>
      <c r="Z324" s="7"/>
      <c r="AA324" s="7"/>
      <c r="AB324" s="8">
        <f>1/(4.67*10^-5)</f>
        <v>21413.276231263382</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c r="BF324" s="10"/>
    </row>
    <row r="325" spans="1:58" ht="30" hidden="1" x14ac:dyDescent="0.25">
      <c r="A325" s="4" t="s">
        <v>599</v>
      </c>
      <c r="B325" s="4"/>
      <c r="C325" s="4" t="s">
        <v>46</v>
      </c>
      <c r="D325" s="4" t="s">
        <v>47</v>
      </c>
      <c r="E325" s="5" t="s">
        <v>34</v>
      </c>
      <c r="F325" s="4" t="s">
        <v>648</v>
      </c>
      <c r="G325" s="4" t="s">
        <v>26</v>
      </c>
      <c r="H325" s="4" t="s">
        <v>637</v>
      </c>
      <c r="I325" s="12"/>
      <c r="J325" s="12"/>
      <c r="K325" s="12"/>
      <c r="L325" s="12"/>
      <c r="M325" s="51"/>
      <c r="N325" s="12"/>
      <c r="O325" s="12"/>
      <c r="P325" s="12"/>
      <c r="Q325" s="12"/>
      <c r="R325" s="12"/>
      <c r="S325" s="12"/>
      <c r="T325" s="12"/>
      <c r="U325" s="12"/>
      <c r="V325" s="12"/>
      <c r="W325" s="7"/>
      <c r="X325" s="12"/>
      <c r="Y325" s="7"/>
      <c r="Z325" s="7"/>
      <c r="AA325" s="7"/>
      <c r="AB325" s="8">
        <f>1/(5*10^-6)</f>
        <v>200000.00000000003</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c r="BF325" s="10"/>
    </row>
    <row r="326" spans="1:58" ht="30" hidden="1" x14ac:dyDescent="0.25">
      <c r="A326" s="4" t="s">
        <v>583</v>
      </c>
      <c r="B326" s="4"/>
      <c r="C326" s="4" t="s">
        <v>46</v>
      </c>
      <c r="D326" s="4" t="s">
        <v>47</v>
      </c>
      <c r="E326" s="5" t="s">
        <v>34</v>
      </c>
      <c r="F326" s="4" t="s">
        <v>648</v>
      </c>
      <c r="G326" s="4" t="s">
        <v>26</v>
      </c>
      <c r="H326" s="4" t="s">
        <v>639</v>
      </c>
      <c r="I326" s="12"/>
      <c r="J326" s="12"/>
      <c r="K326" s="12"/>
      <c r="L326" s="12"/>
      <c r="M326" s="51"/>
      <c r="N326" s="12"/>
      <c r="O326" s="12"/>
      <c r="P326" s="12"/>
      <c r="Q326" s="12"/>
      <c r="R326" s="12"/>
      <c r="S326" s="12"/>
      <c r="T326" s="12"/>
      <c r="U326" s="12"/>
      <c r="V326" s="12"/>
      <c r="W326" s="7"/>
      <c r="X326" s="12"/>
      <c r="Y326" s="7"/>
      <c r="Z326" s="7"/>
      <c r="AA326" s="7"/>
      <c r="AB326" s="8">
        <f>1/(5.99*10^-6)</f>
        <v>166944.9081803005</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c r="BF326" s="10"/>
    </row>
    <row r="327" spans="1:58" ht="30" hidden="1" x14ac:dyDescent="0.25">
      <c r="A327" s="4" t="s">
        <v>627</v>
      </c>
      <c r="B327" s="4"/>
      <c r="C327" s="4" t="s">
        <v>46</v>
      </c>
      <c r="D327" s="4" t="s">
        <v>47</v>
      </c>
      <c r="E327" s="5" t="s">
        <v>34</v>
      </c>
      <c r="F327" s="4" t="s">
        <v>648</v>
      </c>
      <c r="G327" s="4" t="s">
        <v>26</v>
      </c>
      <c r="H327" s="4" t="s">
        <v>1047</v>
      </c>
      <c r="I327" s="12"/>
      <c r="J327" s="12"/>
      <c r="K327" s="12"/>
      <c r="L327" s="12"/>
      <c r="M327" s="51"/>
      <c r="N327" s="12"/>
      <c r="O327" s="12"/>
      <c r="P327" s="12"/>
      <c r="Q327" s="12"/>
      <c r="R327" s="12"/>
      <c r="S327" s="12"/>
      <c r="T327" s="12"/>
      <c r="U327" s="12"/>
      <c r="V327" s="12"/>
      <c r="W327" s="7"/>
      <c r="X327" s="12"/>
      <c r="Y327" s="7"/>
      <c r="Z327" s="7"/>
      <c r="AA327" s="7"/>
      <c r="AB327" s="8">
        <f>1/(1*10^-5)</f>
        <v>99999.999999999985</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c r="BF327" s="10"/>
    </row>
    <row r="328" spans="1:58" ht="30" hidden="1" x14ac:dyDescent="0.25">
      <c r="A328" s="4" t="s">
        <v>649</v>
      </c>
      <c r="B328" s="4"/>
      <c r="C328" s="4" t="s">
        <v>46</v>
      </c>
      <c r="D328" s="4" t="s">
        <v>47</v>
      </c>
      <c r="E328" s="5" t="s">
        <v>34</v>
      </c>
      <c r="F328" s="4" t="s">
        <v>648</v>
      </c>
      <c r="G328" s="4" t="s">
        <v>26</v>
      </c>
      <c r="H328" s="4" t="s">
        <v>1047</v>
      </c>
      <c r="I328" s="12"/>
      <c r="J328" s="12"/>
      <c r="K328" s="12"/>
      <c r="L328" s="12"/>
      <c r="M328" s="51"/>
      <c r="N328" s="12"/>
      <c r="O328" s="12"/>
      <c r="P328" s="12"/>
      <c r="Q328" s="12"/>
      <c r="R328" s="12"/>
      <c r="S328" s="12"/>
      <c r="T328" s="12"/>
      <c r="U328" s="12"/>
      <c r="V328" s="12"/>
      <c r="W328" s="7"/>
      <c r="X328" s="12"/>
      <c r="Y328" s="7"/>
      <c r="Z328" s="7"/>
      <c r="AA328" s="7"/>
      <c r="AB328" s="8">
        <f>1/(1.07*10^-6)</f>
        <v>934579.43925233651</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c r="BF328" s="10"/>
    </row>
    <row r="329" spans="1:58" ht="30" hidden="1" x14ac:dyDescent="0.25">
      <c r="A329" s="4" t="s">
        <v>650</v>
      </c>
      <c r="B329" s="4"/>
      <c r="C329" s="4" t="s">
        <v>46</v>
      </c>
      <c r="D329" s="4" t="s">
        <v>47</v>
      </c>
      <c r="E329" s="5" t="s">
        <v>34</v>
      </c>
      <c r="F329" s="4" t="s">
        <v>648</v>
      </c>
      <c r="G329" s="4" t="s">
        <v>26</v>
      </c>
      <c r="H329" s="4" t="s">
        <v>1047</v>
      </c>
      <c r="I329" s="12"/>
      <c r="J329" s="12"/>
      <c r="K329" s="12"/>
      <c r="L329" s="12"/>
      <c r="M329" s="51"/>
      <c r="N329" s="12"/>
      <c r="O329" s="12"/>
      <c r="P329" s="12"/>
      <c r="Q329" s="12"/>
      <c r="R329" s="12"/>
      <c r="S329" s="12"/>
      <c r="T329" s="12"/>
      <c r="U329" s="12"/>
      <c r="V329" s="12"/>
      <c r="W329" s="7"/>
      <c r="X329" s="12"/>
      <c r="Y329" s="7"/>
      <c r="Z329" s="7"/>
      <c r="AA329" s="7"/>
      <c r="AB329" s="8">
        <f>1/(1*10^-5)</f>
        <v>99999.999999999985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c r="BF329" s="10"/>
    </row>
    <row r="330" spans="1:58" ht="30" hidden="1" x14ac:dyDescent="0.25">
      <c r="A330" s="4" t="s">
        <v>586</v>
      </c>
      <c r="B330" s="4"/>
      <c r="C330" s="4" t="s">
        <v>46</v>
      </c>
      <c r="D330" s="4" t="s">
        <v>47</v>
      </c>
      <c r="E330" s="5" t="s">
        <v>34</v>
      </c>
      <c r="F330" s="4" t="s">
        <v>648</v>
      </c>
      <c r="G330" s="4" t="s">
        <v>26</v>
      </c>
      <c r="H330" s="4" t="s">
        <v>651</v>
      </c>
      <c r="I330" s="12"/>
      <c r="J330" s="12"/>
      <c r="K330" s="12"/>
      <c r="L330" s="12"/>
      <c r="M330" s="51"/>
      <c r="N330" s="12"/>
      <c r="O330" s="12"/>
      <c r="P330" s="12"/>
      <c r="Q330" s="12"/>
      <c r="R330" s="12"/>
      <c r="S330" s="12"/>
      <c r="T330" s="12"/>
      <c r="U330" s="12"/>
      <c r="V330" s="12"/>
      <c r="W330" s="7"/>
      <c r="X330" s="12"/>
      <c r="Y330" s="7"/>
      <c r="Z330" s="7"/>
      <c r="AA330" s="7"/>
      <c r="AB330" s="8">
        <f>1/(1*10^-5)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c r="BF330" s="10"/>
    </row>
    <row r="331" spans="1:58" ht="30" hidden="1" x14ac:dyDescent="0.25">
      <c r="A331" s="4" t="s">
        <v>587</v>
      </c>
      <c r="B331" s="4"/>
      <c r="C331" s="4" t="s">
        <v>46</v>
      </c>
      <c r="D331" s="4" t="s">
        <v>47</v>
      </c>
      <c r="E331" s="5" t="s">
        <v>34</v>
      </c>
      <c r="F331" s="4" t="s">
        <v>648</v>
      </c>
      <c r="G331" s="4" t="s">
        <v>26</v>
      </c>
      <c r="H331" s="4" t="s">
        <v>639</v>
      </c>
      <c r="I331" s="12"/>
      <c r="J331" s="12"/>
      <c r="K331" s="12"/>
      <c r="L331" s="12"/>
      <c r="M331" s="51"/>
      <c r="N331" s="12"/>
      <c r="O331" s="12"/>
      <c r="P331" s="12"/>
      <c r="Q331" s="12"/>
      <c r="R331" s="12"/>
      <c r="S331" s="12"/>
      <c r="T331" s="12"/>
      <c r="U331" s="12"/>
      <c r="V331" s="12"/>
      <c r="W331" s="7"/>
      <c r="X331" s="12"/>
      <c r="Y331" s="7"/>
      <c r="Z331" s="7"/>
      <c r="AA331" s="7"/>
      <c r="AB331" s="8">
        <f>1/(1.5*10^-5)</f>
        <v>66666.666666666657</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c r="BF331" s="10"/>
    </row>
    <row r="332" spans="1:58" ht="30" hidden="1" x14ac:dyDescent="0.25">
      <c r="A332" s="4" t="s">
        <v>590</v>
      </c>
      <c r="B332" s="4"/>
      <c r="C332" s="4" t="s">
        <v>46</v>
      </c>
      <c r="D332" s="4" t="s">
        <v>47</v>
      </c>
      <c r="E332" s="5" t="s">
        <v>34</v>
      </c>
      <c r="F332" s="4" t="s">
        <v>648</v>
      </c>
      <c r="G332" s="4" t="s">
        <v>26</v>
      </c>
      <c r="H332" s="4" t="s">
        <v>652</v>
      </c>
      <c r="I332" s="12"/>
      <c r="J332" s="12"/>
      <c r="K332" s="12"/>
      <c r="L332" s="12"/>
      <c r="M332" s="51"/>
      <c r="N332" s="12"/>
      <c r="O332" s="12"/>
      <c r="P332" s="12"/>
      <c r="Q332" s="12"/>
      <c r="R332" s="12"/>
      <c r="S332" s="12"/>
      <c r="T332" s="12"/>
      <c r="U332" s="12"/>
      <c r="V332" s="12"/>
      <c r="W332" s="7"/>
      <c r="X332" s="12"/>
      <c r="Y332" s="7"/>
      <c r="Z332" s="7"/>
      <c r="AA332" s="7"/>
      <c r="AB332" s="8">
        <f>1/(1*10^-5)</f>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c r="BF332" s="10"/>
    </row>
    <row r="333" spans="1:58" ht="30" hidden="1" x14ac:dyDescent="0.25">
      <c r="A333" s="4" t="s">
        <v>653</v>
      </c>
      <c r="B333" s="4"/>
      <c r="C333" s="4" t="s">
        <v>46</v>
      </c>
      <c r="D333" s="4" t="s">
        <v>47</v>
      </c>
      <c r="E333" s="5" t="s">
        <v>34</v>
      </c>
      <c r="F333" s="4" t="s">
        <v>648</v>
      </c>
      <c r="G333" s="4" t="s">
        <v>26</v>
      </c>
      <c r="H333" s="4" t="s">
        <v>1047</v>
      </c>
      <c r="I333" s="12"/>
      <c r="J333" s="12"/>
      <c r="K333" s="12"/>
      <c r="L333" s="12"/>
      <c r="M333" s="51"/>
      <c r="N333" s="12"/>
      <c r="O333" s="12"/>
      <c r="P333" s="12"/>
      <c r="Q333" s="12"/>
      <c r="R333" s="12"/>
      <c r="S333" s="12"/>
      <c r="T333" s="12"/>
      <c r="U333" s="12"/>
      <c r="V333" s="12"/>
      <c r="W333" s="7"/>
      <c r="X333" s="12"/>
      <c r="Y333" s="7"/>
      <c r="Z333" s="7"/>
      <c r="AA333" s="7"/>
      <c r="AB333" s="8">
        <f>1/(1.75*10^-5)</f>
        <v>57142.857142857138</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c r="BF333" s="10"/>
    </row>
    <row r="334" spans="1:58" ht="30" hidden="1" x14ac:dyDescent="0.25">
      <c r="A334" s="4" t="s">
        <v>592</v>
      </c>
      <c r="B334" s="4"/>
      <c r="C334" s="4" t="s">
        <v>46</v>
      </c>
      <c r="D334" s="4" t="s">
        <v>47</v>
      </c>
      <c r="E334" s="5" t="s">
        <v>34</v>
      </c>
      <c r="F334" s="4" t="s">
        <v>648</v>
      </c>
      <c r="G334" s="4" t="s">
        <v>26</v>
      </c>
      <c r="H334" s="4" t="s">
        <v>638</v>
      </c>
      <c r="I334" s="12"/>
      <c r="J334" s="12"/>
      <c r="K334" s="12"/>
      <c r="L334" s="12"/>
      <c r="M334" s="51"/>
      <c r="N334" s="12"/>
      <c r="O334" s="12"/>
      <c r="P334" s="12"/>
      <c r="Q334" s="12"/>
      <c r="R334" s="12"/>
      <c r="S334" s="12"/>
      <c r="T334" s="12"/>
      <c r="U334" s="12"/>
      <c r="V334" s="12"/>
      <c r="W334" s="7"/>
      <c r="X334" s="12"/>
      <c r="Y334" s="7"/>
      <c r="Z334" s="7"/>
      <c r="AA334" s="7"/>
      <c r="AB334" s="8">
        <f>1/(1*10^-5)</f>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c r="BF334" s="10"/>
    </row>
    <row r="335" spans="1:58" ht="30" hidden="1" x14ac:dyDescent="0.25">
      <c r="A335" s="4" t="s">
        <v>591</v>
      </c>
      <c r="B335" s="4"/>
      <c r="C335" s="4" t="s">
        <v>46</v>
      </c>
      <c r="D335" s="4" t="s">
        <v>47</v>
      </c>
      <c r="E335" s="5" t="s">
        <v>34</v>
      </c>
      <c r="F335" s="4" t="s">
        <v>648</v>
      </c>
      <c r="G335" s="4" t="s">
        <v>26</v>
      </c>
      <c r="H335" s="4" t="s">
        <v>1047</v>
      </c>
      <c r="I335" s="12"/>
      <c r="J335" s="12"/>
      <c r="K335" s="12"/>
      <c r="L335" s="12"/>
      <c r="M335" s="51"/>
      <c r="N335" s="12"/>
      <c r="O335" s="12"/>
      <c r="P335" s="12"/>
      <c r="Q335" s="12"/>
      <c r="R335" s="12"/>
      <c r="S335" s="12"/>
      <c r="T335" s="12"/>
      <c r="U335" s="12"/>
      <c r="V335" s="12"/>
      <c r="W335" s="7"/>
      <c r="X335" s="12"/>
      <c r="Y335" s="7"/>
      <c r="Z335" s="7"/>
      <c r="AA335" s="7"/>
      <c r="AB335" s="8">
        <f>1/(6*10^-6)</f>
        <v>166666.66666666666</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c r="BF335" s="10"/>
    </row>
    <row r="336" spans="1:58" ht="30" hidden="1" x14ac:dyDescent="0.25">
      <c r="A336" s="4" t="s">
        <v>618</v>
      </c>
      <c r="B336" s="4"/>
      <c r="C336" s="4" t="s">
        <v>46</v>
      </c>
      <c r="D336" s="4" t="s">
        <v>47</v>
      </c>
      <c r="E336" s="5" t="s">
        <v>34</v>
      </c>
      <c r="F336" s="4" t="s">
        <v>648</v>
      </c>
      <c r="G336" s="4" t="s">
        <v>26</v>
      </c>
      <c r="H336" s="4" t="s">
        <v>654</v>
      </c>
      <c r="I336" s="12"/>
      <c r="J336" s="12"/>
      <c r="K336" s="12"/>
      <c r="L336" s="12"/>
      <c r="M336" s="51"/>
      <c r="N336" s="12"/>
      <c r="O336" s="12"/>
      <c r="P336" s="12"/>
      <c r="Q336" s="12"/>
      <c r="R336" s="12"/>
      <c r="S336" s="12"/>
      <c r="T336" s="12"/>
      <c r="U336" s="12"/>
      <c r="V336" s="12"/>
      <c r="W336" s="7"/>
      <c r="X336" s="12"/>
      <c r="Y336" s="7"/>
      <c r="Z336" s="7"/>
      <c r="AA336" s="7"/>
      <c r="AB336" s="8">
        <f>1/(1*10^-5)</f>
        <v>99999.999999999985</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c r="BF336" s="10"/>
    </row>
    <row r="337" spans="1:58" ht="30" hidden="1" x14ac:dyDescent="0.25">
      <c r="A337" s="4" t="s">
        <v>631</v>
      </c>
      <c r="B337" s="4"/>
      <c r="C337" s="4" t="s">
        <v>46</v>
      </c>
      <c r="D337" s="4" t="s">
        <v>47</v>
      </c>
      <c r="E337" s="5" t="s">
        <v>34</v>
      </c>
      <c r="F337" s="4" t="s">
        <v>648</v>
      </c>
      <c r="G337" s="4" t="s">
        <v>26</v>
      </c>
      <c r="H337" s="4" t="s">
        <v>1047</v>
      </c>
      <c r="I337" s="12"/>
      <c r="J337" s="12"/>
      <c r="K337" s="12"/>
      <c r="L337" s="12"/>
      <c r="M337" s="51"/>
      <c r="N337" s="12"/>
      <c r="O337" s="12"/>
      <c r="P337" s="12"/>
      <c r="Q337" s="12"/>
      <c r="R337" s="12"/>
      <c r="S337" s="12"/>
      <c r="T337" s="12"/>
      <c r="U337" s="12"/>
      <c r="V337" s="12"/>
      <c r="W337" s="7"/>
      <c r="X337" s="12"/>
      <c r="Y337" s="7"/>
      <c r="Z337" s="7"/>
      <c r="AA337" s="7"/>
      <c r="AB337" s="8">
        <f>1/(5.99*10^-6)</f>
        <v>166944.9081803005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c r="BF337" s="10"/>
    </row>
    <row r="338" spans="1:58" ht="30" hidden="1" x14ac:dyDescent="0.25">
      <c r="A338" s="4" t="s">
        <v>655</v>
      </c>
      <c r="B338" s="4"/>
      <c r="C338" s="4" t="s">
        <v>46</v>
      </c>
      <c r="D338" s="4" t="s">
        <v>47</v>
      </c>
      <c r="E338" s="5" t="s">
        <v>34</v>
      </c>
      <c r="F338" s="4" t="s">
        <v>648</v>
      </c>
      <c r="G338" s="4" t="s">
        <v>26</v>
      </c>
      <c r="H338" s="4" t="s">
        <v>651</v>
      </c>
      <c r="I338" s="12"/>
      <c r="J338" s="12"/>
      <c r="K338" s="12"/>
      <c r="L338" s="12"/>
      <c r="M338" s="51"/>
      <c r="N338" s="12"/>
      <c r="O338" s="12"/>
      <c r="P338" s="12"/>
      <c r="Q338" s="12"/>
      <c r="R338" s="12"/>
      <c r="S338" s="12"/>
      <c r="T338" s="12"/>
      <c r="U338" s="12"/>
      <c r="V338" s="12"/>
      <c r="W338" s="7"/>
      <c r="X338" s="12"/>
      <c r="Y338" s="7"/>
      <c r="Z338" s="7"/>
      <c r="AA338" s="7"/>
      <c r="AB338" s="8">
        <f>1/(8.75*10^-6)</f>
        <v>114285.71428571429</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c r="BF338" s="10"/>
    </row>
    <row r="339" spans="1:58" ht="30" hidden="1" x14ac:dyDescent="0.25">
      <c r="A339" s="4" t="s">
        <v>656</v>
      </c>
      <c r="B339" s="4"/>
      <c r="C339" s="4" t="s">
        <v>46</v>
      </c>
      <c r="D339" s="4" t="s">
        <v>47</v>
      </c>
      <c r="E339" s="5" t="s">
        <v>34</v>
      </c>
      <c r="F339" s="4" t="s">
        <v>648</v>
      </c>
      <c r="G339" s="4" t="s">
        <v>26</v>
      </c>
      <c r="H339" s="4" t="s">
        <v>1047</v>
      </c>
      <c r="I339" s="12"/>
      <c r="J339" s="12"/>
      <c r="K339" s="12"/>
      <c r="L339" s="12"/>
      <c r="M339" s="51"/>
      <c r="N339" s="12"/>
      <c r="O339" s="12"/>
      <c r="P339" s="12"/>
      <c r="Q339" s="12"/>
      <c r="R339" s="12"/>
      <c r="S339" s="12"/>
      <c r="T339" s="12"/>
      <c r="U339" s="12"/>
      <c r="V339" s="12"/>
      <c r="W339" s="7"/>
      <c r="X339" s="12"/>
      <c r="Y339" s="7"/>
      <c r="Z339" s="7"/>
      <c r="AA339" s="7"/>
      <c r="AB339" s="8">
        <f>1/(1*10^-5)</f>
        <v>99999.999999999985</v>
      </c>
      <c r="AC339" s="7"/>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c r="BF339" s="10"/>
    </row>
    <row r="340" spans="1:58" ht="30" hidden="1" x14ac:dyDescent="0.25">
      <c r="A340" s="4" t="s">
        <v>81</v>
      </c>
      <c r="B340" s="4"/>
      <c r="C340" s="4" t="s">
        <v>46</v>
      </c>
      <c r="D340" s="4" t="s">
        <v>47</v>
      </c>
      <c r="E340" s="5" t="s">
        <v>34</v>
      </c>
      <c r="F340" s="4" t="s">
        <v>657</v>
      </c>
      <c r="G340" s="4" t="s">
        <v>26</v>
      </c>
      <c r="H340" s="4" t="s">
        <v>1047</v>
      </c>
      <c r="I340" s="12"/>
      <c r="J340" s="12"/>
      <c r="K340" s="12"/>
      <c r="L340" s="12"/>
      <c r="M340" s="51"/>
      <c r="N340" s="12"/>
      <c r="O340" s="12"/>
      <c r="P340" s="12"/>
      <c r="Q340" s="12"/>
      <c r="R340" s="12"/>
      <c r="S340" s="12"/>
      <c r="T340" s="12"/>
      <c r="U340" s="12"/>
      <c r="V340" s="12"/>
      <c r="W340" s="7"/>
      <c r="X340" s="12"/>
      <c r="Y340" s="7"/>
      <c r="Z340" s="7"/>
      <c r="AA340" s="7"/>
      <c r="AB340" s="8">
        <f>1/(8*10^-6)</f>
        <v>125000</v>
      </c>
      <c r="AC340" s="8"/>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c r="BF340" s="10"/>
    </row>
    <row r="341" spans="1:58" ht="30" hidden="1" x14ac:dyDescent="0.25">
      <c r="A341" s="4" t="s">
        <v>641</v>
      </c>
      <c r="B341" s="4"/>
      <c r="C341" s="4" t="s">
        <v>46</v>
      </c>
      <c r="D341" s="4" t="s">
        <v>47</v>
      </c>
      <c r="E341" s="5" t="s">
        <v>34</v>
      </c>
      <c r="F341" s="4" t="s">
        <v>657</v>
      </c>
      <c r="G341" s="4" t="s">
        <v>26</v>
      </c>
      <c r="H341" s="4" t="s">
        <v>1047</v>
      </c>
      <c r="I341" s="12"/>
      <c r="J341" s="12"/>
      <c r="K341" s="12"/>
      <c r="L341" s="12"/>
      <c r="M341" s="51"/>
      <c r="N341" s="12"/>
      <c r="O341" s="12"/>
      <c r="P341" s="12"/>
      <c r="Q341" s="12"/>
      <c r="R341" s="12"/>
      <c r="S341" s="12"/>
      <c r="T341" s="12"/>
      <c r="U341" s="12"/>
      <c r="V341" s="12"/>
      <c r="W341" s="7"/>
      <c r="X341" s="12"/>
      <c r="Y341" s="7"/>
      <c r="Z341" s="7"/>
      <c r="AA341" s="7"/>
      <c r="AB341" s="8">
        <f>1/(1.7*10^-5)</f>
        <v>58823.529411764706</v>
      </c>
      <c r="AC341" s="8"/>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c r="BF341" s="10"/>
    </row>
    <row r="342" spans="1:58" ht="30" hidden="1" x14ac:dyDescent="0.25">
      <c r="A342" s="4" t="s">
        <v>658</v>
      </c>
      <c r="B342" s="4"/>
      <c r="C342" s="4" t="s">
        <v>46</v>
      </c>
      <c r="D342" s="4" t="s">
        <v>47</v>
      </c>
      <c r="E342" s="5" t="s">
        <v>34</v>
      </c>
      <c r="F342" s="4" t="s">
        <v>657</v>
      </c>
      <c r="G342" s="4" t="s">
        <v>26</v>
      </c>
      <c r="H342" s="4" t="s">
        <v>1047</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8"/>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c r="BF342" s="10"/>
    </row>
    <row r="343" spans="1:58" ht="30" hidden="1" x14ac:dyDescent="0.25">
      <c r="A343" s="4" t="s">
        <v>627</v>
      </c>
      <c r="B343" s="4"/>
      <c r="C343" s="4" t="s">
        <v>46</v>
      </c>
      <c r="D343" s="4" t="s">
        <v>47</v>
      </c>
      <c r="E343" s="5" t="s">
        <v>34</v>
      </c>
      <c r="F343" s="4" t="s">
        <v>657</v>
      </c>
      <c r="G343" s="4" t="s">
        <v>26</v>
      </c>
      <c r="H343" s="4" t="s">
        <v>1047</v>
      </c>
      <c r="I343" s="12"/>
      <c r="J343" s="12"/>
      <c r="K343" s="12"/>
      <c r="L343" s="12"/>
      <c r="M343" s="51"/>
      <c r="N343" s="12"/>
      <c r="O343" s="12"/>
      <c r="P343" s="12"/>
      <c r="Q343" s="12"/>
      <c r="R343" s="12"/>
      <c r="S343" s="12"/>
      <c r="T343" s="12"/>
      <c r="U343" s="12"/>
      <c r="V343" s="12"/>
      <c r="W343" s="7"/>
      <c r="X343" s="12"/>
      <c r="Y343" s="7"/>
      <c r="Z343" s="7"/>
      <c r="AA343" s="7"/>
      <c r="AB343" s="8">
        <f>1/(1*10^-5)</f>
        <v>99999.999999999985</v>
      </c>
      <c r="AC343" s="8"/>
      <c r="AD343" s="4"/>
      <c r="AE343" s="4"/>
      <c r="AF343" s="4"/>
      <c r="AG343" s="4"/>
      <c r="AH343" s="9"/>
      <c r="AI343" s="9"/>
      <c r="AJ343" s="9"/>
      <c r="AK343" s="9" t="s">
        <v>30</v>
      </c>
      <c r="AL343" s="10"/>
      <c r="AM343" s="10"/>
      <c r="AN343" s="10"/>
      <c r="AO343" s="10"/>
      <c r="AP343" s="10"/>
      <c r="AQ343" s="11">
        <v>13</v>
      </c>
      <c r="AR343" s="4"/>
      <c r="AS343" s="10"/>
      <c r="AT343" s="10"/>
      <c r="AU343" s="10"/>
      <c r="AV343" s="10"/>
      <c r="AW343" s="10"/>
      <c r="AX343" s="10"/>
      <c r="AY343" s="10"/>
      <c r="AZ343" s="10"/>
      <c r="BA343" s="10"/>
      <c r="BB343" s="10"/>
      <c r="BC343" s="10"/>
      <c r="BD343" s="10"/>
      <c r="BE343" s="10"/>
      <c r="BF343" s="10"/>
    </row>
    <row r="344" spans="1:58" ht="30" hidden="1" x14ac:dyDescent="0.25">
      <c r="A344" s="4" t="s">
        <v>659</v>
      </c>
      <c r="B344" s="4"/>
      <c r="C344" s="4" t="s">
        <v>46</v>
      </c>
      <c r="D344" s="4" t="s">
        <v>47</v>
      </c>
      <c r="E344" s="5" t="s">
        <v>34</v>
      </c>
      <c r="F344" s="4" t="s">
        <v>657</v>
      </c>
      <c r="G344" s="4" t="s">
        <v>26</v>
      </c>
      <c r="H344" s="4" t="s">
        <v>1047</v>
      </c>
      <c r="I344" s="12"/>
      <c r="J344" s="12"/>
      <c r="K344" s="12"/>
      <c r="L344" s="12"/>
      <c r="M344" s="51"/>
      <c r="N344" s="12"/>
      <c r="O344" s="12"/>
      <c r="P344" s="12"/>
      <c r="Q344" s="12"/>
      <c r="R344" s="12"/>
      <c r="S344" s="12"/>
      <c r="T344" s="12"/>
      <c r="U344" s="12"/>
      <c r="V344" s="12"/>
      <c r="W344" s="7"/>
      <c r="X344" s="12"/>
      <c r="Y344" s="7"/>
      <c r="Z344" s="7"/>
      <c r="AA344" s="7"/>
      <c r="AB344" s="8">
        <f>1/(1*10^-5)</f>
        <v>99999.999999999985</v>
      </c>
      <c r="AC344" s="8"/>
      <c r="AD344" s="4"/>
      <c r="AE344" s="4"/>
      <c r="AF344" s="4"/>
      <c r="AG344" s="4"/>
      <c r="AH344" s="9"/>
      <c r="AI344" s="9"/>
      <c r="AJ344" s="9"/>
      <c r="AK344" s="9" t="s">
        <v>30</v>
      </c>
      <c r="AL344" s="10"/>
      <c r="AM344" s="10"/>
      <c r="AN344" s="10"/>
      <c r="AO344" s="10"/>
      <c r="AP344" s="10"/>
      <c r="AQ344" s="11">
        <v>13</v>
      </c>
      <c r="AR344" s="4"/>
      <c r="AS344" s="478"/>
      <c r="AT344" s="10"/>
      <c r="AU344" s="10"/>
      <c r="AV344" s="10"/>
      <c r="AW344" s="10"/>
      <c r="AX344" s="10"/>
      <c r="AY344" s="10"/>
      <c r="AZ344" s="10"/>
      <c r="BA344" s="10"/>
      <c r="BB344" s="10"/>
      <c r="BC344" s="10"/>
      <c r="BD344" s="10"/>
      <c r="BE344" s="10"/>
      <c r="BF344" s="10"/>
    </row>
    <row r="345" spans="1:58" ht="30" hidden="1" x14ac:dyDescent="0.25">
      <c r="A345" s="4" t="s">
        <v>590</v>
      </c>
      <c r="B345" s="4"/>
      <c r="C345" s="24" t="s">
        <v>46</v>
      </c>
      <c r="D345" s="24" t="s">
        <v>47</v>
      </c>
      <c r="E345" s="815" t="s">
        <v>34</v>
      </c>
      <c r="F345" s="24" t="s">
        <v>657</v>
      </c>
      <c r="G345" s="24" t="s">
        <v>26</v>
      </c>
      <c r="H345" s="4" t="s">
        <v>638</v>
      </c>
      <c r="I345" s="12"/>
      <c r="J345" s="12"/>
      <c r="K345" s="12"/>
      <c r="L345" s="12"/>
      <c r="M345" s="51"/>
      <c r="N345" s="12"/>
      <c r="O345" s="12"/>
      <c r="P345" s="12"/>
      <c r="Q345" s="12"/>
      <c r="R345" s="12"/>
      <c r="S345" s="12"/>
      <c r="T345" s="12"/>
      <c r="U345" s="12"/>
      <c r="V345" s="12"/>
      <c r="W345" s="7"/>
      <c r="X345" s="12"/>
      <c r="Y345" s="7"/>
      <c r="Z345" s="7"/>
      <c r="AA345" s="7"/>
      <c r="AB345" s="8">
        <f>1/(1*10^-5)</f>
        <v>99999.999999999985</v>
      </c>
      <c r="AC345" s="8"/>
      <c r="AD345" s="4"/>
      <c r="AE345" s="4"/>
      <c r="AF345" s="4"/>
      <c r="AG345" s="4"/>
      <c r="AH345" s="9"/>
      <c r="AI345" s="9"/>
      <c r="AJ345" s="9"/>
      <c r="AK345" s="9" t="s">
        <v>30</v>
      </c>
      <c r="AL345" s="10"/>
      <c r="AM345" s="10"/>
      <c r="AN345" s="10"/>
      <c r="AO345" s="10"/>
      <c r="AP345" s="10"/>
      <c r="AQ345" s="11">
        <v>13</v>
      </c>
      <c r="AR345" s="4"/>
      <c r="AS345" s="478"/>
      <c r="AT345" s="10"/>
      <c r="AU345" s="10"/>
      <c r="AV345" s="10"/>
      <c r="AW345" s="10"/>
      <c r="AX345" s="10"/>
      <c r="AY345" s="10"/>
      <c r="AZ345" s="10"/>
      <c r="BA345" s="10"/>
      <c r="BB345" s="10"/>
      <c r="BC345" s="10"/>
      <c r="BD345" s="10"/>
      <c r="BE345" s="10"/>
      <c r="BF345" s="10"/>
    </row>
    <row r="346" spans="1:58" ht="30" hidden="1" x14ac:dyDescent="0.25">
      <c r="A346" s="4" t="s">
        <v>591</v>
      </c>
      <c r="B346" s="4"/>
      <c r="C346" s="4" t="s">
        <v>46</v>
      </c>
      <c r="D346" s="4" t="s">
        <v>47</v>
      </c>
      <c r="E346" s="5" t="s">
        <v>34</v>
      </c>
      <c r="F346" s="4" t="s">
        <v>657</v>
      </c>
      <c r="G346" s="4" t="s">
        <v>26</v>
      </c>
      <c r="H346" s="4" t="s">
        <v>635</v>
      </c>
      <c r="I346" s="12"/>
      <c r="J346" s="12"/>
      <c r="K346" s="12"/>
      <c r="L346" s="12"/>
      <c r="M346" s="51"/>
      <c r="N346" s="12"/>
      <c r="O346" s="12"/>
      <c r="P346" s="12"/>
      <c r="Q346" s="12"/>
      <c r="R346" s="12"/>
      <c r="S346" s="12"/>
      <c r="T346" s="12"/>
      <c r="U346" s="12"/>
      <c r="V346" s="12"/>
      <c r="W346" s="7"/>
      <c r="X346" s="12"/>
      <c r="Y346" s="7"/>
      <c r="Z346" s="7"/>
      <c r="AA346" s="7"/>
      <c r="AB346" s="8">
        <f>1/(6*10^-6)</f>
        <v>166666.66666666666</v>
      </c>
      <c r="AC346" s="8"/>
      <c r="AD346" s="4"/>
      <c r="AE346" s="4"/>
      <c r="AF346" s="4"/>
      <c r="AG346" s="4"/>
      <c r="AH346" s="9"/>
      <c r="AI346" s="9"/>
      <c r="AJ346" s="9"/>
      <c r="AK346" s="9" t="s">
        <v>30</v>
      </c>
      <c r="AL346" s="10"/>
      <c r="AM346" s="10"/>
      <c r="AN346" s="10"/>
      <c r="AO346" s="10"/>
      <c r="AP346" s="10"/>
      <c r="AQ346" s="11">
        <v>13</v>
      </c>
      <c r="AR346" s="4"/>
      <c r="AS346" s="478"/>
      <c r="AT346" s="10"/>
      <c r="AU346" s="10"/>
      <c r="AV346" s="10"/>
      <c r="AW346" s="10"/>
      <c r="AX346" s="10"/>
      <c r="AY346" s="10"/>
      <c r="AZ346" s="10"/>
      <c r="BA346" s="10"/>
      <c r="BB346" s="10"/>
      <c r="BC346" s="10"/>
      <c r="BD346" s="10"/>
      <c r="BE346" s="10"/>
      <c r="BF346" s="10"/>
    </row>
    <row r="347" spans="1:58" ht="30" hidden="1" x14ac:dyDescent="0.25">
      <c r="A347" s="4" t="s">
        <v>618</v>
      </c>
      <c r="B347" s="4"/>
      <c r="C347" s="4" t="s">
        <v>46</v>
      </c>
      <c r="D347" s="4" t="s">
        <v>47</v>
      </c>
      <c r="E347" s="5" t="s">
        <v>34</v>
      </c>
      <c r="F347" s="4" t="s">
        <v>657</v>
      </c>
      <c r="G347" s="4" t="s">
        <v>26</v>
      </c>
      <c r="H347" s="4" t="s">
        <v>1047</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10"/>
      <c r="AT347" s="10"/>
      <c r="AU347" s="10"/>
      <c r="AV347" s="10"/>
      <c r="AW347" s="10"/>
      <c r="AX347" s="10"/>
      <c r="AY347" s="10"/>
      <c r="AZ347" s="10"/>
      <c r="BA347" s="10"/>
      <c r="BB347" s="10"/>
      <c r="BC347" s="10"/>
      <c r="BD347" s="10"/>
      <c r="BE347" s="10"/>
      <c r="BF347" s="10"/>
    </row>
    <row r="348" spans="1:58" ht="30" hidden="1" x14ac:dyDescent="0.25">
      <c r="A348" s="4" t="s">
        <v>660</v>
      </c>
      <c r="B348" s="4"/>
      <c r="C348" s="4" t="s">
        <v>46</v>
      </c>
      <c r="D348" s="4" t="s">
        <v>47</v>
      </c>
      <c r="E348" s="5" t="s">
        <v>34</v>
      </c>
      <c r="F348" s="4" t="s">
        <v>657</v>
      </c>
      <c r="G348" s="4" t="s">
        <v>26</v>
      </c>
      <c r="H348" s="4" t="s">
        <v>1047</v>
      </c>
      <c r="I348" s="12"/>
      <c r="J348" s="12"/>
      <c r="K348" s="12"/>
      <c r="L348" s="12"/>
      <c r="M348" s="51"/>
      <c r="N348" s="12"/>
      <c r="O348" s="12"/>
      <c r="P348" s="12"/>
      <c r="Q348" s="12"/>
      <c r="R348" s="12"/>
      <c r="S348" s="12"/>
      <c r="T348" s="12"/>
      <c r="U348" s="12"/>
      <c r="V348" s="12"/>
      <c r="W348" s="7"/>
      <c r="X348" s="12"/>
      <c r="Y348" s="7"/>
      <c r="Z348" s="7"/>
      <c r="AA348" s="7"/>
      <c r="AB348" s="8">
        <f>1/(1*10^-5)</f>
        <v>99999.999999999985</v>
      </c>
      <c r="AC348" s="8"/>
      <c r="AD348" s="4"/>
      <c r="AE348" s="4"/>
      <c r="AF348" s="4"/>
      <c r="AG348" s="4"/>
      <c r="AH348" s="9"/>
      <c r="AI348" s="9"/>
      <c r="AJ348" s="9"/>
      <c r="AK348" s="9" t="s">
        <v>30</v>
      </c>
      <c r="AL348" s="10"/>
      <c r="AM348" s="10"/>
      <c r="AN348" s="10"/>
      <c r="AO348" s="10"/>
      <c r="AP348" s="10"/>
      <c r="AQ348" s="11">
        <v>13</v>
      </c>
      <c r="AR348" s="4"/>
      <c r="AS348" s="10"/>
      <c r="AT348" s="10"/>
      <c r="AU348" s="10"/>
      <c r="AV348" s="10"/>
      <c r="AW348" s="10"/>
      <c r="AX348" s="10"/>
      <c r="AY348" s="10"/>
      <c r="AZ348" s="10"/>
      <c r="BA348" s="10"/>
      <c r="BB348" s="10"/>
      <c r="BC348" s="10"/>
      <c r="BD348" s="10"/>
      <c r="BE348" s="10"/>
      <c r="BF348" s="10"/>
    </row>
    <row r="349" spans="1:58" ht="30" hidden="1" x14ac:dyDescent="0.25">
      <c r="A349" s="4" t="s">
        <v>593</v>
      </c>
      <c r="B349" s="4"/>
      <c r="C349" s="4" t="s">
        <v>46</v>
      </c>
      <c r="D349" s="4" t="s">
        <v>165</v>
      </c>
      <c r="E349" s="5" t="s">
        <v>34</v>
      </c>
      <c r="F349" s="4" t="s">
        <v>661</v>
      </c>
      <c r="G349" s="4" t="s">
        <v>26</v>
      </c>
      <c r="H349" s="4" t="s">
        <v>1047</v>
      </c>
      <c r="I349" s="12"/>
      <c r="J349" s="12"/>
      <c r="K349" s="12"/>
      <c r="L349" s="12"/>
      <c r="M349" s="51"/>
      <c r="N349" s="12"/>
      <c r="O349" s="12"/>
      <c r="P349" s="12"/>
      <c r="Q349" s="12"/>
      <c r="R349" s="12"/>
      <c r="S349" s="12"/>
      <c r="T349" s="12"/>
      <c r="U349" s="12"/>
      <c r="V349" s="12"/>
      <c r="W349" s="7"/>
      <c r="X349" s="12"/>
      <c r="Y349" s="7">
        <v>8</v>
      </c>
      <c r="Z349" s="7"/>
      <c r="AA349" s="7"/>
      <c r="AB349" s="8">
        <f>1/(5*10^-7)</f>
        <v>2000000</v>
      </c>
      <c r="AC349" s="8"/>
      <c r="AD349" s="4"/>
      <c r="AE349" s="4"/>
      <c r="AF349" s="4"/>
      <c r="AG349" s="4"/>
      <c r="AH349" s="9"/>
      <c r="AI349" s="9"/>
      <c r="AJ349" s="9"/>
      <c r="AK349" s="9" t="s">
        <v>30</v>
      </c>
      <c r="AL349" s="10"/>
      <c r="AM349" s="10"/>
      <c r="AN349" s="10"/>
      <c r="AO349" s="10"/>
      <c r="AP349" s="10"/>
      <c r="AQ349" s="11">
        <v>13</v>
      </c>
      <c r="AR349" s="4"/>
      <c r="AS349" s="10"/>
      <c r="AT349" s="10"/>
      <c r="AU349" s="10"/>
      <c r="AV349" s="10"/>
      <c r="AW349" s="10"/>
      <c r="AX349" s="10"/>
      <c r="AY349" s="10"/>
      <c r="AZ349" s="10"/>
      <c r="BA349" s="10"/>
      <c r="BB349" s="10"/>
      <c r="BC349" s="10"/>
      <c r="BD349" s="10"/>
      <c r="BE349" s="10"/>
      <c r="BF349" s="10"/>
    </row>
    <row r="350" spans="1:58" ht="30" hidden="1" x14ac:dyDescent="0.25">
      <c r="A350" s="4" t="s">
        <v>614</v>
      </c>
      <c r="B350" s="4"/>
      <c r="C350" s="4" t="s">
        <v>46</v>
      </c>
      <c r="D350" s="4" t="s">
        <v>165</v>
      </c>
      <c r="E350" s="5" t="s">
        <v>34</v>
      </c>
      <c r="F350" s="4" t="s">
        <v>661</v>
      </c>
      <c r="G350" s="4" t="s">
        <v>26</v>
      </c>
      <c r="H350" s="4" t="s">
        <v>638</v>
      </c>
      <c r="I350" s="12"/>
      <c r="J350" s="12"/>
      <c r="K350" s="12"/>
      <c r="L350" s="12"/>
      <c r="M350" s="51"/>
      <c r="N350" s="12"/>
      <c r="O350" s="12"/>
      <c r="P350" s="12"/>
      <c r="Q350" s="12"/>
      <c r="R350" s="12"/>
      <c r="S350" s="12"/>
      <c r="T350" s="12"/>
      <c r="U350" s="12"/>
      <c r="V350" s="12"/>
      <c r="W350" s="7"/>
      <c r="X350" s="12"/>
      <c r="Y350" s="7">
        <f t="shared" ref="Y350:Y361" si="7">$Y$281</f>
        <v>9</v>
      </c>
      <c r="Z350" s="7"/>
      <c r="AA350" s="7"/>
      <c r="AB350" s="8">
        <f>1/(4.67*10^-5)</f>
        <v>21413.276231263382</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c r="BF350" s="10"/>
    </row>
    <row r="351" spans="1:58" ht="30" hidden="1" x14ac:dyDescent="0.25">
      <c r="A351" s="4" t="s">
        <v>583</v>
      </c>
      <c r="B351" s="4"/>
      <c r="C351" s="4" t="s">
        <v>46</v>
      </c>
      <c r="D351" s="4" t="s">
        <v>165</v>
      </c>
      <c r="E351" s="5" t="s">
        <v>34</v>
      </c>
      <c r="F351" s="4" t="s">
        <v>661</v>
      </c>
      <c r="G351" s="4" t="s">
        <v>26</v>
      </c>
      <c r="H351" s="4" t="s">
        <v>637</v>
      </c>
      <c r="I351" s="12"/>
      <c r="J351" s="12"/>
      <c r="K351" s="12"/>
      <c r="L351" s="12"/>
      <c r="M351" s="51"/>
      <c r="N351" s="12"/>
      <c r="O351" s="12"/>
      <c r="P351" s="12"/>
      <c r="Q351" s="12"/>
      <c r="R351" s="12"/>
      <c r="S351" s="12"/>
      <c r="T351" s="12"/>
      <c r="U351" s="12"/>
      <c r="V351" s="12"/>
      <c r="W351" s="7"/>
      <c r="X351" s="12"/>
      <c r="Y351" s="7">
        <f t="shared" si="7"/>
        <v>9</v>
      </c>
      <c r="Z351" s="7"/>
      <c r="AA351" s="7"/>
      <c r="AB351" s="8">
        <f>1/(5.99*10^-6)</f>
        <v>166944.9081803005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c r="BF351" s="10"/>
    </row>
    <row r="352" spans="1:58" ht="30" hidden="1" x14ac:dyDescent="0.25">
      <c r="A352" s="4" t="s">
        <v>627</v>
      </c>
      <c r="B352" s="4"/>
      <c r="C352" s="4" t="s">
        <v>46</v>
      </c>
      <c r="D352" s="4" t="s">
        <v>165</v>
      </c>
      <c r="E352" s="5" t="s">
        <v>34</v>
      </c>
      <c r="F352" s="24" t="s">
        <v>661</v>
      </c>
      <c r="G352" s="4" t="s">
        <v>26</v>
      </c>
      <c r="H352" s="4" t="s">
        <v>639</v>
      </c>
      <c r="I352" s="12"/>
      <c r="J352" s="12"/>
      <c r="K352" s="12"/>
      <c r="L352" s="12"/>
      <c r="M352" s="51"/>
      <c r="N352" s="12"/>
      <c r="O352" s="12"/>
      <c r="P352" s="12"/>
      <c r="Q352" s="12"/>
      <c r="R352" s="12"/>
      <c r="S352" s="12"/>
      <c r="T352" s="12"/>
      <c r="U352" s="12"/>
      <c r="V352" s="12"/>
      <c r="W352" s="7"/>
      <c r="X352" s="12"/>
      <c r="Y352" s="7">
        <f t="shared" si="7"/>
        <v>9</v>
      </c>
      <c r="Z352" s="7"/>
      <c r="AA352" s="7"/>
      <c r="AB352" s="8">
        <f>1/(1*10^-5)</f>
        <v>99999.999999999985</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c r="BF352" s="10"/>
    </row>
    <row r="353" spans="1:58" ht="30" hidden="1" x14ac:dyDescent="0.25">
      <c r="A353" s="4" t="s">
        <v>662</v>
      </c>
      <c r="B353" s="4"/>
      <c r="C353" s="4" t="s">
        <v>46</v>
      </c>
      <c r="D353" s="4" t="s">
        <v>165</v>
      </c>
      <c r="E353" s="5" t="s">
        <v>34</v>
      </c>
      <c r="F353" s="4" t="s">
        <v>661</v>
      </c>
      <c r="G353" s="4" t="s">
        <v>26</v>
      </c>
      <c r="H353" s="4" t="s">
        <v>1047</v>
      </c>
      <c r="I353" s="12"/>
      <c r="J353" s="12"/>
      <c r="K353" s="12"/>
      <c r="L353" s="12"/>
      <c r="M353" s="51"/>
      <c r="N353" s="12"/>
      <c r="O353" s="12"/>
      <c r="P353" s="12"/>
      <c r="Q353" s="12"/>
      <c r="R353" s="12"/>
      <c r="S353" s="12"/>
      <c r="T353" s="12"/>
      <c r="U353" s="12"/>
      <c r="V353" s="12"/>
      <c r="W353" s="7"/>
      <c r="X353" s="12"/>
      <c r="Y353" s="7">
        <f t="shared" si="7"/>
        <v>9</v>
      </c>
      <c r="Z353" s="7"/>
      <c r="AA353" s="7"/>
      <c r="AB353" s="8">
        <f>1/(3.37*10^-6)</f>
        <v>296735.90504451038</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c r="BF353" s="10"/>
    </row>
    <row r="354" spans="1:58" ht="30" hidden="1" x14ac:dyDescent="0.25">
      <c r="A354" s="4" t="s">
        <v>663</v>
      </c>
      <c r="B354" s="4"/>
      <c r="C354" s="4" t="s">
        <v>46</v>
      </c>
      <c r="D354" s="4" t="s">
        <v>165</v>
      </c>
      <c r="E354" s="5" t="s">
        <v>34</v>
      </c>
      <c r="F354" s="4" t="s">
        <v>661</v>
      </c>
      <c r="G354" s="4" t="s">
        <v>26</v>
      </c>
      <c r="H354" s="4" t="s">
        <v>651</v>
      </c>
      <c r="I354" s="12"/>
      <c r="J354" s="12"/>
      <c r="K354" s="12"/>
      <c r="L354" s="12"/>
      <c r="M354" s="51"/>
      <c r="N354" s="12"/>
      <c r="O354" s="12"/>
      <c r="P354" s="12"/>
      <c r="Q354" s="12"/>
      <c r="R354" s="12"/>
      <c r="S354" s="12"/>
      <c r="T354" s="12"/>
      <c r="U354" s="12"/>
      <c r="V354" s="12"/>
      <c r="W354" s="7"/>
      <c r="X354" s="12"/>
      <c r="Y354" s="7">
        <f t="shared" si="7"/>
        <v>9</v>
      </c>
      <c r="Z354" s="7"/>
      <c r="AA354" s="7"/>
      <c r="AB354" s="8">
        <f>1/(3.37*10^-6)</f>
        <v>296735.90504451038</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c r="BF354" s="10"/>
    </row>
    <row r="355" spans="1:58" ht="30" hidden="1" x14ac:dyDescent="0.25">
      <c r="A355" s="4" t="s">
        <v>664</v>
      </c>
      <c r="B355" s="4"/>
      <c r="C355" s="4" t="s">
        <v>46</v>
      </c>
      <c r="D355" s="4" t="s">
        <v>165</v>
      </c>
      <c r="E355" s="5" t="s">
        <v>34</v>
      </c>
      <c r="F355" s="4" t="s">
        <v>661</v>
      </c>
      <c r="G355" s="4" t="s">
        <v>26</v>
      </c>
      <c r="H355" s="4" t="s">
        <v>1047</v>
      </c>
      <c r="I355" s="12"/>
      <c r="J355" s="12"/>
      <c r="K355" s="12"/>
      <c r="L355" s="12"/>
      <c r="M355" s="51"/>
      <c r="N355" s="12"/>
      <c r="O355" s="12"/>
      <c r="P355" s="12"/>
      <c r="Q355" s="12"/>
      <c r="R355" s="12"/>
      <c r="S355" s="12"/>
      <c r="T355" s="12"/>
      <c r="U355" s="12"/>
      <c r="V355" s="12"/>
      <c r="W355" s="7"/>
      <c r="X355" s="12"/>
      <c r="Y355" s="7">
        <f t="shared" si="7"/>
        <v>9</v>
      </c>
      <c r="Z355" s="7"/>
      <c r="AA355" s="7"/>
      <c r="AB355" s="8">
        <f>1/(1.39*10^-6)</f>
        <v>719424.46043165482</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c r="BF355" s="10"/>
    </row>
    <row r="356" spans="1:58" ht="30" hidden="1" x14ac:dyDescent="0.25">
      <c r="A356" s="4" t="s">
        <v>665</v>
      </c>
      <c r="B356" s="4"/>
      <c r="C356" s="4" t="s">
        <v>46</v>
      </c>
      <c r="D356" s="4" t="s">
        <v>165</v>
      </c>
      <c r="E356" s="5" t="s">
        <v>34</v>
      </c>
      <c r="F356" s="4" t="s">
        <v>661</v>
      </c>
      <c r="G356" s="4" t="s">
        <v>26</v>
      </c>
      <c r="H356" s="4" t="s">
        <v>1047</v>
      </c>
      <c r="I356" s="12"/>
      <c r="J356" s="12"/>
      <c r="K356" s="12"/>
      <c r="L356" s="12"/>
      <c r="M356" s="51"/>
      <c r="N356" s="12"/>
      <c r="O356" s="12"/>
      <c r="P356" s="12"/>
      <c r="Q356" s="12"/>
      <c r="R356" s="12"/>
      <c r="S356" s="12"/>
      <c r="T356" s="12"/>
      <c r="U356" s="12"/>
      <c r="V356" s="12"/>
      <c r="W356" s="7"/>
      <c r="X356" s="12"/>
      <c r="Y356" s="7">
        <f t="shared" si="7"/>
        <v>9</v>
      </c>
      <c r="Z356" s="7"/>
      <c r="AA356" s="7"/>
      <c r="AB356" s="8">
        <f>1/(7.29*10^-6)</f>
        <v>137174.21124828534</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c r="BF356" s="10"/>
    </row>
    <row r="357" spans="1:58" ht="30" hidden="1" x14ac:dyDescent="0.25">
      <c r="A357" s="4" t="s">
        <v>603</v>
      </c>
      <c r="B357" s="4"/>
      <c r="C357" s="4" t="s">
        <v>46</v>
      </c>
      <c r="D357" s="4" t="s">
        <v>165</v>
      </c>
      <c r="E357" s="5" t="s">
        <v>34</v>
      </c>
      <c r="F357" s="4" t="s">
        <v>661</v>
      </c>
      <c r="G357" s="4" t="s">
        <v>26</v>
      </c>
      <c r="H357" s="4" t="s">
        <v>1047</v>
      </c>
      <c r="I357" s="12"/>
      <c r="J357" s="12"/>
      <c r="K357" s="12"/>
      <c r="L357" s="12"/>
      <c r="M357" s="51"/>
      <c r="N357" s="12"/>
      <c r="O357" s="12"/>
      <c r="P357" s="12"/>
      <c r="Q357" s="12"/>
      <c r="R357" s="12"/>
      <c r="S357" s="12"/>
      <c r="T357" s="12"/>
      <c r="U357" s="12"/>
      <c r="V357" s="12"/>
      <c r="W357" s="7"/>
      <c r="X357" s="12"/>
      <c r="Y357" s="7">
        <f t="shared" si="7"/>
        <v>9</v>
      </c>
      <c r="Z357" s="7"/>
      <c r="AA357" s="7"/>
      <c r="AB357" s="8">
        <f>1/(1*10^-5)</f>
        <v>99999.999999999985</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c r="BF357" s="10"/>
    </row>
    <row r="358" spans="1:58" ht="30" hidden="1" x14ac:dyDescent="0.25">
      <c r="A358" s="4" t="s">
        <v>586</v>
      </c>
      <c r="B358" s="4"/>
      <c r="C358" s="4" t="s">
        <v>46</v>
      </c>
      <c r="D358" s="4" t="s">
        <v>165</v>
      </c>
      <c r="E358" s="5" t="s">
        <v>34</v>
      </c>
      <c r="F358" s="4" t="s">
        <v>661</v>
      </c>
      <c r="G358" s="4" t="s">
        <v>26</v>
      </c>
      <c r="H358" s="4" t="s">
        <v>1047</v>
      </c>
      <c r="I358" s="12"/>
      <c r="J358" s="12"/>
      <c r="K358" s="12"/>
      <c r="L358" s="12"/>
      <c r="M358" s="51"/>
      <c r="N358" s="12"/>
      <c r="O358" s="12"/>
      <c r="P358" s="12"/>
      <c r="Q358" s="12"/>
      <c r="R358" s="12"/>
      <c r="S358" s="12"/>
      <c r="T358" s="12"/>
      <c r="U358" s="12"/>
      <c r="V358" s="12"/>
      <c r="W358" s="7"/>
      <c r="X358" s="12"/>
      <c r="Y358" s="7">
        <f t="shared" si="7"/>
        <v>9</v>
      </c>
      <c r="Z358" s="7"/>
      <c r="AA358" s="7"/>
      <c r="AB358" s="8">
        <f>1/(1*10^-5)</f>
        <v>99999.999999999985</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c r="BF358" s="10"/>
    </row>
    <row r="359" spans="1:58" ht="30" hidden="1" x14ac:dyDescent="0.25">
      <c r="A359" s="4" t="s">
        <v>587</v>
      </c>
      <c r="B359" s="4"/>
      <c r="C359" s="4" t="s">
        <v>46</v>
      </c>
      <c r="D359" s="4" t="s">
        <v>165</v>
      </c>
      <c r="E359" s="5" t="s">
        <v>34</v>
      </c>
      <c r="F359" s="4" t="s">
        <v>661</v>
      </c>
      <c r="G359" s="4" t="s">
        <v>26</v>
      </c>
      <c r="H359" s="4" t="s">
        <v>1047</v>
      </c>
      <c r="I359" s="12"/>
      <c r="J359" s="12"/>
      <c r="K359" s="12"/>
      <c r="L359" s="12"/>
      <c r="M359" s="51"/>
      <c r="N359" s="12"/>
      <c r="O359" s="12"/>
      <c r="P359" s="12"/>
      <c r="Q359" s="12"/>
      <c r="R359" s="12"/>
      <c r="S359" s="12"/>
      <c r="T359" s="12"/>
      <c r="U359" s="12"/>
      <c r="V359" s="12"/>
      <c r="W359" s="7"/>
      <c r="X359" s="12"/>
      <c r="Y359" s="7">
        <f t="shared" si="7"/>
        <v>9</v>
      </c>
      <c r="Z359" s="7"/>
      <c r="AA359" s="7"/>
      <c r="AB359" s="8">
        <f>1/(1.5*10^-5)</f>
        <v>66666.666666666657</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c r="BF359" s="10"/>
    </row>
    <row r="360" spans="1:58" ht="30" hidden="1" x14ac:dyDescent="0.25">
      <c r="A360" s="4" t="s">
        <v>590</v>
      </c>
      <c r="B360" s="4"/>
      <c r="C360" s="4" t="s">
        <v>46</v>
      </c>
      <c r="D360" s="4" t="s">
        <v>165</v>
      </c>
      <c r="E360" s="5" t="s">
        <v>34</v>
      </c>
      <c r="F360" s="4" t="s">
        <v>661</v>
      </c>
      <c r="G360" s="4" t="s">
        <v>26</v>
      </c>
      <c r="H360" s="4" t="s">
        <v>666</v>
      </c>
      <c r="I360" s="12"/>
      <c r="J360" s="12"/>
      <c r="K360" s="12"/>
      <c r="L360" s="12"/>
      <c r="M360" s="51"/>
      <c r="N360" s="12"/>
      <c r="O360" s="12"/>
      <c r="P360" s="12"/>
      <c r="Q360" s="12"/>
      <c r="R360" s="12"/>
      <c r="S360" s="12"/>
      <c r="T360" s="12"/>
      <c r="U360" s="12"/>
      <c r="V360" s="12"/>
      <c r="W360" s="7"/>
      <c r="X360" s="12"/>
      <c r="Y360" s="7">
        <f t="shared" si="7"/>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c r="BF360" s="10"/>
    </row>
    <row r="361" spans="1:58" ht="30" hidden="1" x14ac:dyDescent="0.25">
      <c r="A361" s="4" t="s">
        <v>618</v>
      </c>
      <c r="B361" s="4"/>
      <c r="C361" s="4" t="s">
        <v>46</v>
      </c>
      <c r="D361" s="4" t="s">
        <v>165</v>
      </c>
      <c r="E361" s="5" t="s">
        <v>34</v>
      </c>
      <c r="F361" s="4" t="s">
        <v>661</v>
      </c>
      <c r="G361" s="4" t="s">
        <v>26</v>
      </c>
      <c r="H361" s="4" t="s">
        <v>637</v>
      </c>
      <c r="I361" s="12"/>
      <c r="J361" s="12"/>
      <c r="K361" s="12"/>
      <c r="L361" s="12"/>
      <c r="M361" s="51"/>
      <c r="N361" s="12"/>
      <c r="O361" s="12"/>
      <c r="P361" s="12"/>
      <c r="Q361" s="12"/>
      <c r="R361" s="12"/>
      <c r="S361" s="12"/>
      <c r="T361" s="12"/>
      <c r="U361" s="12"/>
      <c r="V361" s="12"/>
      <c r="W361" s="7"/>
      <c r="X361" s="12"/>
      <c r="Y361" s="7">
        <f t="shared" si="7"/>
        <v>9</v>
      </c>
      <c r="Z361" s="7"/>
      <c r="AA361" s="7"/>
      <c r="AB361" s="8">
        <f>1/(1*10^-5)</f>
        <v>99999.999999999985</v>
      </c>
      <c r="AC361" s="8"/>
      <c r="AD361" s="4"/>
      <c r="AE361" s="4"/>
      <c r="AF361" s="4"/>
      <c r="AG361" s="4"/>
      <c r="AH361" s="9"/>
      <c r="AI361" s="9"/>
      <c r="AJ361" s="9"/>
      <c r="AK361" s="9" t="s">
        <v>30</v>
      </c>
      <c r="AL361" s="10"/>
      <c r="AM361" s="10"/>
      <c r="AN361" s="10"/>
      <c r="AO361" s="10"/>
      <c r="AP361" s="10"/>
      <c r="AQ361" s="11">
        <v>13</v>
      </c>
      <c r="AR361" s="4"/>
      <c r="AS361" s="10"/>
      <c r="AT361" s="10"/>
      <c r="AU361" s="10"/>
      <c r="AV361" s="10"/>
      <c r="AW361" s="10"/>
      <c r="AX361" s="10"/>
      <c r="AY361" s="10"/>
      <c r="AZ361" s="10"/>
      <c r="BA361" s="10"/>
      <c r="BB361" s="10"/>
      <c r="BC361" s="10"/>
      <c r="BD361" s="10"/>
      <c r="BE361" s="10"/>
      <c r="BF361" s="10"/>
    </row>
    <row r="362" spans="1:58" ht="30" x14ac:dyDescent="0.25">
      <c r="A362" s="4" t="s">
        <v>701</v>
      </c>
      <c r="B362" s="4" t="s">
        <v>1485</v>
      </c>
      <c r="C362" s="4" t="s">
        <v>46</v>
      </c>
      <c r="D362" s="4" t="s">
        <v>47</v>
      </c>
      <c r="E362" s="5" t="s">
        <v>34</v>
      </c>
      <c r="F362" s="4"/>
      <c r="G362" s="4" t="s">
        <v>35</v>
      </c>
      <c r="H362" s="4" t="s">
        <v>1062</v>
      </c>
      <c r="I362" s="12"/>
      <c r="J362" s="12"/>
      <c r="K362" s="12"/>
      <c r="L362" s="12"/>
      <c r="M362" s="51"/>
      <c r="N362" s="12"/>
      <c r="O362" s="12"/>
      <c r="P362" s="12"/>
      <c r="Q362" s="12"/>
      <c r="R362" s="12"/>
      <c r="S362" s="12"/>
      <c r="T362" s="12"/>
      <c r="U362" s="12"/>
      <c r="V362" s="12"/>
      <c r="W362" s="7"/>
      <c r="X362" s="12"/>
      <c r="Y362" s="7">
        <v>4</v>
      </c>
      <c r="Z362" s="7">
        <v>4</v>
      </c>
      <c r="AA362" s="7">
        <v>0.75</v>
      </c>
      <c r="AB362" s="8"/>
      <c r="AC362" s="7"/>
      <c r="AD362" s="4"/>
      <c r="AE362" s="4"/>
      <c r="AF362" s="4"/>
      <c r="AG362" s="4"/>
      <c r="AH362" s="9"/>
      <c r="AI362" s="9"/>
      <c r="AJ362" s="9"/>
      <c r="AK362" s="9"/>
      <c r="AL362" s="10"/>
      <c r="AM362" s="10"/>
      <c r="AN362" s="10"/>
      <c r="AO362" s="10"/>
      <c r="AP362" s="10"/>
      <c r="AQ362" s="11">
        <v>55</v>
      </c>
      <c r="AR362" s="22"/>
      <c r="AS362" s="10"/>
      <c r="AT362" s="10" t="s">
        <v>854</v>
      </c>
      <c r="AU362" s="10"/>
      <c r="AV362" s="10"/>
      <c r="AW362" s="10"/>
      <c r="AX362" s="10"/>
      <c r="AY362" s="10"/>
      <c r="AZ362" s="10"/>
      <c r="BA362" s="10"/>
      <c r="BB362" s="10"/>
      <c r="BC362" s="10"/>
      <c r="BD362" s="10"/>
      <c r="BE362" s="10"/>
      <c r="BF362" s="10"/>
    </row>
    <row r="363" spans="1:58" ht="45" x14ac:dyDescent="0.25">
      <c r="A363" s="4" t="s">
        <v>702</v>
      </c>
      <c r="B363" s="4" t="s">
        <v>1486</v>
      </c>
      <c r="C363" s="4" t="s">
        <v>46</v>
      </c>
      <c r="D363" s="4" t="s">
        <v>165</v>
      </c>
      <c r="E363" s="5" t="s">
        <v>34</v>
      </c>
      <c r="F363" s="4"/>
      <c r="G363" s="4" t="s">
        <v>35</v>
      </c>
      <c r="H363" s="4" t="s">
        <v>1063</v>
      </c>
      <c r="I363" s="12"/>
      <c r="J363" s="12"/>
      <c r="K363" s="12"/>
      <c r="L363" s="12"/>
      <c r="M363" s="51"/>
      <c r="N363" s="12"/>
      <c r="O363" s="12"/>
      <c r="P363" s="12"/>
      <c r="Q363" s="12"/>
      <c r="R363" s="12"/>
      <c r="S363" s="12"/>
      <c r="T363" s="12"/>
      <c r="U363" s="12"/>
      <c r="V363" s="12"/>
      <c r="W363" s="7"/>
      <c r="X363" s="12"/>
      <c r="Y363" s="7"/>
      <c r="Z363" s="7">
        <v>3</v>
      </c>
      <c r="AA363" s="7">
        <v>0.5</v>
      </c>
      <c r="AB363" s="8"/>
      <c r="AC363" s="7"/>
      <c r="AD363" s="4"/>
      <c r="AE363" s="4"/>
      <c r="AF363" s="4"/>
      <c r="AG363" s="4"/>
      <c r="AH363" s="9"/>
      <c r="AI363" s="9"/>
      <c r="AJ363" s="9"/>
      <c r="AK363" s="9"/>
      <c r="AL363" s="10"/>
      <c r="AM363" s="10"/>
      <c r="AN363" s="10"/>
      <c r="AO363" s="10"/>
      <c r="AP363" s="10"/>
      <c r="AQ363" s="11"/>
      <c r="AR363" s="22"/>
      <c r="AS363" s="10"/>
      <c r="AT363" s="10" t="s">
        <v>873</v>
      </c>
      <c r="AU363" s="10"/>
      <c r="AV363" s="10"/>
      <c r="AW363" s="10"/>
      <c r="AX363" s="10"/>
      <c r="AY363" s="10"/>
      <c r="AZ363" s="10"/>
      <c r="BA363" s="10"/>
      <c r="BB363" s="10"/>
      <c r="BC363" s="10"/>
      <c r="BD363" s="10"/>
      <c r="BE363" s="10"/>
      <c r="BF363" s="10"/>
    </row>
    <row r="364" spans="1:58" ht="120" x14ac:dyDescent="0.25">
      <c r="A364" s="4" t="s">
        <v>703</v>
      </c>
      <c r="B364" s="4" t="s">
        <v>1487</v>
      </c>
      <c r="C364" s="4" t="s">
        <v>46</v>
      </c>
      <c r="D364" s="4" t="s">
        <v>165</v>
      </c>
      <c r="E364" s="5" t="s">
        <v>24</v>
      </c>
      <c r="F364" s="4"/>
      <c r="G364" s="4" t="s">
        <v>35</v>
      </c>
      <c r="H364" s="49" t="s">
        <v>1064</v>
      </c>
      <c r="I364" s="12"/>
      <c r="J364" s="12"/>
      <c r="K364" s="12"/>
      <c r="L364" s="12"/>
      <c r="M364" s="51"/>
      <c r="N364" s="12"/>
      <c r="O364" s="12"/>
      <c r="P364" s="12"/>
      <c r="Q364" s="12"/>
      <c r="R364" s="12"/>
      <c r="S364" s="12"/>
      <c r="T364" s="12"/>
      <c r="U364" s="12"/>
      <c r="V364" s="12"/>
      <c r="W364" s="7"/>
      <c r="X364" s="12"/>
      <c r="Y364" s="23" t="s">
        <v>704</v>
      </c>
      <c r="Z364" s="7"/>
      <c r="AA364" s="7"/>
      <c r="AB364" s="8"/>
      <c r="AC364" s="7"/>
      <c r="AD364" s="4"/>
      <c r="AE364" s="4"/>
      <c r="AF364" s="4"/>
      <c r="AG364" s="4"/>
      <c r="AH364" s="9"/>
      <c r="AI364" s="9"/>
      <c r="AJ364" s="9"/>
      <c r="AK364" s="9"/>
      <c r="AL364" s="10"/>
      <c r="AM364" s="10"/>
      <c r="AN364" s="10"/>
      <c r="AO364" s="10"/>
      <c r="AP364" s="10"/>
      <c r="AQ364" s="11"/>
      <c r="AR364" s="22"/>
      <c r="AS364" s="10"/>
      <c r="AT364" s="10" t="s">
        <v>873</v>
      </c>
      <c r="AU364" s="10"/>
      <c r="AV364" s="10"/>
      <c r="AW364" s="10"/>
      <c r="AX364" s="10"/>
      <c r="AY364" s="10"/>
      <c r="AZ364" s="10"/>
      <c r="BA364" s="10"/>
      <c r="BB364" s="10"/>
      <c r="BC364" s="10"/>
      <c r="BD364" s="10"/>
      <c r="BE364" s="10"/>
      <c r="BF364" s="10"/>
    </row>
    <row r="365" spans="1:58" ht="60" x14ac:dyDescent="0.25">
      <c r="A365" s="4" t="s">
        <v>1508</v>
      </c>
      <c r="B365" s="4" t="s">
        <v>1708</v>
      </c>
      <c r="C365" s="4" t="s">
        <v>46</v>
      </c>
      <c r="D365" s="4" t="s">
        <v>1152</v>
      </c>
      <c r="E365" s="5" t="s">
        <v>34</v>
      </c>
      <c r="F365" s="6"/>
      <c r="G365" s="4" t="s">
        <v>35</v>
      </c>
      <c r="H365" s="4" t="s">
        <v>1254</v>
      </c>
      <c r="I365" s="7">
        <v>24050</v>
      </c>
      <c r="J365" s="7"/>
      <c r="K365" s="7">
        <v>0.5</v>
      </c>
      <c r="L365" s="7">
        <v>21</v>
      </c>
      <c r="M365" s="51"/>
      <c r="N365" s="7">
        <v>0.5</v>
      </c>
      <c r="O365" s="7">
        <v>85700</v>
      </c>
      <c r="P365" s="7"/>
      <c r="Q365" s="7">
        <v>0.5</v>
      </c>
      <c r="R365" s="7">
        <v>85700</v>
      </c>
      <c r="S365" s="7"/>
      <c r="T365" s="7">
        <v>0.5</v>
      </c>
      <c r="U365" s="12"/>
      <c r="V365" s="12"/>
      <c r="W365" s="7"/>
      <c r="X365" s="12"/>
      <c r="Y365" s="7">
        <v>5</v>
      </c>
      <c r="Z365" s="7">
        <v>5</v>
      </c>
      <c r="AA365" s="7">
        <v>0.5</v>
      </c>
      <c r="AB365" s="7"/>
      <c r="AC365" s="7"/>
      <c r="AD365" s="4">
        <f>0.18*Crew_Size*Mission_Duration</f>
        <v>288</v>
      </c>
      <c r="AE365" s="4">
        <v>21.6</v>
      </c>
      <c r="AF365" s="4"/>
      <c r="AG365" s="4">
        <v>0.25</v>
      </c>
      <c r="AH365" s="9"/>
      <c r="AI365" s="9"/>
      <c r="AJ365" s="9"/>
      <c r="AK365" s="9"/>
      <c r="AL365" s="10"/>
      <c r="AM365" s="10"/>
      <c r="AN365" s="10"/>
      <c r="AO365" s="10"/>
      <c r="AP365" s="10"/>
      <c r="AQ365" s="11"/>
      <c r="AR365" s="4"/>
      <c r="AS365" s="10" t="s">
        <v>855</v>
      </c>
      <c r="AT365" s="10" t="s">
        <v>852</v>
      </c>
      <c r="AU365" s="10" t="s">
        <v>853</v>
      </c>
      <c r="AV365" s="10" t="s">
        <v>854</v>
      </c>
      <c r="AW365" s="10"/>
      <c r="AX365" s="10"/>
      <c r="AY365" s="10"/>
      <c r="AZ365" s="10"/>
      <c r="BA365" s="10"/>
      <c r="BB365" s="10"/>
      <c r="BC365" s="10"/>
      <c r="BD365" s="10"/>
      <c r="BE365" s="10"/>
      <c r="BF365" s="10"/>
    </row>
    <row r="366" spans="1:58" ht="30" hidden="1" x14ac:dyDescent="0.25">
      <c r="A366" s="4" t="s">
        <v>685</v>
      </c>
      <c r="B366" s="4"/>
      <c r="C366" s="4"/>
      <c r="D366" s="4" t="s">
        <v>23</v>
      </c>
      <c r="E366" s="5" t="s">
        <v>34</v>
      </c>
      <c r="F366" s="4"/>
      <c r="G366" s="4" t="s">
        <v>26</v>
      </c>
      <c r="H366" s="49" t="s">
        <v>1056</v>
      </c>
      <c r="I366" s="12"/>
      <c r="J366" s="12"/>
      <c r="K366" s="12"/>
      <c r="L366" s="12"/>
      <c r="M366" s="51"/>
      <c r="N366" s="12"/>
      <c r="O366" s="12"/>
      <c r="P366" s="12"/>
      <c r="Q366" s="12"/>
      <c r="R366" s="12">
        <v>0</v>
      </c>
      <c r="S366" s="12"/>
      <c r="T366" s="12"/>
      <c r="U366" s="12"/>
      <c r="V366" s="12"/>
      <c r="W366" s="7"/>
      <c r="X366" s="12"/>
      <c r="Y366" s="7"/>
      <c r="Z366" s="7"/>
      <c r="AA366" s="7"/>
      <c r="AB366" s="8"/>
      <c r="AC366" s="7"/>
      <c r="AD366" s="4"/>
      <c r="AE366" s="4"/>
      <c r="AF366" s="4"/>
      <c r="AG366" s="4"/>
      <c r="AH366" s="9"/>
      <c r="AI366" s="9"/>
      <c r="AJ366" s="9"/>
      <c r="AK366" s="9" t="s">
        <v>30</v>
      </c>
      <c r="AL366" s="10"/>
      <c r="AM366" s="10"/>
      <c r="AN366" s="10"/>
      <c r="AO366" s="10"/>
      <c r="AP366" s="10"/>
      <c r="AQ366" s="11">
        <v>33</v>
      </c>
      <c r="AR366" s="4" t="s">
        <v>32</v>
      </c>
      <c r="AS366" s="10"/>
      <c r="AT366" s="10"/>
      <c r="AU366" s="10"/>
      <c r="AV366" s="10"/>
      <c r="AW366" s="10"/>
      <c r="AX366" s="10"/>
      <c r="AY366" s="10"/>
      <c r="AZ366" s="10"/>
      <c r="BA366" s="10"/>
      <c r="BB366" s="10"/>
      <c r="BC366" s="10">
        <v>922</v>
      </c>
      <c r="BD366" s="10">
        <v>8274</v>
      </c>
      <c r="BE366" s="10"/>
      <c r="BF366" s="10"/>
    </row>
    <row r="367" spans="1:58" ht="30" hidden="1" x14ac:dyDescent="0.25">
      <c r="A367" s="4" t="s">
        <v>686</v>
      </c>
      <c r="B367" s="4"/>
      <c r="C367" s="4"/>
      <c r="D367" s="4" t="s">
        <v>23</v>
      </c>
      <c r="E367" s="5" t="s">
        <v>34</v>
      </c>
      <c r="F367" s="4"/>
      <c r="G367" s="4" t="s">
        <v>26</v>
      </c>
      <c r="H367" s="4" t="s">
        <v>1057</v>
      </c>
      <c r="I367" s="12"/>
      <c r="J367" s="12"/>
      <c r="K367" s="12"/>
      <c r="L367" s="12"/>
      <c r="M367" s="51"/>
      <c r="N367" s="12"/>
      <c r="O367" s="12"/>
      <c r="P367" s="12"/>
      <c r="Q367" s="12"/>
      <c r="R367" s="12">
        <v>0</v>
      </c>
      <c r="S367" s="12"/>
      <c r="T367" s="12"/>
      <c r="U367" s="12"/>
      <c r="V367" s="12"/>
      <c r="W367" s="7"/>
      <c r="X367" s="12"/>
      <c r="Y367" s="7"/>
      <c r="Z367" s="7"/>
      <c r="AA367" s="7"/>
      <c r="AB367" s="8"/>
      <c r="AC367" s="7"/>
      <c r="AD367" s="4"/>
      <c r="AE367" s="4"/>
      <c r="AF367" s="4"/>
      <c r="AG367" s="4"/>
      <c r="AH367" s="9"/>
      <c r="AI367" s="9"/>
      <c r="AJ367" s="9"/>
      <c r="AK367" s="9" t="s">
        <v>30</v>
      </c>
      <c r="AL367" s="10"/>
      <c r="AM367" s="10"/>
      <c r="AN367" s="10"/>
      <c r="AO367" s="10"/>
      <c r="AP367" s="10"/>
      <c r="AQ367" s="11">
        <v>33</v>
      </c>
      <c r="AR367" s="4" t="s">
        <v>32</v>
      </c>
      <c r="AS367" s="10"/>
      <c r="AT367" s="10"/>
      <c r="AU367" s="10"/>
      <c r="AV367" s="10"/>
      <c r="AW367" s="10"/>
      <c r="AX367" s="10"/>
      <c r="AY367" s="10"/>
      <c r="AZ367" s="10"/>
      <c r="BA367" s="10"/>
      <c r="BB367" s="10"/>
      <c r="BC367" s="10" t="s">
        <v>687</v>
      </c>
      <c r="BD367" s="10">
        <v>1724</v>
      </c>
      <c r="BE367" s="10"/>
      <c r="BF367" s="10"/>
    </row>
    <row r="368" spans="1:58" ht="45" x14ac:dyDescent="0.25">
      <c r="A368" s="4" t="s">
        <v>2049</v>
      </c>
      <c r="B368" s="4" t="s">
        <v>2049</v>
      </c>
      <c r="C368" s="4"/>
      <c r="D368" s="4"/>
      <c r="E368" s="5"/>
      <c r="F368" s="6"/>
      <c r="G368" s="6" t="s">
        <v>35</v>
      </c>
      <c r="H368" s="4"/>
      <c r="I368" s="7"/>
      <c r="J368" s="7">
        <v>1</v>
      </c>
      <c r="K368" s="7"/>
      <c r="L368" s="7"/>
      <c r="M368" s="51"/>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1512</v>
      </c>
      <c r="AV368" s="10" t="s">
        <v>873</v>
      </c>
      <c r="AW368" s="10"/>
      <c r="AX368" s="10"/>
      <c r="AY368" s="10"/>
      <c r="AZ368" s="10"/>
      <c r="BA368" s="10"/>
      <c r="BB368" s="10"/>
      <c r="BC368" s="10"/>
      <c r="BD368" s="10"/>
      <c r="BE368" s="10"/>
      <c r="BF368" s="10">
        <v>2021</v>
      </c>
    </row>
    <row r="369" spans="24:24" x14ac:dyDescent="0.25">
      <c r="X369" s="44"/>
    </row>
    <row r="370" spans="24:24" x14ac:dyDescent="0.25">
      <c r="X370" s="44"/>
    </row>
    <row r="371" spans="24:24" x14ac:dyDescent="0.25">
      <c r="X371" s="44"/>
    </row>
    <row r="372" spans="24:24" x14ac:dyDescent="0.25">
      <c r="X372" s="44"/>
    </row>
    <row r="373" spans="24:24" x14ac:dyDescent="0.25">
      <c r="X373" s="44"/>
    </row>
    <row r="374" spans="24:24" x14ac:dyDescent="0.25">
      <c r="X374" s="44"/>
    </row>
    <row r="375" spans="24:24" x14ac:dyDescent="0.25">
      <c r="X375" s="44"/>
    </row>
    <row r="376" spans="24:24" x14ac:dyDescent="0.25">
      <c r="X376" s="44"/>
    </row>
    <row r="377" spans="24:24" x14ac:dyDescent="0.25">
      <c r="X377" s="44"/>
    </row>
    <row r="378" spans="24:24" x14ac:dyDescent="0.25">
      <c r="X378" s="44"/>
    </row>
    <row r="379" spans="24:24" x14ac:dyDescent="0.25">
      <c r="X379" s="44"/>
    </row>
    <row r="380" spans="24:24" x14ac:dyDescent="0.25">
      <c r="X380" s="44"/>
    </row>
    <row r="381" spans="24:24" x14ac:dyDescent="0.25">
      <c r="X381" s="44"/>
    </row>
    <row r="382" spans="24:24" x14ac:dyDescent="0.25">
      <c r="X382" s="44"/>
    </row>
    <row r="383" spans="24:24" x14ac:dyDescent="0.25">
      <c r="X383" s="44"/>
    </row>
    <row r="384" spans="24:24"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sheetData>
  <dataValidations count="6">
    <dataValidation type="list" allowBlank="1" showInputMessage="1" showErrorMessage="1" sqref="C1:C3"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G366:G368 G1:G365" xr:uid="{00000000-0002-0000-0100-000005000000}">
      <formula1>level</formula1>
    </dataValidation>
    <dataValidation type="list" allowBlank="1" showInputMessage="1" showErrorMessage="1" sqref="C4:C365 C366 C2" xr:uid="{00000000-0002-0000-0100-000006000000}">
      <formula1>"air-ACS,air-THC,air-AR,water-WRM,waste-WM,food-FM,crew-CS"</formula1>
    </dataValidation>
    <dataValidation type="list" allowBlank="1" showInputMessage="1" showErrorMessage="1" sqref="E366:E368 E2:E365" xr:uid="{00000000-0002-0000-0100-000007000000}">
      <formula1>"regenerable, non regenerable"</formula1>
    </dataValidation>
    <dataValidation type="whole" allowBlank="1" showInputMessage="1" showErrorMessage="1" sqref="AB4:AB365 AB366 AB2"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EA8FBE-C492-4679-B9CB-791957770617}">
          <x14:formula1>
            <xm:f>'ECLSS Functions'!$B$3:$B$59</xm:f>
          </x14:formula1>
          <xm:sqref>AS368:AY368</xm:sqref>
        </x14:dataValidation>
        <x14:dataValidation type="list" allowBlank="1" showInputMessage="1" showErrorMessage="1" xr:uid="{E92FC0CF-3A2F-4ECC-BA5B-2ACC071103A9}">
          <x14:formula1>
            <xm:f>'ECLSS Functions'!$B$3:$B$14</xm:f>
          </x14:formula1>
          <xm:sqref>AU74</xm:sqref>
        </x14:dataValidation>
        <x14:dataValidation type="list" allowBlank="1" showInputMessage="1" showErrorMessage="1" xr:uid="{35AE05FD-4E08-4C05-83FF-AC84CF7C9259}">
          <x14:formula1>
            <xm:f>'ECLSS Functions'!$L$3:$L$12</xm:f>
          </x14:formula1>
          <xm:sqref>D3:D4 D5:D1048576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B2:AJ27"/>
  <sheetViews>
    <sheetView showGridLines="0" topLeftCell="J1" zoomScale="80" zoomScaleNormal="80" workbookViewId="0">
      <selection activeCell="V20" sqref="V20"/>
    </sheetView>
  </sheetViews>
  <sheetFormatPr defaultColWidth="19.28515625" defaultRowHeight="15" x14ac:dyDescent="0.25"/>
  <cols>
    <col min="1" max="1" width="2.7109375" customWidth="1"/>
    <col min="2" max="2" width="13.42578125" customWidth="1"/>
    <col min="3" max="3" width="20.42578125" customWidth="1"/>
    <col min="4" max="4" width="15.7109375" customWidth="1"/>
    <col min="5" max="5" width="20.7109375" customWidth="1"/>
    <col min="6" max="6" width="18.28515625" customWidth="1"/>
    <col min="7" max="7" width="17.5703125" customWidth="1"/>
    <col min="8" max="8" width="20.5703125" customWidth="1"/>
    <col min="9" max="9" width="22.42578125" customWidth="1"/>
    <col min="10" max="10" width="18.42578125" customWidth="1"/>
    <col min="11" max="11" width="7.42578125" customWidth="1"/>
    <col min="12" max="12" width="27.140625" bestFit="1" customWidth="1"/>
    <col min="13" max="13" width="13" bestFit="1" customWidth="1"/>
    <col min="14" max="14" width="10.5703125" bestFit="1" customWidth="1"/>
    <col min="15" max="15" width="10.140625" bestFit="1" customWidth="1"/>
    <col min="16" max="16" width="10.5703125" bestFit="1" customWidth="1"/>
    <col min="17" max="17" width="13.140625" bestFit="1" customWidth="1"/>
    <col min="18" max="18" width="16.5703125" bestFit="1" customWidth="1"/>
    <col min="19" max="19" width="11.7109375" bestFit="1" customWidth="1"/>
    <col min="20" max="20" width="10" bestFit="1" customWidth="1"/>
    <col min="21" max="21" width="8" bestFit="1" customWidth="1"/>
    <col min="22" max="22" width="11.28515625" bestFit="1" customWidth="1"/>
    <col min="23" max="23" width="11.42578125" bestFit="1" customWidth="1"/>
    <col min="24" max="24" width="11" bestFit="1" customWidth="1"/>
    <col min="25" max="25" width="13.140625" bestFit="1" customWidth="1"/>
    <col min="26" max="26" width="8.5703125" bestFit="1" customWidth="1"/>
    <col min="27" max="27" width="15" bestFit="1" customWidth="1"/>
    <col min="28" max="28" width="12.85546875" bestFit="1" customWidth="1"/>
    <col min="29" max="29" width="12.28515625" bestFit="1" customWidth="1"/>
    <col min="30" max="30" width="15.5703125" bestFit="1" customWidth="1"/>
    <col min="31" max="31" width="17.85546875" bestFit="1" customWidth="1"/>
    <col min="32" max="32" width="11.7109375" bestFit="1" customWidth="1"/>
    <col min="33" max="33" width="10.7109375" bestFit="1" customWidth="1"/>
    <col min="34" max="34" width="17.28515625" bestFit="1" customWidth="1"/>
    <col min="35" max="35" width="10" bestFit="1" customWidth="1"/>
    <col min="36" max="36" width="14.5703125" bestFit="1" customWidth="1"/>
  </cols>
  <sheetData>
    <row r="2" spans="2:36" x14ac:dyDescent="0.25">
      <c r="B2" s="191" t="s">
        <v>2021</v>
      </c>
      <c r="C2" s="191" t="s">
        <v>2068</v>
      </c>
      <c r="D2" s="191" t="s">
        <v>2069</v>
      </c>
      <c r="E2" s="191" t="s">
        <v>2070</v>
      </c>
      <c r="F2" s="191" t="s">
        <v>2071</v>
      </c>
      <c r="G2" s="191" t="s">
        <v>2074</v>
      </c>
      <c r="H2" s="191" t="s">
        <v>2075</v>
      </c>
      <c r="I2" s="191" t="s">
        <v>2072</v>
      </c>
      <c r="J2" s="191" t="s">
        <v>2073</v>
      </c>
    </row>
    <row r="3" spans="2:36" x14ac:dyDescent="0.25">
      <c r="B3" s="818"/>
      <c r="C3" s="819" t="s">
        <v>2085</v>
      </c>
      <c r="D3" s="819" t="s">
        <v>2082</v>
      </c>
      <c r="E3" s="819" t="s">
        <v>2082</v>
      </c>
      <c r="F3" s="819" t="s">
        <v>2083</v>
      </c>
      <c r="G3" s="819" t="s">
        <v>2082</v>
      </c>
      <c r="H3" s="819" t="s">
        <v>2082</v>
      </c>
      <c r="I3" s="819" t="s">
        <v>1242</v>
      </c>
      <c r="J3" s="819" t="s">
        <v>2084</v>
      </c>
    </row>
    <row r="4" spans="2:36" x14ac:dyDescent="0.25">
      <c r="B4" s="800" t="s">
        <v>2022</v>
      </c>
      <c r="C4" s="801">
        <v>0.4</v>
      </c>
      <c r="D4" s="801">
        <v>7.19</v>
      </c>
      <c r="E4" s="801">
        <v>9.8800000000000008</v>
      </c>
      <c r="F4" s="801">
        <v>1.77</v>
      </c>
      <c r="G4" s="801">
        <v>75.78</v>
      </c>
      <c r="H4" s="801">
        <v>6.74</v>
      </c>
      <c r="I4" s="801">
        <v>92</v>
      </c>
      <c r="J4" s="801">
        <v>1030</v>
      </c>
    </row>
    <row r="5" spans="2:36" x14ac:dyDescent="0.25">
      <c r="B5" s="800" t="s">
        <v>2023</v>
      </c>
      <c r="C5" s="801">
        <v>0.41</v>
      </c>
      <c r="D5" s="801">
        <v>16.36</v>
      </c>
      <c r="E5" s="801">
        <v>22.5</v>
      </c>
      <c r="F5" s="801">
        <v>1.77</v>
      </c>
      <c r="G5" s="801">
        <v>74.83</v>
      </c>
      <c r="H5" s="801">
        <v>59.87</v>
      </c>
      <c r="I5" s="801">
        <v>88</v>
      </c>
      <c r="J5" s="801">
        <v>1730</v>
      </c>
    </row>
    <row r="6" spans="2:36" x14ac:dyDescent="0.25">
      <c r="B6" s="800" t="s">
        <v>2028</v>
      </c>
      <c r="C6" s="801">
        <v>0.4</v>
      </c>
      <c r="D6" s="801">
        <v>11.49</v>
      </c>
      <c r="E6" s="801">
        <v>15.79</v>
      </c>
      <c r="F6" s="801">
        <v>1.77</v>
      </c>
      <c r="G6" s="801">
        <v>87.5</v>
      </c>
      <c r="H6" s="801">
        <v>37.69</v>
      </c>
      <c r="I6" s="801">
        <v>92</v>
      </c>
      <c r="J6" s="801">
        <v>790</v>
      </c>
      <c r="M6" s="858" t="s">
        <v>2088</v>
      </c>
      <c r="N6" s="859"/>
      <c r="O6" s="859"/>
      <c r="P6" s="859"/>
      <c r="Q6" s="859"/>
      <c r="R6" s="859"/>
      <c r="S6" s="859"/>
      <c r="T6" s="859"/>
      <c r="U6" s="859"/>
      <c r="V6" s="859"/>
      <c r="W6" s="859"/>
      <c r="X6" s="859"/>
      <c r="Y6" s="859"/>
      <c r="Z6" s="859"/>
      <c r="AA6" s="859"/>
      <c r="AB6" s="859"/>
      <c r="AC6" s="859"/>
      <c r="AD6" s="859"/>
      <c r="AE6" s="859"/>
      <c r="AF6" s="859"/>
      <c r="AG6" s="859"/>
      <c r="AH6" s="859"/>
      <c r="AI6" s="859"/>
      <c r="AJ6" s="860"/>
    </row>
    <row r="7" spans="2:36" x14ac:dyDescent="0.25">
      <c r="B7" s="800" t="s">
        <v>2024</v>
      </c>
      <c r="C7" s="801">
        <v>0.4</v>
      </c>
      <c r="D7" s="801">
        <v>12.24</v>
      </c>
      <c r="E7" s="801">
        <v>16.829999999999998</v>
      </c>
      <c r="F7" s="801">
        <v>1.24</v>
      </c>
      <c r="G7" s="801">
        <v>103.27</v>
      </c>
      <c r="H7" s="801">
        <v>11.47</v>
      </c>
      <c r="I7" s="801">
        <v>90</v>
      </c>
      <c r="J7" s="801">
        <v>570</v>
      </c>
      <c r="L7" s="795" t="s">
        <v>2047</v>
      </c>
      <c r="M7" s="796" t="s">
        <v>2022</v>
      </c>
      <c r="N7" s="797" t="s">
        <v>2027</v>
      </c>
      <c r="O7" s="796" t="s">
        <v>2028</v>
      </c>
      <c r="P7" s="797" t="s">
        <v>2024</v>
      </c>
      <c r="Q7" s="796" t="s">
        <v>2025</v>
      </c>
      <c r="R7" s="797" t="s">
        <v>2029</v>
      </c>
      <c r="S7" s="796" t="s">
        <v>2030</v>
      </c>
      <c r="T7" s="797" t="s">
        <v>2026</v>
      </c>
      <c r="U7" s="796" t="s">
        <v>2031</v>
      </c>
      <c r="V7" s="797" t="s">
        <v>2032</v>
      </c>
      <c r="W7" s="796" t="s">
        <v>2033</v>
      </c>
      <c r="X7" s="797" t="s">
        <v>2034</v>
      </c>
      <c r="Y7" s="796" t="s">
        <v>2035</v>
      </c>
      <c r="Z7" s="797" t="s">
        <v>2036</v>
      </c>
      <c r="AA7" s="796" t="s">
        <v>2037</v>
      </c>
      <c r="AB7" s="797" t="s">
        <v>2038</v>
      </c>
      <c r="AC7" s="796" t="s">
        <v>2039</v>
      </c>
      <c r="AD7" s="797" t="s">
        <v>2040</v>
      </c>
      <c r="AE7" s="796" t="s">
        <v>2041</v>
      </c>
      <c r="AF7" s="797" t="s">
        <v>2042</v>
      </c>
      <c r="AG7" s="796" t="s">
        <v>2043</v>
      </c>
      <c r="AH7" s="797" t="s">
        <v>2044</v>
      </c>
      <c r="AI7" s="796" t="s">
        <v>2045</v>
      </c>
      <c r="AJ7" s="798" t="s">
        <v>2046</v>
      </c>
    </row>
    <row r="8" spans="2:36" x14ac:dyDescent="0.25">
      <c r="B8" s="800" t="s">
        <v>2025</v>
      </c>
      <c r="C8" s="801">
        <v>0.4</v>
      </c>
      <c r="D8" s="801">
        <v>30.67</v>
      </c>
      <c r="E8" s="801">
        <v>42.17</v>
      </c>
      <c r="F8" s="801">
        <v>2.5299999999999998</v>
      </c>
      <c r="G8" s="801">
        <v>11.11</v>
      </c>
      <c r="H8" s="801">
        <v>150</v>
      </c>
      <c r="I8" s="801">
        <v>10</v>
      </c>
      <c r="J8" s="801">
        <v>13930</v>
      </c>
      <c r="L8" s="795" t="s">
        <v>1527</v>
      </c>
      <c r="M8" s="802">
        <v>0</v>
      </c>
      <c r="N8" s="803">
        <v>1.3475999999999999</v>
      </c>
      <c r="O8" s="802">
        <v>0</v>
      </c>
      <c r="P8" s="803">
        <v>0</v>
      </c>
      <c r="Q8" s="802">
        <v>4.8422999999999998</v>
      </c>
      <c r="R8" s="803">
        <v>0.69391999999999998</v>
      </c>
      <c r="S8" s="802">
        <v>0.14330999999999999</v>
      </c>
      <c r="T8" s="803">
        <v>0</v>
      </c>
      <c r="U8" s="802">
        <v>0</v>
      </c>
      <c r="V8" s="803">
        <v>12.148999999999999</v>
      </c>
      <c r="W8" s="802">
        <v>0</v>
      </c>
      <c r="X8" s="803">
        <v>0.41232999999999997</v>
      </c>
      <c r="Y8" s="802">
        <v>0</v>
      </c>
      <c r="Z8" s="803">
        <v>5.2244999999999999</v>
      </c>
      <c r="AA8" s="802">
        <v>0</v>
      </c>
      <c r="AB8" s="803">
        <v>116.73</v>
      </c>
      <c r="AC8" s="802">
        <v>1.5965</v>
      </c>
      <c r="AD8" s="803">
        <v>0</v>
      </c>
      <c r="AE8" s="802">
        <v>3.7336</v>
      </c>
      <c r="AF8" s="803">
        <v>4.1283000000000003</v>
      </c>
      <c r="AG8" s="802">
        <v>10.653</v>
      </c>
      <c r="AH8" s="803">
        <v>2.4990999999999999</v>
      </c>
      <c r="AI8" s="802">
        <v>0</v>
      </c>
      <c r="AJ8" s="806">
        <v>0</v>
      </c>
    </row>
    <row r="9" spans="2:36" x14ac:dyDescent="0.25">
      <c r="B9" s="800" t="s">
        <v>2029</v>
      </c>
      <c r="C9" s="801">
        <v>0.4</v>
      </c>
      <c r="D9" s="801">
        <v>10.67</v>
      </c>
      <c r="E9" s="801">
        <v>14.67</v>
      </c>
      <c r="F9" s="801">
        <v>1.74</v>
      </c>
      <c r="G9" s="801">
        <v>81.819999999999993</v>
      </c>
      <c r="H9" s="801">
        <v>10</v>
      </c>
      <c r="I9" s="801">
        <v>89</v>
      </c>
      <c r="J9" s="801">
        <v>1120</v>
      </c>
      <c r="L9" s="795" t="s">
        <v>1528</v>
      </c>
      <c r="M9" s="802">
        <v>3.3000000000000002E-2</v>
      </c>
      <c r="N9" s="803">
        <v>0.53500000000000003</v>
      </c>
      <c r="O9" s="802">
        <v>0</v>
      </c>
      <c r="P9" s="803">
        <v>7.2999999999999995E-2</v>
      </c>
      <c r="Q9" s="802">
        <v>1.17</v>
      </c>
      <c r="R9" s="803">
        <v>0.41599999999999998</v>
      </c>
      <c r="S9" s="802">
        <v>0.16</v>
      </c>
      <c r="T9" s="803">
        <v>0</v>
      </c>
      <c r="U9" s="802">
        <v>0.311</v>
      </c>
      <c r="V9" s="803">
        <v>0</v>
      </c>
      <c r="W9" s="802">
        <v>0.20799999999999999</v>
      </c>
      <c r="X9" s="803">
        <v>0</v>
      </c>
      <c r="Y9" s="802">
        <v>0</v>
      </c>
      <c r="Z9" s="803">
        <v>0</v>
      </c>
      <c r="AA9" s="802">
        <v>6.7000000000000004E-2</v>
      </c>
      <c r="AB9" s="803">
        <v>0</v>
      </c>
      <c r="AC9" s="802">
        <v>0.54800000000000004</v>
      </c>
      <c r="AD9" s="803">
        <v>0</v>
      </c>
      <c r="AE9" s="802">
        <v>3.48</v>
      </c>
      <c r="AF9" s="803">
        <v>1.2090000000000001</v>
      </c>
      <c r="AG9" s="802">
        <v>9.6790000000000003</v>
      </c>
      <c r="AH9" s="803">
        <v>1.6140000000000001</v>
      </c>
      <c r="AI9" s="802">
        <v>0</v>
      </c>
      <c r="AJ9" s="806">
        <v>0</v>
      </c>
    </row>
    <row r="10" spans="2:36" x14ac:dyDescent="0.25">
      <c r="B10" s="800" t="s">
        <v>2030</v>
      </c>
      <c r="C10" s="801">
        <v>0.4</v>
      </c>
      <c r="D10" s="801">
        <v>7.78</v>
      </c>
      <c r="E10" s="801">
        <v>10.7</v>
      </c>
      <c r="F10" s="801">
        <v>1.77</v>
      </c>
      <c r="G10" s="801">
        <v>131.35</v>
      </c>
      <c r="H10" s="801">
        <v>7.3</v>
      </c>
      <c r="I10" s="801">
        <v>95</v>
      </c>
      <c r="J10" s="801">
        <v>620</v>
      </c>
      <c r="L10" s="795" t="s">
        <v>1686</v>
      </c>
      <c r="M10" s="802">
        <v>8.6938000000000001E-2</v>
      </c>
      <c r="N10" s="803">
        <v>1.4094</v>
      </c>
      <c r="O10" s="802">
        <v>0</v>
      </c>
      <c r="P10" s="803">
        <v>0.19231999999999999</v>
      </c>
      <c r="Q10" s="802">
        <v>3.0823</v>
      </c>
      <c r="R10" s="803">
        <v>1.0959000000000001</v>
      </c>
      <c r="S10" s="802">
        <v>0.42152000000000001</v>
      </c>
      <c r="T10" s="803">
        <v>0</v>
      </c>
      <c r="U10" s="802">
        <v>0.81932000000000005</v>
      </c>
      <c r="V10" s="803">
        <v>0</v>
      </c>
      <c r="W10" s="802">
        <v>0.54796999999999996</v>
      </c>
      <c r="X10" s="803">
        <v>0</v>
      </c>
      <c r="Y10" s="802">
        <v>0</v>
      </c>
      <c r="Z10" s="803">
        <v>0</v>
      </c>
      <c r="AA10" s="802">
        <v>0.17651</v>
      </c>
      <c r="AB10" s="803">
        <v>0</v>
      </c>
      <c r="AC10" s="802">
        <v>1.4437</v>
      </c>
      <c r="AD10" s="803">
        <v>0</v>
      </c>
      <c r="AE10" s="802">
        <v>9.1679999999999993</v>
      </c>
      <c r="AF10" s="803">
        <v>3.1850999999999998</v>
      </c>
      <c r="AG10" s="802">
        <v>25.498999999999999</v>
      </c>
      <c r="AH10" s="803">
        <v>4.2519999999999998</v>
      </c>
      <c r="AI10" s="802">
        <v>0</v>
      </c>
      <c r="AJ10" s="806">
        <v>0</v>
      </c>
    </row>
    <row r="11" spans="2:36" x14ac:dyDescent="0.25">
      <c r="B11" s="800" t="s">
        <v>2026</v>
      </c>
      <c r="C11" s="801">
        <v>0.4</v>
      </c>
      <c r="D11" s="801">
        <v>12</v>
      </c>
      <c r="E11" s="801">
        <v>16.5</v>
      </c>
      <c r="F11" s="801">
        <v>1.74</v>
      </c>
      <c r="G11" s="801">
        <v>81.819999999999993</v>
      </c>
      <c r="H11" s="801">
        <v>22.5</v>
      </c>
      <c r="I11" s="801">
        <v>89</v>
      </c>
      <c r="J11" s="801">
        <v>1660</v>
      </c>
      <c r="L11" s="795" t="s">
        <v>1678</v>
      </c>
      <c r="M11" s="802">
        <v>0</v>
      </c>
      <c r="N11" s="803">
        <v>1.9981</v>
      </c>
      <c r="O11" s="802">
        <v>0</v>
      </c>
      <c r="P11" s="803">
        <v>0</v>
      </c>
      <c r="Q11" s="802">
        <v>0</v>
      </c>
      <c r="R11" s="803">
        <v>0.39961000000000002</v>
      </c>
      <c r="S11" s="802">
        <v>4.3478000000000003</v>
      </c>
      <c r="T11" s="803">
        <v>0</v>
      </c>
      <c r="U11" s="802">
        <v>0</v>
      </c>
      <c r="V11" s="803">
        <v>0</v>
      </c>
      <c r="W11" s="802">
        <v>0</v>
      </c>
      <c r="X11" s="803">
        <v>0</v>
      </c>
      <c r="Y11" s="802">
        <v>0</v>
      </c>
      <c r="Z11" s="803">
        <v>0</v>
      </c>
      <c r="AA11" s="802">
        <v>1.5185</v>
      </c>
      <c r="AB11" s="803">
        <v>4.4756999999999998</v>
      </c>
      <c r="AC11" s="802">
        <v>0</v>
      </c>
      <c r="AD11" s="803">
        <v>0.79922000000000004</v>
      </c>
      <c r="AE11" s="802">
        <v>0</v>
      </c>
      <c r="AF11" s="803">
        <v>0</v>
      </c>
      <c r="AG11" s="802">
        <v>31.969000000000001</v>
      </c>
      <c r="AH11" s="803">
        <v>0</v>
      </c>
      <c r="AI11" s="802">
        <v>7.9922000000000004</v>
      </c>
      <c r="AJ11" s="806">
        <v>4.7953000000000003E-2</v>
      </c>
    </row>
    <row r="12" spans="2:36" x14ac:dyDescent="0.25">
      <c r="B12" s="800" t="s">
        <v>2031</v>
      </c>
      <c r="C12" s="801">
        <v>0.4</v>
      </c>
      <c r="D12" s="801">
        <v>32.92</v>
      </c>
      <c r="E12" s="801">
        <v>45.26</v>
      </c>
      <c r="F12" s="801">
        <v>2.46</v>
      </c>
      <c r="G12" s="801">
        <v>12.2</v>
      </c>
      <c r="H12" s="801">
        <v>161</v>
      </c>
      <c r="I12" s="801">
        <v>12</v>
      </c>
      <c r="J12" s="801">
        <v>3390</v>
      </c>
      <c r="L12" s="799" t="s">
        <v>1694</v>
      </c>
      <c r="M12" s="804">
        <v>0</v>
      </c>
      <c r="N12" s="805">
        <v>0</v>
      </c>
      <c r="O12" s="804">
        <v>0</v>
      </c>
      <c r="P12" s="805">
        <v>0</v>
      </c>
      <c r="Q12" s="804">
        <v>10</v>
      </c>
      <c r="R12" s="805">
        <v>0</v>
      </c>
      <c r="S12" s="804">
        <v>2</v>
      </c>
      <c r="T12" s="805">
        <v>0</v>
      </c>
      <c r="U12" s="804">
        <v>0</v>
      </c>
      <c r="V12" s="805">
        <v>10</v>
      </c>
      <c r="W12" s="804">
        <v>0</v>
      </c>
      <c r="X12" s="805">
        <v>0</v>
      </c>
      <c r="Y12" s="804">
        <v>0</v>
      </c>
      <c r="Z12" s="805">
        <v>2</v>
      </c>
      <c r="AA12" s="804">
        <v>0</v>
      </c>
      <c r="AB12" s="805">
        <v>0</v>
      </c>
      <c r="AC12" s="804">
        <v>0</v>
      </c>
      <c r="AD12" s="805">
        <v>0</v>
      </c>
      <c r="AE12" s="804">
        <v>2</v>
      </c>
      <c r="AF12" s="805">
        <v>5</v>
      </c>
      <c r="AG12" s="804">
        <v>18</v>
      </c>
      <c r="AH12" s="805">
        <v>8</v>
      </c>
      <c r="AI12" s="804">
        <v>0</v>
      </c>
      <c r="AJ12" s="807">
        <v>0</v>
      </c>
    </row>
    <row r="13" spans="2:36" x14ac:dyDescent="0.25">
      <c r="B13" s="800" t="s">
        <v>2032</v>
      </c>
      <c r="C13" s="801">
        <v>0.6</v>
      </c>
      <c r="D13" s="801">
        <v>35.840000000000003</v>
      </c>
      <c r="E13" s="801">
        <v>49.28</v>
      </c>
      <c r="F13" s="801">
        <v>2.77</v>
      </c>
      <c r="G13" s="801">
        <v>5.96</v>
      </c>
      <c r="H13" s="801">
        <v>168.75</v>
      </c>
      <c r="I13" s="801">
        <v>5.6</v>
      </c>
      <c r="J13" s="801">
        <v>23740</v>
      </c>
      <c r="L13" s="795" t="s">
        <v>2089</v>
      </c>
      <c r="M13" s="802">
        <v>0</v>
      </c>
      <c r="N13" s="802">
        <v>0</v>
      </c>
      <c r="O13" s="802">
        <v>0</v>
      </c>
      <c r="P13" s="802">
        <v>0</v>
      </c>
      <c r="Q13" s="802">
        <v>0</v>
      </c>
      <c r="R13" s="802">
        <v>0</v>
      </c>
      <c r="S13" s="802">
        <v>100</v>
      </c>
      <c r="T13" s="802">
        <v>0</v>
      </c>
      <c r="U13" s="802">
        <v>0</v>
      </c>
      <c r="V13" s="802">
        <v>0</v>
      </c>
      <c r="W13" s="802">
        <v>0</v>
      </c>
      <c r="X13" s="802">
        <v>0</v>
      </c>
      <c r="Y13" s="802">
        <v>0</v>
      </c>
      <c r="Z13" s="802">
        <v>0</v>
      </c>
      <c r="AA13" s="802">
        <v>0</v>
      </c>
      <c r="AB13" s="802">
        <v>0</v>
      </c>
      <c r="AC13" s="802">
        <v>0</v>
      </c>
      <c r="AD13" s="802">
        <v>0</v>
      </c>
      <c r="AE13" s="802">
        <v>0</v>
      </c>
      <c r="AF13" s="802">
        <v>0</v>
      </c>
      <c r="AG13" s="802">
        <v>0</v>
      </c>
      <c r="AH13" s="802">
        <v>0</v>
      </c>
      <c r="AI13" s="802">
        <v>0</v>
      </c>
      <c r="AJ13" s="802">
        <v>0</v>
      </c>
    </row>
    <row r="14" spans="2:36" x14ac:dyDescent="0.25">
      <c r="B14" s="800" t="s">
        <v>2033</v>
      </c>
      <c r="C14" s="801">
        <v>0.4</v>
      </c>
      <c r="D14" s="801">
        <v>24.71</v>
      </c>
      <c r="E14" s="801">
        <v>33.979999999999997</v>
      </c>
      <c r="F14" s="801">
        <v>2.77</v>
      </c>
      <c r="G14" s="801">
        <v>148.94</v>
      </c>
      <c r="H14" s="801">
        <v>127.43</v>
      </c>
      <c r="I14" s="801">
        <v>93</v>
      </c>
      <c r="J14" s="801">
        <v>836</v>
      </c>
      <c r="L14" s="795" t="s">
        <v>1525</v>
      </c>
      <c r="M14" s="802">
        <v>0</v>
      </c>
      <c r="N14" s="802">
        <v>0</v>
      </c>
      <c r="O14" s="802">
        <v>0</v>
      </c>
      <c r="P14" s="802">
        <v>0</v>
      </c>
      <c r="Q14" s="802">
        <v>0</v>
      </c>
      <c r="R14" s="802">
        <v>0</v>
      </c>
      <c r="S14" s="802">
        <v>50</v>
      </c>
      <c r="T14" s="802">
        <v>0</v>
      </c>
      <c r="U14" s="802">
        <v>0</v>
      </c>
      <c r="V14" s="802">
        <v>0</v>
      </c>
      <c r="W14" s="802">
        <v>0</v>
      </c>
      <c r="X14" s="802">
        <v>0</v>
      </c>
      <c r="Y14" s="802">
        <v>0</v>
      </c>
      <c r="Z14" s="802">
        <v>0</v>
      </c>
      <c r="AA14" s="802">
        <v>0</v>
      </c>
      <c r="AB14" s="802">
        <v>0</v>
      </c>
      <c r="AC14" s="802">
        <v>0</v>
      </c>
      <c r="AD14" s="802">
        <v>0</v>
      </c>
      <c r="AE14" s="802">
        <v>0</v>
      </c>
      <c r="AF14" s="802">
        <v>50</v>
      </c>
      <c r="AG14" s="802">
        <v>0</v>
      </c>
      <c r="AH14" s="802">
        <v>0</v>
      </c>
      <c r="AI14" s="802">
        <v>0</v>
      </c>
      <c r="AJ14" s="802">
        <v>0</v>
      </c>
    </row>
    <row r="15" spans="2:36" x14ac:dyDescent="0.25">
      <c r="B15" s="800" t="s">
        <v>2034</v>
      </c>
      <c r="C15" s="801">
        <v>0.4</v>
      </c>
      <c r="D15" s="801">
        <v>11.86</v>
      </c>
      <c r="E15" s="801">
        <v>16.309999999999999</v>
      </c>
      <c r="F15" s="801">
        <v>1.77</v>
      </c>
      <c r="G15" s="801">
        <v>91.67</v>
      </c>
      <c r="H15" s="801">
        <v>55</v>
      </c>
      <c r="I15" s="801">
        <v>94</v>
      </c>
      <c r="J15" s="801">
        <v>670</v>
      </c>
      <c r="L15" s="795" t="s">
        <v>2056</v>
      </c>
      <c r="M15" s="802"/>
      <c r="N15" s="823"/>
      <c r="O15" s="802"/>
      <c r="P15" s="803"/>
      <c r="Q15" s="824"/>
      <c r="R15" s="823"/>
      <c r="S15" s="824"/>
      <c r="T15" s="803"/>
      <c r="U15" s="802"/>
      <c r="V15" s="803"/>
      <c r="W15" s="802"/>
      <c r="X15" s="803"/>
      <c r="Y15" s="802"/>
      <c r="Z15" s="803"/>
      <c r="AA15" s="825"/>
      <c r="AB15" s="823"/>
      <c r="AC15" s="824"/>
      <c r="AD15" s="803"/>
      <c r="AE15" s="825"/>
      <c r="AF15" s="826"/>
      <c r="AG15" s="802"/>
      <c r="AH15" s="826"/>
      <c r="AI15" s="825"/>
      <c r="AJ15" s="806"/>
    </row>
    <row r="16" spans="2:36" x14ac:dyDescent="0.25">
      <c r="B16" s="800" t="s">
        <v>2035</v>
      </c>
      <c r="C16" s="801">
        <v>0.41</v>
      </c>
      <c r="D16" s="801">
        <v>7.11</v>
      </c>
      <c r="E16" s="801">
        <v>9.77</v>
      </c>
      <c r="F16" s="801">
        <v>1.77</v>
      </c>
      <c r="G16" s="801">
        <v>32.5</v>
      </c>
      <c r="H16" s="801">
        <v>35</v>
      </c>
      <c r="I16" s="801">
        <v>80</v>
      </c>
      <c r="J16" s="801">
        <v>3723</v>
      </c>
    </row>
    <row r="17" spans="2:10" x14ac:dyDescent="0.25">
      <c r="B17" s="800" t="s">
        <v>2036</v>
      </c>
      <c r="C17" s="801">
        <v>0.42</v>
      </c>
      <c r="D17" s="801">
        <v>36.549999999999997</v>
      </c>
      <c r="E17" s="801">
        <v>50.26</v>
      </c>
      <c r="F17" s="801">
        <v>3.43</v>
      </c>
      <c r="G17" s="801">
        <v>10.3</v>
      </c>
      <c r="H17" s="801">
        <v>211.58</v>
      </c>
      <c r="I17" s="801">
        <v>12</v>
      </c>
      <c r="J17" s="801">
        <v>14940</v>
      </c>
    </row>
    <row r="18" spans="2:10" x14ac:dyDescent="0.25">
      <c r="B18" s="800" t="s">
        <v>2037</v>
      </c>
      <c r="C18" s="801">
        <v>0.4</v>
      </c>
      <c r="D18" s="801">
        <v>36.43</v>
      </c>
      <c r="E18" s="801">
        <v>50.09</v>
      </c>
      <c r="F18" s="801">
        <v>2.46</v>
      </c>
      <c r="G18" s="801">
        <v>148.5</v>
      </c>
      <c r="H18" s="801">
        <v>178.2</v>
      </c>
      <c r="I18" s="801">
        <v>92</v>
      </c>
      <c r="J18" s="801">
        <v>1310</v>
      </c>
    </row>
    <row r="19" spans="2:10" x14ac:dyDescent="0.25">
      <c r="B19" s="800" t="s">
        <v>2038</v>
      </c>
      <c r="C19" s="801">
        <v>0.46</v>
      </c>
      <c r="D19" s="801">
        <v>13.91</v>
      </c>
      <c r="E19" s="801">
        <v>19.13</v>
      </c>
      <c r="F19" s="801">
        <v>2.88</v>
      </c>
      <c r="G19" s="801">
        <v>5.04</v>
      </c>
      <c r="H19" s="801">
        <v>68.040000000000006</v>
      </c>
      <c r="I19" s="801">
        <v>10</v>
      </c>
      <c r="J19" s="801">
        <v>6140</v>
      </c>
    </row>
    <row r="20" spans="2:10" x14ac:dyDescent="0.25">
      <c r="B20" s="800" t="s">
        <v>2039</v>
      </c>
      <c r="C20" s="801">
        <v>0.4</v>
      </c>
      <c r="D20" s="801">
        <v>7.78</v>
      </c>
      <c r="E20" s="801">
        <v>10.7</v>
      </c>
      <c r="F20" s="801">
        <v>1.77</v>
      </c>
      <c r="G20" s="801">
        <v>72.97</v>
      </c>
      <c r="H20" s="801">
        <v>7.3</v>
      </c>
      <c r="I20" s="801">
        <v>91</v>
      </c>
      <c r="J20" s="801">
        <v>970</v>
      </c>
    </row>
    <row r="21" spans="2:10" x14ac:dyDescent="0.25">
      <c r="B21" s="800" t="s">
        <v>2040</v>
      </c>
      <c r="C21" s="801">
        <v>0.43</v>
      </c>
      <c r="D21" s="801">
        <v>25.32</v>
      </c>
      <c r="E21" s="801">
        <v>34.82</v>
      </c>
      <c r="F21" s="801">
        <v>2.2200000000000002</v>
      </c>
      <c r="G21" s="801">
        <v>77.88</v>
      </c>
      <c r="H21" s="801">
        <v>144.46</v>
      </c>
      <c r="I21" s="801">
        <v>90</v>
      </c>
      <c r="J21" s="801">
        <v>1360</v>
      </c>
    </row>
    <row r="22" spans="2:10" x14ac:dyDescent="0.25">
      <c r="B22" s="800" t="s">
        <v>2041</v>
      </c>
      <c r="C22" s="801">
        <v>0.41</v>
      </c>
      <c r="D22" s="801">
        <v>41.12</v>
      </c>
      <c r="E22" s="801">
        <v>56.54</v>
      </c>
      <c r="F22" s="801">
        <v>2.88</v>
      </c>
      <c r="G22" s="801">
        <v>51.72</v>
      </c>
      <c r="H22" s="801">
        <v>225</v>
      </c>
      <c r="I22" s="801">
        <v>71</v>
      </c>
      <c r="J22" s="801">
        <v>3590</v>
      </c>
    </row>
    <row r="23" spans="2:10" x14ac:dyDescent="0.25">
      <c r="B23" s="800" t="s">
        <v>2042</v>
      </c>
      <c r="C23" s="801">
        <v>0.43</v>
      </c>
      <c r="D23" s="801">
        <v>26.36</v>
      </c>
      <c r="E23" s="801">
        <v>36.24</v>
      </c>
      <c r="F23" s="801">
        <v>2.77</v>
      </c>
      <c r="G23" s="801">
        <v>173.76</v>
      </c>
      <c r="H23" s="801">
        <v>127.43</v>
      </c>
      <c r="I23" s="801">
        <v>94</v>
      </c>
      <c r="J23" s="801">
        <v>740</v>
      </c>
    </row>
    <row r="24" spans="2:10" x14ac:dyDescent="0.25">
      <c r="B24" s="800" t="s">
        <v>2043</v>
      </c>
      <c r="C24" s="801">
        <v>0.42</v>
      </c>
      <c r="D24" s="801">
        <v>56</v>
      </c>
      <c r="E24" s="801">
        <v>77</v>
      </c>
      <c r="F24" s="801">
        <v>11.79</v>
      </c>
      <c r="G24" s="801">
        <v>22.73</v>
      </c>
      <c r="H24" s="801">
        <v>300</v>
      </c>
      <c r="I24" s="801">
        <v>12</v>
      </c>
      <c r="J24" s="801">
        <v>14230</v>
      </c>
    </row>
    <row r="25" spans="2:10" x14ac:dyDescent="0.25">
      <c r="B25" s="800" t="s">
        <v>2044</v>
      </c>
      <c r="C25" s="801">
        <v>0.41</v>
      </c>
      <c r="D25" s="801">
        <v>32.229999999999997</v>
      </c>
      <c r="E25" s="801">
        <v>45.23</v>
      </c>
      <c r="F25" s="801">
        <v>4</v>
      </c>
      <c r="G25" s="801">
        <v>105.3</v>
      </c>
      <c r="H25" s="801">
        <v>90.25</v>
      </c>
      <c r="I25" s="801">
        <v>80</v>
      </c>
      <c r="J25" s="801">
        <v>2880</v>
      </c>
    </row>
    <row r="26" spans="2:10" x14ac:dyDescent="0.25">
      <c r="B26" s="800" t="s">
        <v>2045</v>
      </c>
      <c r="C26" s="801">
        <v>0.6</v>
      </c>
      <c r="D26" s="801">
        <v>56</v>
      </c>
      <c r="E26" s="801">
        <v>77</v>
      </c>
      <c r="F26" s="801">
        <v>11.79</v>
      </c>
      <c r="G26" s="801">
        <v>8.8699999999999992</v>
      </c>
      <c r="H26" s="801">
        <v>300</v>
      </c>
      <c r="I26" s="801">
        <v>6.4</v>
      </c>
      <c r="J26" s="801">
        <v>16740</v>
      </c>
    </row>
    <row r="27" spans="2:10" x14ac:dyDescent="0.25">
      <c r="B27" s="800" t="s">
        <v>2046</v>
      </c>
      <c r="C27" s="801">
        <v>0.4</v>
      </c>
      <c r="D27" s="801">
        <v>36.43</v>
      </c>
      <c r="E27" s="801">
        <v>50.09</v>
      </c>
      <c r="F27" s="801">
        <v>2.46</v>
      </c>
      <c r="G27" s="801">
        <v>167.17</v>
      </c>
      <c r="H27" s="801">
        <v>178.2</v>
      </c>
      <c r="I27" s="801">
        <v>94</v>
      </c>
      <c r="J27" s="801">
        <v>628</v>
      </c>
    </row>
  </sheetData>
  <mergeCells count="1">
    <mergeCell ref="M6:A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52" r:id="rId3" name="Button 4">
              <controlPr defaultSize="0" print="0" autoFill="0" autoPict="0" macro="[0]!Tabelle12.plantsguide">
                <anchor moveWithCells="1" sizeWithCells="1">
                  <from>
                    <xdr:col>11</xdr:col>
                    <xdr:colOff>285750</xdr:colOff>
                    <xdr:row>1</xdr:row>
                    <xdr:rowOff>85725</xdr:rowOff>
                  </from>
                  <to>
                    <xdr:col>11</xdr:col>
                    <xdr:colOff>1400175</xdr:colOff>
                    <xdr:row>3</xdr:row>
                    <xdr:rowOff>9525</xdr:rowOff>
                  </to>
                </anchor>
              </controlPr>
            </control>
          </mc:Choice>
        </mc:AlternateContent>
      </controls>
    </mc:Choice>
  </mc:AlternateContent>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L57"/>
  <sheetViews>
    <sheetView zoomScale="50" zoomScaleNormal="50" workbookViewId="0">
      <selection activeCell="L3" sqref="L3"/>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 min="12" max="12" width="15.7109375" bestFit="1" customWidth="1"/>
  </cols>
  <sheetData>
    <row r="1" spans="1:12" ht="15.75" thickBot="1" x14ac:dyDescent="0.3">
      <c r="A1" s="27"/>
      <c r="B1" s="27"/>
      <c r="C1" s="27"/>
      <c r="D1" s="27"/>
      <c r="E1" s="27"/>
    </row>
    <row r="2" spans="1:12" ht="45.75" thickBot="1" x14ac:dyDescent="0.3">
      <c r="A2" s="27"/>
      <c r="B2" s="189" t="s">
        <v>858</v>
      </c>
      <c r="C2" s="190" t="s">
        <v>905</v>
      </c>
      <c r="D2" s="126" t="s">
        <v>859</v>
      </c>
      <c r="E2" s="27"/>
      <c r="I2" s="809" t="s">
        <v>2090</v>
      </c>
      <c r="L2" s="6" t="s">
        <v>2091</v>
      </c>
    </row>
    <row r="3" spans="1:12" ht="45" x14ac:dyDescent="0.25">
      <c r="A3" s="27"/>
      <c r="B3" s="138" t="s">
        <v>947</v>
      </c>
      <c r="C3" s="122" t="s">
        <v>876</v>
      </c>
      <c r="D3" s="139" t="s">
        <v>68</v>
      </c>
      <c r="E3" s="27"/>
      <c r="I3" s="808" t="s">
        <v>2052</v>
      </c>
      <c r="L3" t="s">
        <v>131</v>
      </c>
    </row>
    <row r="4" spans="1:12" ht="60" x14ac:dyDescent="0.25">
      <c r="A4" s="27"/>
      <c r="B4" s="127" t="s">
        <v>892</v>
      </c>
      <c r="C4" s="119" t="s">
        <v>891</v>
      </c>
      <c r="D4" s="128" t="s">
        <v>68</v>
      </c>
      <c r="E4" s="27"/>
      <c r="I4" s="808" t="s">
        <v>2053</v>
      </c>
      <c r="L4" t="s">
        <v>62</v>
      </c>
    </row>
    <row r="5" spans="1:12" ht="45" x14ac:dyDescent="0.25">
      <c r="A5" s="27"/>
      <c r="B5" s="129" t="s">
        <v>951</v>
      </c>
      <c r="C5" s="120" t="s">
        <v>907</v>
      </c>
      <c r="D5" s="130" t="s">
        <v>68</v>
      </c>
      <c r="E5" s="27"/>
      <c r="I5" s="808" t="s">
        <v>2054</v>
      </c>
      <c r="L5" t="s">
        <v>292</v>
      </c>
    </row>
    <row r="6" spans="1:12" ht="30" x14ac:dyDescent="0.25">
      <c r="A6" s="27"/>
      <c r="B6" s="131" t="s">
        <v>948</v>
      </c>
      <c r="C6" s="121" t="s">
        <v>875</v>
      </c>
      <c r="D6" s="128" t="s">
        <v>68</v>
      </c>
      <c r="E6" s="27"/>
      <c r="I6" s="808" t="s">
        <v>2055</v>
      </c>
      <c r="L6" t="s">
        <v>116</v>
      </c>
    </row>
    <row r="7" spans="1:12" ht="45" x14ac:dyDescent="0.25">
      <c r="A7" s="27"/>
      <c r="B7" s="132" t="s">
        <v>943</v>
      </c>
      <c r="C7" s="122" t="s">
        <v>878</v>
      </c>
      <c r="D7" s="130" t="s">
        <v>68</v>
      </c>
      <c r="E7" s="27"/>
      <c r="I7" s="810" t="s">
        <v>2056</v>
      </c>
      <c r="L7" t="s">
        <v>33</v>
      </c>
    </row>
    <row r="8" spans="1:12" ht="75" x14ac:dyDescent="0.25">
      <c r="A8" s="27"/>
      <c r="B8" s="127" t="s">
        <v>949</v>
      </c>
      <c r="C8" s="119" t="s">
        <v>934</v>
      </c>
      <c r="D8" s="128" t="s">
        <v>68</v>
      </c>
      <c r="E8" s="27"/>
      <c r="L8" t="s">
        <v>23</v>
      </c>
    </row>
    <row r="9" spans="1:12" ht="30" x14ac:dyDescent="0.25">
      <c r="A9" s="27"/>
      <c r="B9" s="129" t="s">
        <v>944</v>
      </c>
      <c r="C9" s="120" t="s">
        <v>879</v>
      </c>
      <c r="D9" s="130" t="s">
        <v>68</v>
      </c>
      <c r="E9" s="27"/>
      <c r="L9" t="s">
        <v>101</v>
      </c>
    </row>
    <row r="10" spans="1:12" ht="30" x14ac:dyDescent="0.25">
      <c r="A10" s="27"/>
      <c r="B10" s="133" t="s">
        <v>945</v>
      </c>
      <c r="C10" s="119" t="s">
        <v>880</v>
      </c>
      <c r="D10" s="128" t="s">
        <v>68</v>
      </c>
      <c r="E10" s="27"/>
      <c r="L10" t="s">
        <v>47</v>
      </c>
    </row>
    <row r="11" spans="1:12" ht="45" x14ac:dyDescent="0.25">
      <c r="A11" s="27"/>
      <c r="B11" s="134" t="s">
        <v>860</v>
      </c>
      <c r="C11" s="120" t="s">
        <v>877</v>
      </c>
      <c r="D11" s="130" t="s">
        <v>68</v>
      </c>
      <c r="E11" s="27"/>
      <c r="L11" t="s">
        <v>165</v>
      </c>
    </row>
    <row r="12" spans="1:12" ht="45" x14ac:dyDescent="0.25">
      <c r="A12" s="27"/>
      <c r="B12" s="131" t="s">
        <v>861</v>
      </c>
      <c r="C12" s="119" t="s">
        <v>882</v>
      </c>
      <c r="D12" s="128" t="s">
        <v>68</v>
      </c>
      <c r="E12" s="27"/>
      <c r="L12" t="s">
        <v>1511</v>
      </c>
    </row>
    <row r="13" spans="1:12" ht="45" x14ac:dyDescent="0.25">
      <c r="A13" s="27"/>
      <c r="B13" s="134" t="s">
        <v>862</v>
      </c>
      <c r="C13" s="120" t="s">
        <v>881</v>
      </c>
      <c r="D13" s="130" t="s">
        <v>68</v>
      </c>
      <c r="E13" s="27"/>
    </row>
    <row r="14" spans="1:12" ht="45.75" thickBot="1" x14ac:dyDescent="0.3">
      <c r="A14" s="27"/>
      <c r="B14" s="135" t="s">
        <v>863</v>
      </c>
      <c r="C14" s="136" t="s">
        <v>883</v>
      </c>
      <c r="D14" s="137" t="s">
        <v>68</v>
      </c>
      <c r="E14" s="27"/>
    </row>
    <row r="15" spans="1:12" ht="75" x14ac:dyDescent="0.25">
      <c r="A15" s="27"/>
      <c r="B15" s="140" t="s">
        <v>938</v>
      </c>
      <c r="C15" s="141" t="s">
        <v>890</v>
      </c>
      <c r="D15" s="142" t="s">
        <v>128</v>
      </c>
      <c r="E15" s="27"/>
    </row>
    <row r="16" spans="1:12"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1075</v>
      </c>
      <c r="C29" s="123" t="s">
        <v>1111</v>
      </c>
      <c r="D29" s="157" t="s">
        <v>935</v>
      </c>
      <c r="E29" s="27"/>
    </row>
    <row r="30" spans="1:5" ht="30" x14ac:dyDescent="0.25">
      <c r="A30" s="27"/>
      <c r="B30" s="158" t="s">
        <v>1076</v>
      </c>
      <c r="C30" s="123" t="s">
        <v>1077</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1456</v>
      </c>
      <c r="C37" s="53" t="s">
        <v>1457</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1454</v>
      </c>
      <c r="C49" s="284" t="s">
        <v>1455</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1512</v>
      </c>
      <c r="C56" s="292" t="s">
        <v>1513</v>
      </c>
      <c r="D56" s="291" t="s">
        <v>1514</v>
      </c>
      <c r="E56" s="27"/>
    </row>
    <row r="57" spans="1:5" x14ac:dyDescent="0.25">
      <c r="A57" s="27"/>
      <c r="B57" s="27"/>
      <c r="C57" s="27"/>
      <c r="D57" s="27"/>
      <c r="E57" s="27"/>
    </row>
  </sheetData>
  <pageMargins left="0.7" right="0.7" top="0.78740157499999996" bottom="0.78740157499999996"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64" zoomScale="90" zoomScaleNormal="90" workbookViewId="0">
      <selection activeCell="C82" sqref="C82"/>
    </sheetView>
  </sheetViews>
  <sheetFormatPr defaultColWidth="23.28515625" defaultRowHeight="15" x14ac:dyDescent="0.25"/>
  <cols>
    <col min="1" max="1" width="11.42578125" style="29" customWidth="1"/>
    <col min="2" max="2" width="120.85546875" style="29" customWidth="1"/>
    <col min="3" max="3" width="21.140625" style="29" bestFit="1" customWidth="1"/>
    <col min="4" max="4" width="17.7109375" style="29" customWidth="1"/>
    <col min="6" max="6" width="22.85546875" style="29" customWidth="1"/>
    <col min="7" max="8" width="23.28515625" style="29"/>
    <col min="9" max="9" width="13" style="29" bestFit="1" customWidth="1"/>
    <col min="10" max="16384" width="23.28515625" style="29"/>
  </cols>
  <sheetData>
    <row r="1" spans="1:9" x14ac:dyDescent="0.25">
      <c r="A1" s="29" t="s">
        <v>1369</v>
      </c>
      <c r="B1" s="29" t="s">
        <v>1368</v>
      </c>
      <c r="C1" s="29" t="s">
        <v>1366</v>
      </c>
      <c r="D1" s="29" t="s">
        <v>2078</v>
      </c>
      <c r="E1" s="29" t="s">
        <v>1367</v>
      </c>
      <c r="I1" s="29" t="s">
        <v>1365</v>
      </c>
    </row>
    <row r="2" spans="1:9" x14ac:dyDescent="0.25">
      <c r="A2" s="29">
        <v>1</v>
      </c>
      <c r="B2" s="29" t="s">
        <v>1364</v>
      </c>
      <c r="C2" s="29">
        <v>1996</v>
      </c>
      <c r="E2" s="29" t="s">
        <v>1360</v>
      </c>
      <c r="I2" s="29" t="s">
        <v>67</v>
      </c>
    </row>
    <row r="3" spans="1:9" x14ac:dyDescent="0.25">
      <c r="A3" s="29">
        <v>2</v>
      </c>
      <c r="B3" s="29" t="s">
        <v>1363</v>
      </c>
      <c r="E3" s="29" t="s">
        <v>1362</v>
      </c>
      <c r="I3" s="29" t="s">
        <v>35</v>
      </c>
    </row>
    <row r="4" spans="1:9" x14ac:dyDescent="0.25">
      <c r="A4" s="29">
        <v>3</v>
      </c>
      <c r="B4" s="29" t="s">
        <v>1361</v>
      </c>
      <c r="C4" s="29">
        <v>1999</v>
      </c>
      <c r="E4" s="29" t="s">
        <v>1360</v>
      </c>
      <c r="I4" s="29" t="s">
        <v>26</v>
      </c>
    </row>
    <row r="5" spans="1:9" x14ac:dyDescent="0.25">
      <c r="A5" s="29">
        <v>4</v>
      </c>
      <c r="B5" s="29" t="s">
        <v>1359</v>
      </c>
      <c r="E5" s="29"/>
    </row>
    <row r="6" spans="1:9" x14ac:dyDescent="0.25">
      <c r="A6" s="29">
        <v>5</v>
      </c>
      <c r="B6" s="29" t="s">
        <v>1358</v>
      </c>
      <c r="E6" s="29"/>
    </row>
    <row r="7" spans="1:9" x14ac:dyDescent="0.25">
      <c r="A7" s="29">
        <v>6</v>
      </c>
      <c r="B7" s="29" t="s">
        <v>1357</v>
      </c>
      <c r="E7" s="29"/>
    </row>
    <row r="8" spans="1:9" x14ac:dyDescent="0.25">
      <c r="A8" s="29">
        <v>7</v>
      </c>
      <c r="B8" s="29" t="s">
        <v>1356</v>
      </c>
      <c r="E8" s="29"/>
    </row>
    <row r="9" spans="1:9" x14ac:dyDescent="0.25">
      <c r="A9" s="29">
        <v>8</v>
      </c>
      <c r="B9" s="29" t="s">
        <v>1355</v>
      </c>
      <c r="C9" s="29">
        <v>2014</v>
      </c>
      <c r="E9" s="29" t="s">
        <v>1271</v>
      </c>
      <c r="F9" s="29" t="s">
        <v>1354</v>
      </c>
    </row>
    <row r="10" spans="1:9" x14ac:dyDescent="0.25">
      <c r="A10" s="29">
        <v>9</v>
      </c>
      <c r="B10" s="29" t="s">
        <v>1353</v>
      </c>
      <c r="C10" s="29">
        <v>1999</v>
      </c>
      <c r="E10" s="29" t="s">
        <v>1352</v>
      </c>
    </row>
    <row r="11" spans="1:9" x14ac:dyDescent="0.25">
      <c r="A11" s="200">
        <v>10</v>
      </c>
      <c r="B11" s="200" t="s">
        <v>1351</v>
      </c>
      <c r="C11" s="29">
        <v>2015</v>
      </c>
      <c r="E11" s="29" t="s">
        <v>1271</v>
      </c>
    </row>
    <row r="12" spans="1:9" x14ac:dyDescent="0.25">
      <c r="A12" s="29">
        <v>11</v>
      </c>
      <c r="B12" s="29" t="s">
        <v>1350</v>
      </c>
      <c r="C12" s="29">
        <v>2004</v>
      </c>
      <c r="E12" s="29" t="s">
        <v>1271</v>
      </c>
    </row>
    <row r="13" spans="1:9" x14ac:dyDescent="0.25">
      <c r="A13" s="29">
        <v>12</v>
      </c>
      <c r="B13" s="29" t="s">
        <v>1349</v>
      </c>
      <c r="C13" s="29">
        <v>2009</v>
      </c>
      <c r="E13" s="29" t="s">
        <v>1348</v>
      </c>
    </row>
    <row r="14" spans="1:9" x14ac:dyDescent="0.25">
      <c r="A14" s="29">
        <v>13</v>
      </c>
      <c r="B14" s="29" t="s">
        <v>1347</v>
      </c>
      <c r="C14" s="29">
        <v>2015</v>
      </c>
      <c r="E14" s="29" t="s">
        <v>1346</v>
      </c>
    </row>
    <row r="15" spans="1:9" x14ac:dyDescent="0.25">
      <c r="A15" s="29">
        <v>14</v>
      </c>
      <c r="B15" s="29" t="s">
        <v>1345</v>
      </c>
      <c r="C15" s="29">
        <v>2006</v>
      </c>
      <c r="E15" s="29" t="s">
        <v>1344</v>
      </c>
    </row>
    <row r="16" spans="1:9" x14ac:dyDescent="0.25">
      <c r="A16" s="29">
        <v>15</v>
      </c>
      <c r="B16" s="29" t="s">
        <v>1343</v>
      </c>
      <c r="C16" s="29">
        <v>2015</v>
      </c>
      <c r="E16" s="29" t="s">
        <v>1271</v>
      </c>
    </row>
    <row r="17" spans="1:12" x14ac:dyDescent="0.25">
      <c r="A17" s="29">
        <v>16</v>
      </c>
      <c r="B17" s="29" t="s">
        <v>1342</v>
      </c>
      <c r="C17" s="204" t="s">
        <v>1341</v>
      </c>
      <c r="D17" s="204"/>
      <c r="E17" s="29" t="s">
        <v>1271</v>
      </c>
    </row>
    <row r="18" spans="1:12" x14ac:dyDescent="0.25">
      <c r="A18" s="29">
        <v>17</v>
      </c>
      <c r="B18" s="29" t="s">
        <v>1340</v>
      </c>
      <c r="C18" s="29">
        <v>1995</v>
      </c>
      <c r="E18" s="29" t="s">
        <v>1271</v>
      </c>
    </row>
    <row r="19" spans="1:12" x14ac:dyDescent="0.25">
      <c r="A19" s="29">
        <v>18</v>
      </c>
      <c r="B19" s="29" t="s">
        <v>1339</v>
      </c>
      <c r="C19" s="29">
        <v>2015</v>
      </c>
      <c r="E19" s="29" t="s">
        <v>1271</v>
      </c>
    </row>
    <row r="20" spans="1:12" x14ac:dyDescent="0.25">
      <c r="A20" s="29">
        <v>19</v>
      </c>
      <c r="B20" s="29" t="s">
        <v>1338</v>
      </c>
      <c r="C20" s="29" t="s">
        <v>1336</v>
      </c>
      <c r="E20" s="29" t="s">
        <v>1337</v>
      </c>
    </row>
    <row r="21" spans="1:12" x14ac:dyDescent="0.25">
      <c r="A21" s="29">
        <v>20</v>
      </c>
      <c r="B21" s="29" t="s">
        <v>1335</v>
      </c>
      <c r="C21" s="29">
        <v>1980</v>
      </c>
      <c r="E21" s="29" t="s">
        <v>1334</v>
      </c>
    </row>
    <row r="22" spans="1:12" x14ac:dyDescent="0.25">
      <c r="A22" s="29">
        <v>21</v>
      </c>
      <c r="B22" s="29" t="s">
        <v>1333</v>
      </c>
      <c r="C22" s="29" t="s">
        <v>1332</v>
      </c>
      <c r="E22" s="29" t="s">
        <v>1271</v>
      </c>
      <c r="L22" s="203"/>
    </row>
    <row r="23" spans="1:12" x14ac:dyDescent="0.25">
      <c r="A23" s="29">
        <v>22</v>
      </c>
      <c r="B23" s="29" t="s">
        <v>1331</v>
      </c>
      <c r="C23" s="29">
        <v>2005</v>
      </c>
      <c r="E23" s="29" t="s">
        <v>1271</v>
      </c>
      <c r="L23" s="202"/>
    </row>
    <row r="24" spans="1:12" x14ac:dyDescent="0.25">
      <c r="A24" s="200">
        <v>23</v>
      </c>
      <c r="B24" s="200" t="s">
        <v>1330</v>
      </c>
      <c r="C24" s="29">
        <v>1998</v>
      </c>
      <c r="E24" s="29" t="s">
        <v>1271</v>
      </c>
    </row>
    <row r="25" spans="1:12" x14ac:dyDescent="0.25">
      <c r="A25" s="29">
        <v>24</v>
      </c>
      <c r="B25" s="29" t="s">
        <v>1329</v>
      </c>
      <c r="C25" s="29">
        <v>2016</v>
      </c>
      <c r="E25" s="29" t="s">
        <v>1271</v>
      </c>
    </row>
    <row r="26" spans="1:12" x14ac:dyDescent="0.25">
      <c r="A26" s="29">
        <v>25</v>
      </c>
      <c r="B26" s="29" t="s">
        <v>1328</v>
      </c>
      <c r="C26" s="29">
        <v>1988</v>
      </c>
      <c r="E26" s="29" t="s">
        <v>1286</v>
      </c>
    </row>
    <row r="27" spans="1:12" x14ac:dyDescent="0.25">
      <c r="A27" s="29">
        <v>26</v>
      </c>
      <c r="B27" s="29" t="s">
        <v>1327</v>
      </c>
      <c r="C27" s="29">
        <v>1994</v>
      </c>
      <c r="E27" s="29" t="s">
        <v>1271</v>
      </c>
    </row>
    <row r="28" spans="1:12" x14ac:dyDescent="0.25">
      <c r="A28" s="29">
        <v>27</v>
      </c>
      <c r="B28" s="29" t="s">
        <v>1326</v>
      </c>
      <c r="C28" s="29">
        <v>2013</v>
      </c>
      <c r="E28" s="29" t="s">
        <v>1325</v>
      </c>
    </row>
    <row r="29" spans="1:12" x14ac:dyDescent="0.25">
      <c r="A29" s="29">
        <v>28</v>
      </c>
      <c r="B29" s="29" t="s">
        <v>1324</v>
      </c>
      <c r="C29" s="29" t="s">
        <v>1322</v>
      </c>
      <c r="E29" s="29" t="s">
        <v>1323</v>
      </c>
    </row>
    <row r="30" spans="1:12" x14ac:dyDescent="0.25">
      <c r="A30" s="29">
        <v>29</v>
      </c>
      <c r="B30" s="29" t="s">
        <v>1321</v>
      </c>
      <c r="C30" s="29">
        <v>2010</v>
      </c>
      <c r="E30" s="201" t="s">
        <v>1320</v>
      </c>
    </row>
    <row r="31" spans="1:12" x14ac:dyDescent="0.25">
      <c r="A31" s="29">
        <v>30</v>
      </c>
      <c r="B31" s="29" t="s">
        <v>1319</v>
      </c>
      <c r="C31" s="29">
        <v>2008</v>
      </c>
      <c r="E31" s="29" t="s">
        <v>1271</v>
      </c>
    </row>
    <row r="32" spans="1:12" x14ac:dyDescent="0.25">
      <c r="A32" s="29">
        <v>31</v>
      </c>
      <c r="B32" s="29" t="s">
        <v>1318</v>
      </c>
      <c r="C32" s="29">
        <v>2003</v>
      </c>
      <c r="E32" s="29" t="s">
        <v>1271</v>
      </c>
    </row>
    <row r="33" spans="1:5" x14ac:dyDescent="0.25">
      <c r="A33" s="29">
        <v>32</v>
      </c>
      <c r="B33" s="29" t="s">
        <v>1317</v>
      </c>
      <c r="C33" s="29">
        <v>2007</v>
      </c>
      <c r="E33" s="29" t="s">
        <v>1271</v>
      </c>
    </row>
    <row r="34" spans="1:5" x14ac:dyDescent="0.25">
      <c r="A34" s="29">
        <v>33</v>
      </c>
      <c r="B34" s="29" t="s">
        <v>1316</v>
      </c>
      <c r="C34" s="29">
        <v>1998</v>
      </c>
      <c r="E34" s="29" t="s">
        <v>1315</v>
      </c>
    </row>
    <row r="35" spans="1:5" x14ac:dyDescent="0.25">
      <c r="A35" s="29">
        <v>34</v>
      </c>
      <c r="B35" s="29" t="s">
        <v>1314</v>
      </c>
      <c r="C35" s="29">
        <v>2001</v>
      </c>
      <c r="E35" s="29" t="s">
        <v>1312</v>
      </c>
    </row>
    <row r="36" spans="1:5" x14ac:dyDescent="0.25">
      <c r="A36" s="29">
        <v>35</v>
      </c>
      <c r="B36" s="4" t="s">
        <v>1313</v>
      </c>
      <c r="C36" s="29">
        <v>2001</v>
      </c>
      <c r="E36" s="29" t="s">
        <v>1312</v>
      </c>
    </row>
    <row r="37" spans="1:5" x14ac:dyDescent="0.25">
      <c r="A37" s="29">
        <v>36</v>
      </c>
      <c r="B37" s="29" t="s">
        <v>1311</v>
      </c>
      <c r="C37" s="29">
        <v>2016</v>
      </c>
      <c r="E37" s="29" t="s">
        <v>1271</v>
      </c>
    </row>
    <row r="38" spans="1:5" x14ac:dyDescent="0.25">
      <c r="A38" s="29">
        <v>37</v>
      </c>
      <c r="B38" s="29" t="s">
        <v>1310</v>
      </c>
      <c r="C38" s="29">
        <v>2009</v>
      </c>
      <c r="E38" s="29" t="s">
        <v>1271</v>
      </c>
    </row>
    <row r="39" spans="1:5" x14ac:dyDescent="0.25">
      <c r="A39" s="29">
        <v>38</v>
      </c>
      <c r="B39" s="29" t="s">
        <v>1309</v>
      </c>
      <c r="C39" s="29">
        <v>2015</v>
      </c>
      <c r="E39" s="29" t="s">
        <v>1271</v>
      </c>
    </row>
    <row r="40" spans="1:5" x14ac:dyDescent="0.25">
      <c r="A40" s="29">
        <v>39</v>
      </c>
      <c r="B40" s="29" t="s">
        <v>1308</v>
      </c>
      <c r="C40" s="29">
        <v>1999</v>
      </c>
      <c r="E40" s="29" t="s">
        <v>1307</v>
      </c>
    </row>
    <row r="41" spans="1:5" x14ac:dyDescent="0.25">
      <c r="A41" s="29">
        <v>40</v>
      </c>
      <c r="B41" s="29" t="s">
        <v>1306</v>
      </c>
      <c r="C41" s="29">
        <v>1993</v>
      </c>
      <c r="E41" s="29" t="s">
        <v>1271</v>
      </c>
    </row>
    <row r="42" spans="1:5" x14ac:dyDescent="0.25">
      <c r="A42" s="29">
        <v>41</v>
      </c>
      <c r="B42" s="29" t="s">
        <v>1305</v>
      </c>
      <c r="C42" s="29">
        <v>2009</v>
      </c>
      <c r="E42" s="29" t="s">
        <v>1304</v>
      </c>
    </row>
    <row r="43" spans="1:5" x14ac:dyDescent="0.25">
      <c r="A43" s="29">
        <v>42</v>
      </c>
      <c r="B43" s="29" t="s">
        <v>1303</v>
      </c>
      <c r="C43" s="29">
        <v>2016</v>
      </c>
      <c r="E43" s="29" t="s">
        <v>1271</v>
      </c>
    </row>
    <row r="44" spans="1:5" ht="14.25" customHeight="1" x14ac:dyDescent="0.25">
      <c r="A44" s="29">
        <v>43</v>
      </c>
      <c r="B44" s="29" t="s">
        <v>1302</v>
      </c>
      <c r="C44" s="29">
        <v>2016</v>
      </c>
      <c r="E44" s="4" t="s">
        <v>1301</v>
      </c>
    </row>
    <row r="45" spans="1:5" x14ac:dyDescent="0.25">
      <c r="A45" s="29">
        <v>44</v>
      </c>
      <c r="B45" s="29" t="s">
        <v>1300</v>
      </c>
      <c r="C45" s="29">
        <v>2016</v>
      </c>
      <c r="E45" s="29" t="s">
        <v>1271</v>
      </c>
    </row>
    <row r="46" spans="1:5" x14ac:dyDescent="0.25">
      <c r="A46" s="29">
        <v>45</v>
      </c>
      <c r="B46" s="29" t="s">
        <v>1299</v>
      </c>
      <c r="C46" s="29">
        <v>2014</v>
      </c>
      <c r="E46" s="29" t="s">
        <v>1298</v>
      </c>
    </row>
    <row r="47" spans="1:5" x14ac:dyDescent="0.25">
      <c r="A47" s="29">
        <v>46</v>
      </c>
      <c r="B47" s="29" t="s">
        <v>1297</v>
      </c>
      <c r="C47" s="29">
        <v>1997</v>
      </c>
      <c r="E47" s="29" t="s">
        <v>1286</v>
      </c>
    </row>
    <row r="48" spans="1:5" x14ac:dyDescent="0.25">
      <c r="A48" s="29">
        <v>47</v>
      </c>
      <c r="B48" s="29" t="s">
        <v>1296</v>
      </c>
      <c r="C48" s="29">
        <v>1988</v>
      </c>
      <c r="E48" s="29" t="s">
        <v>1271</v>
      </c>
    </row>
    <row r="49" spans="1:5" x14ac:dyDescent="0.25">
      <c r="A49" s="200">
        <v>48</v>
      </c>
      <c r="B49" s="200" t="s">
        <v>1295</v>
      </c>
      <c r="C49" s="29">
        <v>2016</v>
      </c>
      <c r="E49" s="29" t="s">
        <v>1271</v>
      </c>
    </row>
    <row r="50" spans="1:5" x14ac:dyDescent="0.25">
      <c r="A50" s="29">
        <v>49</v>
      </c>
      <c r="B50" s="29" t="s">
        <v>1294</v>
      </c>
      <c r="C50" s="29">
        <v>2014</v>
      </c>
      <c r="E50" s="29" t="s">
        <v>1293</v>
      </c>
    </row>
    <row r="51" spans="1:5" x14ac:dyDescent="0.25">
      <c r="A51" s="29">
        <v>50</v>
      </c>
      <c r="B51" s="29" t="s">
        <v>1292</v>
      </c>
      <c r="C51" s="29">
        <v>2014</v>
      </c>
      <c r="E51" s="29" t="s">
        <v>1291</v>
      </c>
    </row>
    <row r="52" spans="1:5" x14ac:dyDescent="0.25">
      <c r="A52" s="200">
        <v>51</v>
      </c>
      <c r="B52" s="200" t="s">
        <v>1290</v>
      </c>
      <c r="C52" s="29">
        <v>1970</v>
      </c>
      <c r="E52" s="29" t="s">
        <v>1289</v>
      </c>
    </row>
    <row r="53" spans="1:5" x14ac:dyDescent="0.25">
      <c r="A53" s="29">
        <v>52</v>
      </c>
      <c r="B53" s="29" t="s">
        <v>1288</v>
      </c>
      <c r="C53" s="29">
        <v>1973</v>
      </c>
      <c r="E53" s="29" t="s">
        <v>1271</v>
      </c>
    </row>
    <row r="54" spans="1:5" x14ac:dyDescent="0.25">
      <c r="A54" s="29">
        <v>53</v>
      </c>
      <c r="B54" s="29" t="s">
        <v>1287</v>
      </c>
      <c r="C54" s="29">
        <v>1974</v>
      </c>
      <c r="E54" s="199" t="s">
        <v>1286</v>
      </c>
    </row>
    <row r="55" spans="1:5" x14ac:dyDescent="0.25">
      <c r="A55" s="29">
        <v>54</v>
      </c>
      <c r="B55" s="29" t="s">
        <v>1285</v>
      </c>
      <c r="C55" s="29">
        <v>1973</v>
      </c>
      <c r="E55" s="29" t="s">
        <v>1271</v>
      </c>
    </row>
    <row r="56" spans="1:5" x14ac:dyDescent="0.25">
      <c r="A56" s="29">
        <v>55</v>
      </c>
      <c r="B56" s="29" t="s">
        <v>1284</v>
      </c>
      <c r="C56" s="29">
        <v>2010</v>
      </c>
      <c r="E56" s="29" t="s">
        <v>1283</v>
      </c>
    </row>
    <row r="57" spans="1:5" x14ac:dyDescent="0.25">
      <c r="A57" s="29">
        <v>56</v>
      </c>
      <c r="B57" s="29" t="s">
        <v>1282</v>
      </c>
      <c r="C57" s="29">
        <v>2017</v>
      </c>
      <c r="E57" s="29" t="s">
        <v>1281</v>
      </c>
    </row>
    <row r="58" spans="1:5" x14ac:dyDescent="0.25">
      <c r="A58" s="29">
        <v>57</v>
      </c>
      <c r="B58" s="29" t="s">
        <v>1280</v>
      </c>
      <c r="C58" s="29">
        <v>2016</v>
      </c>
      <c r="E58" s="29" t="s">
        <v>1278</v>
      </c>
    </row>
    <row r="59" spans="1:5" x14ac:dyDescent="0.25">
      <c r="A59" s="29">
        <v>58</v>
      </c>
      <c r="B59" s="29" t="s">
        <v>1279</v>
      </c>
      <c r="C59" s="29">
        <v>2015</v>
      </c>
      <c r="E59" s="29" t="s">
        <v>1278</v>
      </c>
    </row>
    <row r="60" spans="1:5" x14ac:dyDescent="0.25">
      <c r="A60" s="29">
        <v>59</v>
      </c>
      <c r="B60" s="29" t="s">
        <v>1277</v>
      </c>
      <c r="C60" s="29">
        <v>2005</v>
      </c>
      <c r="E60" s="29" t="s">
        <v>1271</v>
      </c>
    </row>
    <row r="61" spans="1:5" x14ac:dyDescent="0.25">
      <c r="A61" s="29">
        <v>60</v>
      </c>
      <c r="B61" s="29" t="s">
        <v>1276</v>
      </c>
      <c r="C61" s="29">
        <v>2010</v>
      </c>
      <c r="E61" s="29" t="s">
        <v>1271</v>
      </c>
    </row>
    <row r="62" spans="1:5" x14ac:dyDescent="0.25">
      <c r="A62" s="29">
        <v>61</v>
      </c>
      <c r="B62" s="29" t="s">
        <v>1275</v>
      </c>
      <c r="C62" s="29">
        <v>2012</v>
      </c>
      <c r="E62" s="29" t="s">
        <v>1274</v>
      </c>
    </row>
    <row r="63" spans="1:5" x14ac:dyDescent="0.25">
      <c r="A63" s="29">
        <v>62</v>
      </c>
      <c r="B63" s="29" t="s">
        <v>1273</v>
      </c>
      <c r="C63" s="29">
        <v>2011</v>
      </c>
      <c r="E63" s="29" t="s">
        <v>1271</v>
      </c>
    </row>
    <row r="64" spans="1:5" x14ac:dyDescent="0.25">
      <c r="A64" s="29">
        <v>63</v>
      </c>
      <c r="B64" s="29" t="s">
        <v>1272</v>
      </c>
      <c r="C64" s="29">
        <v>2016</v>
      </c>
      <c r="E64" s="29" t="s">
        <v>1271</v>
      </c>
    </row>
    <row r="65" spans="1:5" x14ac:dyDescent="0.25">
      <c r="A65" s="29">
        <v>64</v>
      </c>
      <c r="B65" s="29" t="s">
        <v>1270</v>
      </c>
      <c r="C65" s="29">
        <v>1969</v>
      </c>
      <c r="E65" s="29" t="s">
        <v>1269</v>
      </c>
    </row>
    <row r="66" spans="1:5" x14ac:dyDescent="0.25">
      <c r="A66" s="29">
        <v>65</v>
      </c>
      <c r="B66" s="29" t="s">
        <v>1268</v>
      </c>
      <c r="C66" s="29">
        <v>2012</v>
      </c>
      <c r="E66" s="29"/>
    </row>
    <row r="67" spans="1:5" x14ac:dyDescent="0.25">
      <c r="A67" s="29">
        <v>66</v>
      </c>
      <c r="B67" s="29" t="s">
        <v>1370</v>
      </c>
      <c r="C67" s="29">
        <v>2015</v>
      </c>
      <c r="E67" s="29" t="s">
        <v>1371</v>
      </c>
    </row>
    <row r="68" spans="1:5" x14ac:dyDescent="0.25">
      <c r="A68" s="29">
        <v>67</v>
      </c>
      <c r="B68" s="29" t="s">
        <v>1373</v>
      </c>
      <c r="C68" s="29">
        <v>2009</v>
      </c>
      <c r="E68" s="29" t="s">
        <v>1375</v>
      </c>
    </row>
    <row r="69" spans="1:5" x14ac:dyDescent="0.25">
      <c r="A69" s="29">
        <v>68</v>
      </c>
      <c r="B69" s="29" t="s">
        <v>1374</v>
      </c>
      <c r="C69" s="29">
        <v>2005</v>
      </c>
      <c r="E69" s="29" t="s">
        <v>1375</v>
      </c>
    </row>
    <row r="70" spans="1:5" x14ac:dyDescent="0.25">
      <c r="A70" s="29">
        <v>69</v>
      </c>
      <c r="B70" s="29" t="s">
        <v>1378</v>
      </c>
      <c r="C70" s="29">
        <v>2019</v>
      </c>
      <c r="E70" s="29" t="s">
        <v>1375</v>
      </c>
    </row>
    <row r="71" spans="1:5" x14ac:dyDescent="0.25">
      <c r="A71" s="29">
        <v>70</v>
      </c>
      <c r="B71" s="29" t="s">
        <v>1379</v>
      </c>
      <c r="C71" s="29">
        <v>2017</v>
      </c>
      <c r="E71" s="29" t="s">
        <v>1380</v>
      </c>
    </row>
    <row r="72" spans="1:5" x14ac:dyDescent="0.25">
      <c r="A72" s="29">
        <v>71</v>
      </c>
      <c r="B72" s="29" t="s">
        <v>1492</v>
      </c>
      <c r="C72" s="29">
        <v>2016</v>
      </c>
      <c r="E72" s="29" t="s">
        <v>1493</v>
      </c>
    </row>
    <row r="73" spans="1:5" x14ac:dyDescent="0.25">
      <c r="A73" s="29">
        <v>72</v>
      </c>
      <c r="B73" s="29" t="s">
        <v>1494</v>
      </c>
      <c r="C73" s="29">
        <v>2018</v>
      </c>
      <c r="E73" s="29" t="s">
        <v>1495</v>
      </c>
    </row>
    <row r="74" spans="1:5" x14ac:dyDescent="0.25">
      <c r="A74" s="29">
        <v>73</v>
      </c>
      <c r="B74" s="29" t="s">
        <v>1516</v>
      </c>
      <c r="C74" s="29">
        <v>2020</v>
      </c>
      <c r="E74" s="29" t="s">
        <v>1517</v>
      </c>
    </row>
    <row r="75" spans="1:5" x14ac:dyDescent="0.25">
      <c r="A75" s="29">
        <v>74</v>
      </c>
      <c r="B75" s="29" t="s">
        <v>1523</v>
      </c>
      <c r="E75" s="29" t="s">
        <v>1524</v>
      </c>
    </row>
    <row r="76" spans="1:5" x14ac:dyDescent="0.25">
      <c r="A76" s="29">
        <v>75</v>
      </c>
      <c r="B76" s="29" t="s">
        <v>1529</v>
      </c>
      <c r="C76" s="29">
        <v>2017</v>
      </c>
      <c r="E76" s="29" t="s">
        <v>1530</v>
      </c>
    </row>
    <row r="77" spans="1:5" x14ac:dyDescent="0.25">
      <c r="A77" s="29">
        <v>76</v>
      </c>
      <c r="B77" s="29" t="s">
        <v>1679</v>
      </c>
      <c r="C77" s="29">
        <v>2019</v>
      </c>
      <c r="E77" s="29" t="s">
        <v>1680</v>
      </c>
    </row>
    <row r="78" spans="1:5" x14ac:dyDescent="0.25">
      <c r="E78" s="29"/>
    </row>
    <row r="79" spans="1:5" ht="14.25" customHeight="1" x14ac:dyDescent="0.25">
      <c r="B79" s="29" t="s">
        <v>1351</v>
      </c>
      <c r="C79" s="29">
        <v>2022</v>
      </c>
      <c r="D79" s="29" t="s">
        <v>1271</v>
      </c>
      <c r="E79" s="4" t="s">
        <v>2079</v>
      </c>
    </row>
    <row r="80" spans="1:5" x14ac:dyDescent="0.25">
      <c r="B80" s="29" t="s">
        <v>2080</v>
      </c>
      <c r="C80" s="29">
        <v>2020</v>
      </c>
      <c r="E80" s="29" t="s">
        <v>2081</v>
      </c>
    </row>
    <row r="81" spans="5:5" x14ac:dyDescent="0.25">
      <c r="E81" s="29"/>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zoomScale="80" zoomScaleNormal="80"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1178</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1231</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1232</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1179</v>
      </c>
      <c r="E4" s="27"/>
      <c r="F4" s="27"/>
      <c r="G4" s="27"/>
      <c r="H4" s="27"/>
      <c r="I4" s="27"/>
      <c r="J4" s="27"/>
      <c r="K4" s="27"/>
      <c r="L4" s="27"/>
      <c r="M4" s="380"/>
      <c r="N4" s="380"/>
      <c r="T4" s="27"/>
      <c r="U4" s="880" t="s">
        <v>789</v>
      </c>
      <c r="V4" s="883" t="s">
        <v>793</v>
      </c>
      <c r="W4" s="884"/>
      <c r="X4" s="885" t="s">
        <v>792</v>
      </c>
      <c r="Y4" s="884"/>
      <c r="Z4" s="861" t="s">
        <v>1628</v>
      </c>
      <c r="AA4" s="862"/>
      <c r="AB4" s="862"/>
      <c r="AC4" s="862"/>
      <c r="AD4" s="862"/>
      <c r="AE4" s="863" t="s">
        <v>128</v>
      </c>
      <c r="AF4" s="864"/>
      <c r="AG4" s="865"/>
    </row>
    <row r="5" spans="1:34" ht="15.75" customHeight="1" thickBot="1" x14ac:dyDescent="0.3">
      <c r="A5" s="27"/>
      <c r="B5" s="63"/>
      <c r="C5" s="63"/>
      <c r="D5" s="63"/>
      <c r="E5" s="63"/>
      <c r="F5" s="27"/>
      <c r="G5" s="27"/>
      <c r="H5" s="27"/>
      <c r="I5" s="27"/>
      <c r="J5" s="27"/>
      <c r="K5" s="27"/>
      <c r="L5" s="27"/>
      <c r="N5" s="531" t="s">
        <v>1618</v>
      </c>
      <c r="O5" s="197"/>
      <c r="P5" s="612"/>
      <c r="T5" s="27"/>
      <c r="U5" s="881"/>
      <c r="V5" s="542" t="s">
        <v>1622</v>
      </c>
      <c r="W5" s="540" t="s">
        <v>1624</v>
      </c>
      <c r="X5" s="542" t="s">
        <v>1627</v>
      </c>
      <c r="Y5" s="540" t="s">
        <v>1626</v>
      </c>
      <c r="Z5" s="542" t="s">
        <v>1629</v>
      </c>
      <c r="AA5" s="540" t="s">
        <v>794</v>
      </c>
      <c r="AB5" s="540" t="s">
        <v>1630</v>
      </c>
      <c r="AC5" s="540" t="s">
        <v>1413</v>
      </c>
      <c r="AD5" s="540" t="s">
        <v>1534</v>
      </c>
      <c r="AE5" s="596" t="s">
        <v>1645</v>
      </c>
      <c r="AF5" s="540" t="s">
        <v>1438</v>
      </c>
      <c r="AG5" s="543" t="s">
        <v>1642</v>
      </c>
    </row>
    <row r="6" spans="1:34" ht="15.75" customHeight="1" thickBot="1" x14ac:dyDescent="0.3">
      <c r="A6" s="868" t="s">
        <v>1605</v>
      </c>
      <c r="B6" s="869"/>
      <c r="C6" s="398" t="s">
        <v>1541</v>
      </c>
      <c r="D6" s="386" t="s">
        <v>1542</v>
      </c>
      <c r="E6" s="386" t="s">
        <v>1543</v>
      </c>
      <c r="F6" s="386" t="s">
        <v>1544</v>
      </c>
      <c r="G6" s="386" t="s">
        <v>1545</v>
      </c>
      <c r="H6" s="386" t="s">
        <v>1546</v>
      </c>
      <c r="I6" s="386" t="s">
        <v>1547</v>
      </c>
      <c r="J6" s="386" t="s">
        <v>1548</v>
      </c>
      <c r="K6" s="386" t="s">
        <v>1549</v>
      </c>
      <c r="L6" s="387" t="s">
        <v>1550</v>
      </c>
      <c r="M6" s="381"/>
      <c r="N6" s="532"/>
      <c r="O6" s="533"/>
      <c r="P6" s="613"/>
      <c r="U6" s="882"/>
      <c r="V6" s="541" t="s">
        <v>1623</v>
      </c>
      <c r="W6" s="544" t="s">
        <v>1625</v>
      </c>
      <c r="X6" s="541" t="s">
        <v>1623</v>
      </c>
      <c r="Y6" s="544" t="s">
        <v>1625</v>
      </c>
      <c r="Z6" s="541" t="s">
        <v>1623</v>
      </c>
      <c r="AA6" s="544" t="s">
        <v>1623</v>
      </c>
      <c r="AB6" s="544" t="s">
        <v>1623</v>
      </c>
      <c r="AC6" s="544" t="s">
        <v>1623</v>
      </c>
      <c r="AD6" s="544" t="s">
        <v>1623</v>
      </c>
      <c r="AE6" s="541" t="s">
        <v>1388</v>
      </c>
      <c r="AF6" s="545" t="s">
        <v>1644</v>
      </c>
      <c r="AG6" s="597" t="s">
        <v>1643</v>
      </c>
      <c r="AH6" s="198"/>
    </row>
    <row r="7" spans="1:34" ht="15.75" thickBot="1" x14ac:dyDescent="0.3">
      <c r="A7" s="870"/>
      <c r="B7" s="871"/>
      <c r="C7" s="399"/>
      <c r="D7" s="394"/>
      <c r="E7" s="394"/>
      <c r="F7" s="394"/>
      <c r="G7" s="394"/>
      <c r="H7" s="394"/>
      <c r="I7" s="394"/>
      <c r="J7" s="394"/>
      <c r="K7" s="394"/>
      <c r="L7" s="395"/>
      <c r="M7" s="34"/>
      <c r="N7" s="98" t="s">
        <v>1228</v>
      </c>
      <c r="O7" s="530">
        <v>1</v>
      </c>
      <c r="P7" s="614"/>
      <c r="U7" s="548">
        <v>0</v>
      </c>
      <c r="V7" s="552">
        <v>0.10919999999999999</v>
      </c>
      <c r="W7" s="546">
        <v>0.4</v>
      </c>
      <c r="X7" s="552">
        <v>8.6399999999999991E-2</v>
      </c>
      <c r="Y7" s="546">
        <v>21</v>
      </c>
      <c r="Z7" s="556">
        <v>0.15599999999999997</v>
      </c>
      <c r="AA7" s="546">
        <v>0</v>
      </c>
      <c r="AB7" s="546">
        <v>0.15599999999999997</v>
      </c>
      <c r="AC7" s="546">
        <v>0</v>
      </c>
      <c r="AD7" s="586">
        <v>0</v>
      </c>
      <c r="AE7" s="595">
        <v>0.5</v>
      </c>
      <c r="AF7" s="598">
        <v>1268</v>
      </c>
      <c r="AG7" s="599">
        <v>293</v>
      </c>
      <c r="AH7" s="44"/>
    </row>
    <row r="8" spans="1:34" x14ac:dyDescent="0.25">
      <c r="A8" s="409" t="s">
        <v>1180</v>
      </c>
      <c r="B8" s="410"/>
      <c r="C8" s="443"/>
      <c r="D8" s="411"/>
      <c r="E8" s="411"/>
      <c r="F8" s="411"/>
      <c r="G8" s="411"/>
      <c r="H8" s="411"/>
      <c r="I8" s="411"/>
      <c r="J8" s="411"/>
      <c r="K8" s="411"/>
      <c r="L8" s="412"/>
      <c r="M8" s="34"/>
      <c r="N8" s="86" t="s">
        <v>1226</v>
      </c>
      <c r="O8" s="89"/>
      <c r="P8" s="84" t="s">
        <v>781</v>
      </c>
      <c r="U8" s="549">
        <v>2.0833333333333332E-2</v>
      </c>
      <c r="V8" s="553">
        <v>0.10919999999999999</v>
      </c>
      <c r="W8" s="65">
        <v>0.38116405521594965</v>
      </c>
      <c r="X8" s="553">
        <v>8.6399999999999991E-2</v>
      </c>
      <c r="Y8" s="65">
        <v>20.979363314620254</v>
      </c>
      <c r="Z8" s="557">
        <v>0.15599999999999997</v>
      </c>
      <c r="AA8" s="65">
        <v>0</v>
      </c>
      <c r="AB8" s="65">
        <v>0.15599999999999997</v>
      </c>
      <c r="AC8" s="65">
        <v>0</v>
      </c>
      <c r="AD8" s="587">
        <v>0</v>
      </c>
      <c r="AE8" s="593">
        <v>0.25005171496640927</v>
      </c>
      <c r="AF8" s="591">
        <v>1268</v>
      </c>
      <c r="AG8" s="583">
        <v>292.99674218662807</v>
      </c>
      <c r="AH8" s="44"/>
    </row>
    <row r="9" spans="1:34" x14ac:dyDescent="0.25">
      <c r="A9" s="86" t="s">
        <v>1191</v>
      </c>
      <c r="B9" s="413"/>
      <c r="C9" s="488"/>
      <c r="D9" s="89"/>
      <c r="E9" s="89"/>
      <c r="F9" s="89"/>
      <c r="G9" s="89"/>
      <c r="H9" s="89"/>
      <c r="I9" s="89"/>
      <c r="J9" s="89"/>
      <c r="K9" s="89"/>
      <c r="L9" s="489"/>
      <c r="M9" s="34"/>
      <c r="N9" s="87" t="s">
        <v>1213</v>
      </c>
      <c r="O9" s="90"/>
      <c r="P9" s="83" t="s">
        <v>781</v>
      </c>
      <c r="U9" s="550">
        <v>4.1666666666666699E-2</v>
      </c>
      <c r="V9" s="554">
        <v>0.10919999999999999</v>
      </c>
      <c r="W9" s="64">
        <v>0.3623285292044981</v>
      </c>
      <c r="X9" s="554">
        <v>8.6399999999999991E-2</v>
      </c>
      <c r="Y9" s="64">
        <v>20.958727082964227</v>
      </c>
      <c r="Z9" s="558">
        <v>0.15599999999999997</v>
      </c>
      <c r="AA9" s="64">
        <v>0</v>
      </c>
      <c r="AB9" s="64">
        <v>0.15599999999999997</v>
      </c>
      <c r="AC9" s="64">
        <v>0</v>
      </c>
      <c r="AD9" s="588">
        <v>0</v>
      </c>
      <c r="AE9" s="592">
        <v>0.25005171644349328</v>
      </c>
      <c r="AF9" s="590">
        <v>1268</v>
      </c>
      <c r="AG9" s="584">
        <v>292.99348437325619</v>
      </c>
      <c r="AH9" s="44"/>
    </row>
    <row r="10" spans="1:34" ht="15.75" thickBot="1" x14ac:dyDescent="0.3">
      <c r="A10" s="86" t="s">
        <v>1636</v>
      </c>
      <c r="B10" s="414"/>
      <c r="C10" s="490"/>
      <c r="D10" s="491"/>
      <c r="E10" s="491"/>
      <c r="F10" s="491"/>
      <c r="G10" s="491"/>
      <c r="H10" s="491"/>
      <c r="I10" s="491"/>
      <c r="J10" s="491"/>
      <c r="K10" s="491"/>
      <c r="L10" s="492"/>
      <c r="M10" s="34"/>
      <c r="N10" s="86" t="s">
        <v>1214</v>
      </c>
      <c r="O10" s="91"/>
      <c r="P10" s="84" t="s">
        <v>781</v>
      </c>
      <c r="U10" s="549">
        <v>6.25E-2</v>
      </c>
      <c r="V10" s="553">
        <v>0.10919999999999999</v>
      </c>
      <c r="W10" s="65">
        <v>0.34349342196564525</v>
      </c>
      <c r="X10" s="553">
        <v>8.6399999999999991E-2</v>
      </c>
      <c r="Y10" s="65">
        <v>20.938091305031918</v>
      </c>
      <c r="Z10" s="557">
        <v>0.15599999999999997</v>
      </c>
      <c r="AA10" s="65">
        <v>0</v>
      </c>
      <c r="AB10" s="65">
        <v>0.15599999999999997</v>
      </c>
      <c r="AC10" s="65">
        <v>0</v>
      </c>
      <c r="AD10" s="587">
        <v>0</v>
      </c>
      <c r="AE10" s="593">
        <v>0.25005171792064246</v>
      </c>
      <c r="AF10" s="591">
        <v>1268</v>
      </c>
      <c r="AG10" s="583">
        <v>292.99022655988426</v>
      </c>
      <c r="AH10" s="44"/>
    </row>
    <row r="11" spans="1:34" x14ac:dyDescent="0.25">
      <c r="A11" s="453" t="s">
        <v>1181</v>
      </c>
      <c r="B11" s="454"/>
      <c r="C11" s="455"/>
      <c r="D11" s="456"/>
      <c r="E11" s="456"/>
      <c r="F11" s="456"/>
      <c r="G11" s="456"/>
      <c r="H11" s="456"/>
      <c r="I11" s="456"/>
      <c r="J11" s="456"/>
      <c r="K11" s="456"/>
      <c r="L11" s="457"/>
      <c r="M11" s="34"/>
      <c r="N11" s="87" t="s">
        <v>1215</v>
      </c>
      <c r="O11" s="90"/>
      <c r="P11" s="83" t="s">
        <v>781</v>
      </c>
      <c r="U11" s="550">
        <v>8.3333333333333301E-2</v>
      </c>
      <c r="V11" s="554">
        <v>0.10919999999999999</v>
      </c>
      <c r="W11" s="64">
        <v>0.32465873349939117</v>
      </c>
      <c r="X11" s="554">
        <v>8.6399999999999991E-2</v>
      </c>
      <c r="Y11" s="64">
        <v>20.91745598082333</v>
      </c>
      <c r="Z11" s="558">
        <v>0.15599999999999997</v>
      </c>
      <c r="AA11" s="64">
        <v>0</v>
      </c>
      <c r="AB11" s="64">
        <v>0.15599999999999997</v>
      </c>
      <c r="AC11" s="64">
        <v>0</v>
      </c>
      <c r="AD11" s="588">
        <v>0</v>
      </c>
      <c r="AE11" s="592">
        <v>0.25005171939785398</v>
      </c>
      <c r="AF11" s="590">
        <v>1268</v>
      </c>
      <c r="AG11" s="584">
        <v>292.98696874651233</v>
      </c>
      <c r="AH11" s="44"/>
    </row>
    <row r="12" spans="1:34" x14ac:dyDescent="0.25">
      <c r="A12" s="87" t="s">
        <v>1191</v>
      </c>
      <c r="B12" s="396"/>
      <c r="C12" s="493"/>
      <c r="D12" s="494"/>
      <c r="E12" s="494"/>
      <c r="F12" s="494"/>
      <c r="G12" s="494"/>
      <c r="H12" s="494"/>
      <c r="I12" s="494"/>
      <c r="J12" s="494"/>
      <c r="K12" s="494"/>
      <c r="L12" s="495"/>
      <c r="M12" s="34"/>
      <c r="N12" s="86" t="s">
        <v>1216</v>
      </c>
      <c r="O12" s="91"/>
      <c r="P12" s="84" t="s">
        <v>781</v>
      </c>
      <c r="U12" s="549">
        <v>0.104166666666667</v>
      </c>
      <c r="V12" s="553">
        <v>0.10919999999999999</v>
      </c>
      <c r="W12" s="65">
        <v>0.30582446380573591</v>
      </c>
      <c r="X12" s="553">
        <v>8.6399999999999991E-2</v>
      </c>
      <c r="Y12" s="65">
        <v>20.896821110338461</v>
      </c>
      <c r="Z12" s="557">
        <v>0.15599999999999997</v>
      </c>
      <c r="AA12" s="65">
        <v>0</v>
      </c>
      <c r="AB12" s="65">
        <v>0.15599999999999997</v>
      </c>
      <c r="AC12" s="65">
        <v>0</v>
      </c>
      <c r="AD12" s="587">
        <v>0</v>
      </c>
      <c r="AE12" s="593">
        <v>0.25005172087512889</v>
      </c>
      <c r="AF12" s="591">
        <v>1268</v>
      </c>
      <c r="AG12" s="583">
        <v>292.9837109331404</v>
      </c>
      <c r="AH12" s="44"/>
    </row>
    <row r="13" spans="1:34" x14ac:dyDescent="0.25">
      <c r="A13" s="87" t="s">
        <v>1638</v>
      </c>
      <c r="B13" s="396"/>
      <c r="C13" s="496"/>
      <c r="D13" s="497"/>
      <c r="E13" s="497"/>
      <c r="F13" s="497"/>
      <c r="G13" s="497"/>
      <c r="H13" s="497"/>
      <c r="I13" s="497"/>
      <c r="J13" s="497"/>
      <c r="K13" s="497"/>
      <c r="L13" s="498"/>
      <c r="M13" s="34"/>
      <c r="N13" s="87" t="s">
        <v>1217</v>
      </c>
      <c r="O13" s="90"/>
      <c r="P13" s="83" t="s">
        <v>781</v>
      </c>
      <c r="U13" s="550">
        <v>0.125</v>
      </c>
      <c r="V13" s="554">
        <v>0.10919999999999999</v>
      </c>
      <c r="W13" s="64">
        <v>0.28699061288467936</v>
      </c>
      <c r="X13" s="554">
        <v>8.6399999999999991E-2</v>
      </c>
      <c r="Y13" s="64">
        <v>20.876186693577313</v>
      </c>
      <c r="Z13" s="558">
        <v>0.15599999999999997</v>
      </c>
      <c r="AA13" s="64">
        <v>0</v>
      </c>
      <c r="AB13" s="64">
        <v>0.15599999999999997</v>
      </c>
      <c r="AC13" s="64">
        <v>0</v>
      </c>
      <c r="AD13" s="588">
        <v>0</v>
      </c>
      <c r="AE13" s="592">
        <v>0.25005172235246687</v>
      </c>
      <c r="AF13" s="590">
        <v>1268</v>
      </c>
      <c r="AG13" s="584">
        <v>292.98045311976847</v>
      </c>
      <c r="AH13" s="44"/>
    </row>
    <row r="14" spans="1:34" ht="15.75" thickBot="1" x14ac:dyDescent="0.3">
      <c r="A14" s="274" t="s">
        <v>1640</v>
      </c>
      <c r="B14" s="458"/>
      <c r="C14" s="499"/>
      <c r="D14" s="500"/>
      <c r="E14" s="500"/>
      <c r="F14" s="500"/>
      <c r="G14" s="500"/>
      <c r="H14" s="500"/>
      <c r="I14" s="500"/>
      <c r="J14" s="500"/>
      <c r="K14" s="500"/>
      <c r="L14" s="501"/>
      <c r="M14" s="34"/>
      <c r="N14" s="86" t="s">
        <v>1218</v>
      </c>
      <c r="O14" s="91"/>
      <c r="P14" s="84" t="s">
        <v>781</v>
      </c>
      <c r="U14" s="549">
        <v>0.14583333333333301</v>
      </c>
      <c r="V14" s="553">
        <v>0.10919999999999999</v>
      </c>
      <c r="W14" s="65">
        <v>0.26815718073622158</v>
      </c>
      <c r="X14" s="553">
        <v>8.6399999999999991E-2</v>
      </c>
      <c r="Y14" s="65">
        <v>20.855552730539888</v>
      </c>
      <c r="Z14" s="557">
        <v>0.15599999999999997</v>
      </c>
      <c r="AA14" s="65">
        <v>0</v>
      </c>
      <c r="AB14" s="65">
        <v>0.15599999999999997</v>
      </c>
      <c r="AC14" s="65">
        <v>0</v>
      </c>
      <c r="AD14" s="587">
        <v>0</v>
      </c>
      <c r="AE14" s="593">
        <v>0.25005172382986851</v>
      </c>
      <c r="AF14" s="591">
        <v>1268</v>
      </c>
      <c r="AG14" s="583">
        <v>292.97719530639654</v>
      </c>
      <c r="AH14" s="44"/>
    </row>
    <row r="15" spans="1:34" x14ac:dyDescent="0.25">
      <c r="A15" s="415" t="s">
        <v>1607</v>
      </c>
      <c r="B15" s="416"/>
      <c r="C15" s="444"/>
      <c r="D15" s="417"/>
      <c r="E15" s="417"/>
      <c r="F15" s="417"/>
      <c r="G15" s="417"/>
      <c r="H15" s="417"/>
      <c r="I15" s="417"/>
      <c r="J15" s="417"/>
      <c r="K15" s="417"/>
      <c r="L15" s="418"/>
      <c r="M15" s="34"/>
      <c r="N15" s="87" t="s">
        <v>1219</v>
      </c>
      <c r="O15" s="90"/>
      <c r="P15" s="83" t="s">
        <v>781</v>
      </c>
      <c r="U15" s="550">
        <v>0.16666666666666699</v>
      </c>
      <c r="V15" s="554">
        <v>0.10919999999999999</v>
      </c>
      <c r="W15" s="64">
        <v>0.24932416736036261</v>
      </c>
      <c r="X15" s="554">
        <v>8.6399999999999991E-2</v>
      </c>
      <c r="Y15" s="64">
        <v>20.83491922122618</v>
      </c>
      <c r="Z15" s="558">
        <v>0.15599999999999997</v>
      </c>
      <c r="AA15" s="64">
        <v>0</v>
      </c>
      <c r="AB15" s="64">
        <v>0.15599999999999997</v>
      </c>
      <c r="AC15" s="64">
        <v>0</v>
      </c>
      <c r="AD15" s="588">
        <v>0</v>
      </c>
      <c r="AE15" s="592">
        <v>0.25005172530733316</v>
      </c>
      <c r="AF15" s="590">
        <v>1268</v>
      </c>
      <c r="AG15" s="584">
        <v>292.97393749302461</v>
      </c>
      <c r="AH15" s="44"/>
    </row>
    <row r="16" spans="1:34" x14ac:dyDescent="0.25">
      <c r="A16" s="419" t="s">
        <v>1191</v>
      </c>
      <c r="B16" s="420"/>
      <c r="C16" s="502"/>
      <c r="D16" s="503"/>
      <c r="E16" s="503"/>
      <c r="F16" s="503"/>
      <c r="G16" s="503"/>
      <c r="H16" s="503"/>
      <c r="I16" s="503"/>
      <c r="J16" s="503"/>
      <c r="K16" s="503"/>
      <c r="L16" s="504"/>
      <c r="M16" s="34"/>
      <c r="N16" s="86" t="s">
        <v>1220</v>
      </c>
      <c r="O16" s="91"/>
      <c r="P16" s="84" t="s">
        <v>781</v>
      </c>
      <c r="U16" s="549">
        <v>0.1875</v>
      </c>
      <c r="V16" s="553">
        <v>0.10919999999999999</v>
      </c>
      <c r="W16" s="65">
        <v>0.23049157275710239</v>
      </c>
      <c r="X16" s="553">
        <v>8.6399999999999991E-2</v>
      </c>
      <c r="Y16" s="65">
        <v>20.81428616563619</v>
      </c>
      <c r="Z16" s="557">
        <v>0.15599999999999997</v>
      </c>
      <c r="AA16" s="65">
        <v>0</v>
      </c>
      <c r="AB16" s="65">
        <v>0.15599999999999997</v>
      </c>
      <c r="AC16" s="65">
        <v>0</v>
      </c>
      <c r="AD16" s="587">
        <v>0</v>
      </c>
      <c r="AE16" s="593">
        <v>0.25005172678486126</v>
      </c>
      <c r="AF16" s="591">
        <v>1268</v>
      </c>
      <c r="AG16" s="583">
        <v>292.97067967965268</v>
      </c>
      <c r="AH16" s="44"/>
    </row>
    <row r="17" spans="1:34" ht="15.75" thickBot="1" x14ac:dyDescent="0.3">
      <c r="A17" s="421" t="s">
        <v>1637</v>
      </c>
      <c r="B17" s="439"/>
      <c r="C17" s="505"/>
      <c r="D17" s="506"/>
      <c r="E17" s="506"/>
      <c r="F17" s="506"/>
      <c r="G17" s="506"/>
      <c r="H17" s="506"/>
      <c r="I17" s="506"/>
      <c r="J17" s="506"/>
      <c r="K17" s="506"/>
      <c r="L17" s="507"/>
      <c r="M17" s="34"/>
      <c r="N17" s="383" t="s">
        <v>1221</v>
      </c>
      <c r="O17" s="384"/>
      <c r="P17" s="385" t="s">
        <v>781</v>
      </c>
      <c r="U17" s="550">
        <v>0.20833333333333301</v>
      </c>
      <c r="V17" s="554">
        <v>0.17279999999999998</v>
      </c>
      <c r="W17" s="64">
        <v>0.21165939692644092</v>
      </c>
      <c r="X17" s="554">
        <v>0.13631999999999994</v>
      </c>
      <c r="Y17" s="64">
        <v>20.793653563769922</v>
      </c>
      <c r="Z17" s="558">
        <v>0.28728000000000004</v>
      </c>
      <c r="AA17" s="64">
        <v>4.2666666666666675</v>
      </c>
      <c r="AB17" s="64">
        <v>0.28728000000000004</v>
      </c>
      <c r="AC17" s="64">
        <v>0</v>
      </c>
      <c r="AD17" s="588">
        <v>0</v>
      </c>
      <c r="AE17" s="592">
        <v>0.25005172826245259</v>
      </c>
      <c r="AF17" s="590">
        <v>2000</v>
      </c>
      <c r="AG17" s="584">
        <v>292.96742186628074</v>
      </c>
      <c r="AH17" s="44"/>
    </row>
    <row r="18" spans="1:34" ht="15.75" thickBot="1" x14ac:dyDescent="0.3">
      <c r="A18" s="422" t="s">
        <v>1182</v>
      </c>
      <c r="B18" s="423"/>
      <c r="C18" s="445"/>
      <c r="D18" s="424"/>
      <c r="E18" s="424"/>
      <c r="F18" s="424"/>
      <c r="G18" s="424"/>
      <c r="H18" s="424"/>
      <c r="I18" s="424"/>
      <c r="J18" s="424"/>
      <c r="K18" s="424"/>
      <c r="L18" s="425"/>
      <c r="M18" s="34"/>
      <c r="U18" s="549">
        <v>0.22916666666666699</v>
      </c>
      <c r="V18" s="553">
        <v>0.17279999999999998</v>
      </c>
      <c r="W18" s="65">
        <v>0.20690991293915842</v>
      </c>
      <c r="X18" s="553">
        <v>0.13631999999999994</v>
      </c>
      <c r="Y18" s="65">
        <v>20.788395595370666</v>
      </c>
      <c r="Z18" s="557">
        <v>0.28728000000000004</v>
      </c>
      <c r="AA18" s="65">
        <v>0</v>
      </c>
      <c r="AB18" s="65">
        <v>0.28728000000000004</v>
      </c>
      <c r="AC18" s="65">
        <v>0</v>
      </c>
      <c r="AD18" s="587">
        <v>5.5661866666666659</v>
      </c>
      <c r="AE18" s="593">
        <v>0.25001279834246531</v>
      </c>
      <c r="AF18" s="591">
        <v>2000</v>
      </c>
      <c r="AG18" s="583">
        <v>292.96661578634433</v>
      </c>
      <c r="AH18" s="44"/>
    </row>
    <row r="19" spans="1:34" ht="15.75" thickBot="1" x14ac:dyDescent="0.3">
      <c r="A19" s="426" t="s">
        <v>1191</v>
      </c>
      <c r="B19" s="427"/>
      <c r="C19" s="508"/>
      <c r="D19" s="509"/>
      <c r="E19" s="509"/>
      <c r="F19" s="509"/>
      <c r="G19" s="509"/>
      <c r="H19" s="509"/>
      <c r="I19" s="509"/>
      <c r="J19" s="509"/>
      <c r="K19" s="509"/>
      <c r="L19" s="510"/>
      <c r="M19" s="34"/>
      <c r="N19" s="535" t="s">
        <v>1619</v>
      </c>
      <c r="O19" s="536"/>
      <c r="P19" s="537"/>
      <c r="U19" s="550">
        <v>0.25</v>
      </c>
      <c r="V19" s="554">
        <v>0.17279999999999998</v>
      </c>
      <c r="W19" s="64">
        <v>0.20216045508450745</v>
      </c>
      <c r="X19" s="554">
        <v>0.13631999999999994</v>
      </c>
      <c r="Y19" s="64">
        <v>20.783137655590536</v>
      </c>
      <c r="Z19" s="558">
        <v>0.28728000000000004</v>
      </c>
      <c r="AA19" s="64">
        <v>4.2666666666666675</v>
      </c>
      <c r="AB19" s="64">
        <v>3.4872800000000006</v>
      </c>
      <c r="AC19" s="64">
        <v>3.2000000000000006</v>
      </c>
      <c r="AD19" s="588">
        <v>0</v>
      </c>
      <c r="AE19" s="592">
        <v>0.25001279843291735</v>
      </c>
      <c r="AF19" s="590">
        <v>2000</v>
      </c>
      <c r="AG19" s="584">
        <v>292.96580970640787</v>
      </c>
      <c r="AH19" s="44"/>
    </row>
    <row r="20" spans="1:34" ht="15.75" thickBot="1" x14ac:dyDescent="0.3">
      <c r="A20" s="428" t="s">
        <v>1638</v>
      </c>
      <c r="B20" s="440"/>
      <c r="C20" s="511"/>
      <c r="D20" s="512"/>
      <c r="E20" s="512"/>
      <c r="F20" s="512"/>
      <c r="G20" s="512"/>
      <c r="H20" s="512"/>
      <c r="I20" s="512"/>
      <c r="J20" s="512"/>
      <c r="K20" s="512"/>
      <c r="L20" s="513"/>
      <c r="M20" s="34"/>
      <c r="N20" s="275" t="s">
        <v>1452</v>
      </c>
      <c r="O20" s="276" t="s">
        <v>1453</v>
      </c>
      <c r="P20" s="277" t="s">
        <v>2</v>
      </c>
      <c r="U20" s="549">
        <v>0.27083333333333298</v>
      </c>
      <c r="V20" s="553">
        <v>0.17279999999999998</v>
      </c>
      <c r="W20" s="65">
        <v>0.19741102336248803</v>
      </c>
      <c r="X20" s="553">
        <v>0.13631999999999994</v>
      </c>
      <c r="Y20" s="65">
        <v>20.777879744429537</v>
      </c>
      <c r="Z20" s="557">
        <v>0.28728000000000004</v>
      </c>
      <c r="AA20" s="65">
        <v>0</v>
      </c>
      <c r="AB20" s="65">
        <v>0.28728000000000004</v>
      </c>
      <c r="AC20" s="65">
        <v>0</v>
      </c>
      <c r="AD20" s="587">
        <v>0</v>
      </c>
      <c r="AE20" s="593">
        <v>0.25001279852336933</v>
      </c>
      <c r="AF20" s="591">
        <v>2000</v>
      </c>
      <c r="AG20" s="583">
        <v>292.9650036264714</v>
      </c>
      <c r="AH20" s="44"/>
    </row>
    <row r="21" spans="1:34" x14ac:dyDescent="0.25">
      <c r="A21" s="429" t="s">
        <v>1183</v>
      </c>
      <c r="B21" s="430"/>
      <c r="C21" s="446"/>
      <c r="D21" s="431"/>
      <c r="E21" s="431"/>
      <c r="F21" s="431"/>
      <c r="G21" s="431"/>
      <c r="H21" s="431"/>
      <c r="I21" s="431"/>
      <c r="J21" s="431"/>
      <c r="K21" s="431"/>
      <c r="L21" s="432"/>
      <c r="M21" s="34"/>
      <c r="N21" s="86" t="s">
        <v>1244</v>
      </c>
      <c r="O21" s="272"/>
      <c r="P21" s="278">
        <v>130</v>
      </c>
      <c r="U21" s="550">
        <v>0.29166666666666702</v>
      </c>
      <c r="V21" s="554">
        <v>0.17279999999999998</v>
      </c>
      <c r="W21" s="64">
        <v>0.1926616177731002</v>
      </c>
      <c r="X21" s="554">
        <v>0.13631999999999994</v>
      </c>
      <c r="Y21" s="64">
        <v>20.772621861887671</v>
      </c>
      <c r="Z21" s="558">
        <v>0.28728000000000004</v>
      </c>
      <c r="AA21" s="64">
        <v>0</v>
      </c>
      <c r="AB21" s="64">
        <v>0.28728000000000004</v>
      </c>
      <c r="AC21" s="64">
        <v>0</v>
      </c>
      <c r="AD21" s="588">
        <v>0</v>
      </c>
      <c r="AE21" s="592">
        <v>0.25001279861382236</v>
      </c>
      <c r="AF21" s="590">
        <v>2000</v>
      </c>
      <c r="AG21" s="584">
        <v>292.96419754653493</v>
      </c>
      <c r="AH21" s="44"/>
    </row>
    <row r="22" spans="1:34" x14ac:dyDescent="0.25">
      <c r="A22" s="433" t="s">
        <v>1191</v>
      </c>
      <c r="B22" s="434"/>
      <c r="C22" s="514"/>
      <c r="D22" s="515"/>
      <c r="E22" s="515"/>
      <c r="F22" s="515"/>
      <c r="G22" s="515"/>
      <c r="H22" s="515"/>
      <c r="I22" s="515"/>
      <c r="J22" s="515"/>
      <c r="K22" s="515"/>
      <c r="L22" s="516"/>
      <c r="M22" s="34"/>
      <c r="N22" s="85" t="s">
        <v>1245</v>
      </c>
      <c r="O22" s="273"/>
      <c r="P22" s="279">
        <v>150</v>
      </c>
      <c r="U22" s="549">
        <v>0.3125</v>
      </c>
      <c r="V22" s="553">
        <v>0.17279999999999998</v>
      </c>
      <c r="W22" s="65">
        <v>0.18791223831634399</v>
      </c>
      <c r="X22" s="553">
        <v>0.13631999999999994</v>
      </c>
      <c r="Y22" s="65">
        <v>20.76736400796494</v>
      </c>
      <c r="Z22" s="557">
        <v>0.28728000000000004</v>
      </c>
      <c r="AA22" s="65">
        <v>0</v>
      </c>
      <c r="AB22" s="65">
        <v>0.28728000000000004</v>
      </c>
      <c r="AC22" s="65">
        <v>0</v>
      </c>
      <c r="AD22" s="587">
        <v>0</v>
      </c>
      <c r="AE22" s="593">
        <v>0.2500127987042754</v>
      </c>
      <c r="AF22" s="591">
        <v>2000</v>
      </c>
      <c r="AG22" s="583">
        <v>292.96339146659852</v>
      </c>
      <c r="AH22" s="44"/>
    </row>
    <row r="23" spans="1:34" ht="15.75" thickBot="1" x14ac:dyDescent="0.3">
      <c r="A23" s="435" t="s">
        <v>1638</v>
      </c>
      <c r="B23" s="441"/>
      <c r="C23" s="517"/>
      <c r="D23" s="518"/>
      <c r="E23" s="518"/>
      <c r="F23" s="518"/>
      <c r="G23" s="518"/>
      <c r="H23" s="518"/>
      <c r="I23" s="518"/>
      <c r="J23" s="518"/>
      <c r="K23" s="518"/>
      <c r="L23" s="519"/>
      <c r="M23" s="34"/>
      <c r="N23" s="86" t="s">
        <v>1246</v>
      </c>
      <c r="O23" s="272"/>
      <c r="P23" s="278">
        <v>200</v>
      </c>
      <c r="U23" s="550">
        <v>0.33333333333333298</v>
      </c>
      <c r="V23" s="554">
        <v>0.17279999999999998</v>
      </c>
      <c r="W23" s="64">
        <v>0.1831628849922193</v>
      </c>
      <c r="X23" s="554">
        <v>0.13631999999999994</v>
      </c>
      <c r="Y23" s="64">
        <v>20.762106182661338</v>
      </c>
      <c r="Z23" s="558">
        <v>0.28728000000000004</v>
      </c>
      <c r="AA23" s="64">
        <v>0</v>
      </c>
      <c r="AB23" s="64">
        <v>0.28728000000000004</v>
      </c>
      <c r="AC23" s="64">
        <v>0</v>
      </c>
      <c r="AD23" s="588">
        <v>0</v>
      </c>
      <c r="AE23" s="592">
        <v>0.25001279879473132</v>
      </c>
      <c r="AF23" s="590">
        <v>2000</v>
      </c>
      <c r="AG23" s="584">
        <v>292.96258538666206</v>
      </c>
      <c r="AH23" s="44"/>
    </row>
    <row r="24" spans="1:34" x14ac:dyDescent="0.25">
      <c r="A24" s="447" t="s">
        <v>1606</v>
      </c>
      <c r="B24" s="448"/>
      <c r="C24" s="449"/>
      <c r="D24" s="450"/>
      <c r="E24" s="450"/>
      <c r="F24" s="450"/>
      <c r="G24" s="450"/>
      <c r="H24" s="450"/>
      <c r="I24" s="450"/>
      <c r="J24" s="450"/>
      <c r="K24" s="450"/>
      <c r="L24" s="451"/>
      <c r="M24" s="34"/>
      <c r="N24" s="85" t="s">
        <v>1247</v>
      </c>
      <c r="O24" s="273"/>
      <c r="P24" s="279">
        <v>170</v>
      </c>
      <c r="U24" s="549">
        <v>0.35416666666666702</v>
      </c>
      <c r="V24" s="553">
        <v>0.17279999999999998</v>
      </c>
      <c r="W24" s="65">
        <v>0.17841355780072621</v>
      </c>
      <c r="X24" s="553">
        <v>0.13631999999999994</v>
      </c>
      <c r="Y24" s="65">
        <v>20.756848385976866</v>
      </c>
      <c r="Z24" s="557">
        <v>0.28728000000000004</v>
      </c>
      <c r="AA24" s="65">
        <v>0</v>
      </c>
      <c r="AB24" s="65">
        <v>0.28728000000000004</v>
      </c>
      <c r="AC24" s="65">
        <v>0</v>
      </c>
      <c r="AD24" s="587">
        <v>0</v>
      </c>
      <c r="AE24" s="593">
        <v>0.25001279888518713</v>
      </c>
      <c r="AF24" s="591">
        <v>2000</v>
      </c>
      <c r="AG24" s="583">
        <v>292.96177930672559</v>
      </c>
      <c r="AH24" s="44"/>
    </row>
    <row r="25" spans="1:34" x14ac:dyDescent="0.25">
      <c r="A25" s="436" t="s">
        <v>1191</v>
      </c>
      <c r="B25" s="437"/>
      <c r="C25" s="576"/>
      <c r="D25" s="577"/>
      <c r="E25" s="577"/>
      <c r="F25" s="577"/>
      <c r="G25" s="577"/>
      <c r="H25" s="577"/>
      <c r="I25" s="577"/>
      <c r="J25" s="577"/>
      <c r="K25" s="577"/>
      <c r="L25" s="578"/>
      <c r="M25" s="34"/>
      <c r="N25" s="86" t="s">
        <v>1248</v>
      </c>
      <c r="O25" s="272"/>
      <c r="P25" s="278">
        <v>660</v>
      </c>
      <c r="U25" s="550">
        <v>0.375</v>
      </c>
      <c r="V25" s="554">
        <v>0.17279999999999998</v>
      </c>
      <c r="W25" s="64">
        <v>0.17366425674186473</v>
      </c>
      <c r="X25" s="554">
        <v>0.13631999999999994</v>
      </c>
      <c r="Y25" s="64">
        <v>20.751590617911532</v>
      </c>
      <c r="Z25" s="558">
        <v>0.28728000000000004</v>
      </c>
      <c r="AA25" s="64">
        <v>0</v>
      </c>
      <c r="AB25" s="64">
        <v>0.28728000000000004</v>
      </c>
      <c r="AC25" s="64">
        <v>0</v>
      </c>
      <c r="AD25" s="588">
        <v>0</v>
      </c>
      <c r="AE25" s="592">
        <v>0.2500127989756431</v>
      </c>
      <c r="AF25" s="590">
        <v>2000</v>
      </c>
      <c r="AG25" s="584">
        <v>292.96097322678918</v>
      </c>
      <c r="AH25" s="44"/>
    </row>
    <row r="26" spans="1:34" ht="15.75" thickBot="1" x14ac:dyDescent="0.3">
      <c r="A26" s="438" t="s">
        <v>1638</v>
      </c>
      <c r="B26" s="442"/>
      <c r="C26" s="579"/>
      <c r="D26" s="580"/>
      <c r="E26" s="580"/>
      <c r="F26" s="580"/>
      <c r="G26" s="580"/>
      <c r="H26" s="580"/>
      <c r="I26" s="580"/>
      <c r="J26" s="580"/>
      <c r="K26" s="580"/>
      <c r="L26" s="581"/>
      <c r="M26" s="34"/>
      <c r="N26" s="85" t="s">
        <v>840</v>
      </c>
      <c r="O26" s="273"/>
      <c r="P26" s="279"/>
      <c r="U26" s="549">
        <v>0.39583333333333298</v>
      </c>
      <c r="V26" s="553">
        <v>1.1963999999999999</v>
      </c>
      <c r="W26" s="65">
        <v>0.16891498181563475</v>
      </c>
      <c r="X26" s="553">
        <v>0.94560000000000011</v>
      </c>
      <c r="Y26" s="65">
        <v>20.746332878465328</v>
      </c>
      <c r="Z26" s="557">
        <v>2.1607200000000004</v>
      </c>
      <c r="AA26" s="65">
        <v>0</v>
      </c>
      <c r="AB26" s="65">
        <v>2.1607200000000004</v>
      </c>
      <c r="AC26" s="65">
        <v>0</v>
      </c>
      <c r="AD26" s="587">
        <v>0</v>
      </c>
      <c r="AE26" s="593">
        <v>0.25001279906610163</v>
      </c>
      <c r="AF26" s="591">
        <v>8234</v>
      </c>
      <c r="AG26" s="583">
        <v>292.96016714685271</v>
      </c>
      <c r="AH26" s="44"/>
    </row>
    <row r="27" spans="1:34" ht="15.75" thickBot="1" x14ac:dyDescent="0.3">
      <c r="A27" s="463" t="s">
        <v>1184</v>
      </c>
      <c r="B27" s="464"/>
      <c r="C27" s="465"/>
      <c r="D27" s="466"/>
      <c r="E27" s="466"/>
      <c r="F27" s="466"/>
      <c r="G27" s="466"/>
      <c r="H27" s="466"/>
      <c r="I27" s="466"/>
      <c r="J27" s="466"/>
      <c r="K27" s="466"/>
      <c r="L27" s="467"/>
      <c r="M27" s="34"/>
      <c r="N27" s="195" t="s">
        <v>1</v>
      </c>
      <c r="O27" s="280"/>
      <c r="P27" s="281"/>
      <c r="Q27" s="27"/>
      <c r="R27" s="303"/>
      <c r="U27" s="550">
        <v>0.41666666666666702</v>
      </c>
      <c r="V27" s="554">
        <v>0.17279999999999998</v>
      </c>
      <c r="W27" s="64">
        <v>0.39080688675149217</v>
      </c>
      <c r="X27" s="554">
        <v>0.13631999999999994</v>
      </c>
      <c r="Y27" s="64">
        <v>20.988985730891287</v>
      </c>
      <c r="Z27" s="558">
        <v>1.1296800000000002</v>
      </c>
      <c r="AA27" s="64">
        <v>0</v>
      </c>
      <c r="AB27" s="64">
        <v>1.5296800000000004</v>
      </c>
      <c r="AC27" s="64">
        <v>0.40000000000000008</v>
      </c>
      <c r="AD27" s="588">
        <v>1.5516899999999998</v>
      </c>
      <c r="AE27" s="592">
        <v>0.74904450715857407</v>
      </c>
      <c r="AF27" s="590">
        <v>4699</v>
      </c>
      <c r="AG27" s="584">
        <v>292.98024099346918</v>
      </c>
      <c r="AH27" s="44"/>
    </row>
    <row r="28" spans="1:34" ht="15.75" thickBot="1" x14ac:dyDescent="0.3">
      <c r="A28" s="468" t="s">
        <v>1191</v>
      </c>
      <c r="B28" s="469"/>
      <c r="C28" s="520"/>
      <c r="D28" s="521"/>
      <c r="E28" s="521"/>
      <c r="F28" s="521"/>
      <c r="G28" s="521"/>
      <c r="H28" s="521"/>
      <c r="I28" s="521"/>
      <c r="J28" s="521"/>
      <c r="K28" s="521"/>
      <c r="L28" s="522"/>
      <c r="M28" s="34"/>
      <c r="O28" s="534"/>
      <c r="P28" s="244"/>
      <c r="U28" s="549">
        <v>0.4375</v>
      </c>
      <c r="V28" s="553">
        <v>0.17279999999999998</v>
      </c>
      <c r="W28" s="65">
        <v>0.38606861394931252</v>
      </c>
      <c r="X28" s="553">
        <v>0.13631999999999994</v>
      </c>
      <c r="Y28" s="65">
        <v>20.984374456433077</v>
      </c>
      <c r="Z28" s="557">
        <v>1.1296800000000002</v>
      </c>
      <c r="AA28" s="65">
        <v>0</v>
      </c>
      <c r="AB28" s="65">
        <v>1.5296800000000004</v>
      </c>
      <c r="AC28" s="65">
        <v>0.40000000000000008</v>
      </c>
      <c r="AD28" s="587">
        <v>1.5516899999999998</v>
      </c>
      <c r="AE28" s="593">
        <v>0.74960797916592925</v>
      </c>
      <c r="AF28" s="591">
        <v>4699</v>
      </c>
      <c r="AG28" s="583">
        <v>292.98847484323539</v>
      </c>
      <c r="AH28" s="44"/>
    </row>
    <row r="29" spans="1:34" ht="15.75" thickBot="1" x14ac:dyDescent="0.3">
      <c r="A29" s="470" t="s">
        <v>1639</v>
      </c>
      <c r="B29" s="471"/>
      <c r="C29" s="523"/>
      <c r="D29" s="524"/>
      <c r="E29" s="524"/>
      <c r="F29" s="524"/>
      <c r="G29" s="524"/>
      <c r="H29" s="524"/>
      <c r="I29" s="524"/>
      <c r="J29" s="524"/>
      <c r="K29" s="524"/>
      <c r="L29" s="525"/>
      <c r="M29" s="34"/>
      <c r="N29" s="531" t="s">
        <v>1239</v>
      </c>
      <c r="O29" s="562"/>
      <c r="P29" s="563"/>
      <c r="U29" s="550">
        <v>0.45833333333333298</v>
      </c>
      <c r="V29" s="554">
        <v>0.17279999999999998</v>
      </c>
      <c r="W29" s="64">
        <v>0.3813300742106262</v>
      </c>
      <c r="X29" s="554">
        <v>0.13631999999999994</v>
      </c>
      <c r="Y29" s="64">
        <v>20.979762889639552</v>
      </c>
      <c r="Z29" s="558">
        <v>0.28728000000000004</v>
      </c>
      <c r="AA29" s="64">
        <v>0</v>
      </c>
      <c r="AB29" s="64">
        <v>0.68728000000000011</v>
      </c>
      <c r="AC29" s="64">
        <v>0.40000000000000008</v>
      </c>
      <c r="AD29" s="588">
        <v>2.783093333333333</v>
      </c>
      <c r="AE29" s="592">
        <v>0.74960800745446943</v>
      </c>
      <c r="AF29" s="590">
        <v>2000</v>
      </c>
      <c r="AG29" s="584">
        <v>292.99670869300161</v>
      </c>
      <c r="AH29" s="44"/>
    </row>
    <row r="30" spans="1:34" ht="15.75" thickBot="1" x14ac:dyDescent="0.3">
      <c r="A30" s="472" t="s">
        <v>1608</v>
      </c>
      <c r="B30" s="473"/>
      <c r="C30" s="479"/>
      <c r="D30" s="459"/>
      <c r="E30" s="459"/>
      <c r="F30" s="459"/>
      <c r="G30" s="459"/>
      <c r="H30" s="459"/>
      <c r="I30" s="459"/>
      <c r="J30" s="459"/>
      <c r="K30" s="459"/>
      <c r="L30" s="460"/>
      <c r="M30" s="34"/>
      <c r="N30" s="560"/>
      <c r="O30" s="561"/>
      <c r="P30" s="564"/>
      <c r="Q30" s="244"/>
      <c r="U30" s="549">
        <v>0.47916666666666702</v>
      </c>
      <c r="V30" s="553">
        <v>0.17279999999999998</v>
      </c>
      <c r="W30" s="65">
        <v>0.37657964876014688</v>
      </c>
      <c r="X30" s="553">
        <v>0.13631999999999994</v>
      </c>
      <c r="Y30" s="65">
        <v>20.974503895042027</v>
      </c>
      <c r="Z30" s="557">
        <v>0.28728000000000004</v>
      </c>
      <c r="AA30" s="65">
        <v>0</v>
      </c>
      <c r="AB30" s="65">
        <v>0.68728000000000011</v>
      </c>
      <c r="AC30" s="65">
        <v>0.40000000000000008</v>
      </c>
      <c r="AD30" s="587">
        <v>2.783093333333333</v>
      </c>
      <c r="AE30" s="593">
        <v>0.25001279505681073</v>
      </c>
      <c r="AF30" s="591">
        <v>2000</v>
      </c>
      <c r="AG30" s="583">
        <v>292.99590261306514</v>
      </c>
      <c r="AH30" s="44"/>
    </row>
    <row r="31" spans="1:34" x14ac:dyDescent="0.25">
      <c r="A31" s="474" t="s">
        <v>1191</v>
      </c>
      <c r="B31" s="475"/>
      <c r="C31" s="571"/>
      <c r="D31" s="570"/>
      <c r="E31" s="570"/>
      <c r="F31" s="570"/>
      <c r="G31" s="570"/>
      <c r="H31" s="570"/>
      <c r="I31" s="570"/>
      <c r="J31" s="570"/>
      <c r="K31" s="570"/>
      <c r="L31" s="572"/>
      <c r="M31" s="34"/>
      <c r="N31" s="608" t="s">
        <v>1631</v>
      </c>
      <c r="O31" s="388" t="s">
        <v>781</v>
      </c>
      <c r="P31" s="389">
        <v>0</v>
      </c>
      <c r="Q31" s="244"/>
      <c r="U31" s="550">
        <v>0.5</v>
      </c>
      <c r="V31" s="554">
        <v>0.17279999999999998</v>
      </c>
      <c r="W31" s="64">
        <v>0.37182924944229917</v>
      </c>
      <c r="X31" s="554">
        <v>0.13631999999999994</v>
      </c>
      <c r="Y31" s="64">
        <v>20.969244929063635</v>
      </c>
      <c r="Z31" s="558">
        <v>0.28728000000000004</v>
      </c>
      <c r="AA31" s="64">
        <v>0</v>
      </c>
      <c r="AB31" s="64">
        <v>0.28728000000000004</v>
      </c>
      <c r="AC31" s="64">
        <v>0</v>
      </c>
      <c r="AD31" s="588">
        <v>0</v>
      </c>
      <c r="AE31" s="592">
        <v>0.25001279514722691</v>
      </c>
      <c r="AF31" s="590">
        <v>2000</v>
      </c>
      <c r="AG31" s="584">
        <v>292.99509653312867</v>
      </c>
      <c r="AH31" s="44"/>
    </row>
    <row r="32" spans="1:34" ht="15.75" thickBot="1" x14ac:dyDescent="0.3">
      <c r="A32" s="476" t="s">
        <v>1641</v>
      </c>
      <c r="B32" s="477"/>
      <c r="C32" s="573"/>
      <c r="D32" s="574"/>
      <c r="E32" s="574"/>
      <c r="F32" s="574"/>
      <c r="G32" s="574"/>
      <c r="H32" s="574"/>
      <c r="I32" s="574"/>
      <c r="J32" s="574"/>
      <c r="K32" s="574"/>
      <c r="L32" s="575"/>
      <c r="M32" s="34"/>
      <c r="N32" s="616" t="s">
        <v>1632</v>
      </c>
      <c r="O32" s="194" t="s">
        <v>781</v>
      </c>
      <c r="P32" s="84">
        <v>0</v>
      </c>
      <c r="Q32" s="244"/>
      <c r="U32" s="549">
        <v>0.52083333333333304</v>
      </c>
      <c r="V32" s="553">
        <v>0.17279999999999998</v>
      </c>
      <c r="W32" s="65">
        <v>0.36707887625708302</v>
      </c>
      <c r="X32" s="553">
        <v>0.13631999999999994</v>
      </c>
      <c r="Y32" s="65">
        <v>20.963985991704373</v>
      </c>
      <c r="Z32" s="557">
        <v>0.28728000000000004</v>
      </c>
      <c r="AA32" s="65">
        <v>0</v>
      </c>
      <c r="AB32" s="65">
        <v>0.28728000000000004</v>
      </c>
      <c r="AC32" s="65">
        <v>0</v>
      </c>
      <c r="AD32" s="587">
        <v>0</v>
      </c>
      <c r="AE32" s="593">
        <v>0.25001279523764419</v>
      </c>
      <c r="AF32" s="591">
        <v>2000</v>
      </c>
      <c r="AG32" s="583">
        <v>292.99429045319221</v>
      </c>
      <c r="AH32" s="44"/>
    </row>
    <row r="33" spans="1:34" x14ac:dyDescent="0.25">
      <c r="A33" s="681" t="s">
        <v>1696</v>
      </c>
      <c r="B33" s="682"/>
      <c r="C33" s="683"/>
      <c r="D33" s="684"/>
      <c r="E33" s="684"/>
      <c r="F33" s="684"/>
      <c r="G33" s="684"/>
      <c r="H33" s="684"/>
      <c r="I33" s="684"/>
      <c r="J33" s="684"/>
      <c r="K33" s="684"/>
      <c r="L33" s="685"/>
      <c r="M33" s="34"/>
      <c r="N33" s="617" t="s">
        <v>1633</v>
      </c>
      <c r="O33" s="193" t="s">
        <v>781</v>
      </c>
      <c r="P33" s="83">
        <v>0</v>
      </c>
      <c r="Q33" s="244"/>
      <c r="U33" s="550">
        <v>0.54166666666666696</v>
      </c>
      <c r="V33" s="554">
        <v>0.17279999999999998</v>
      </c>
      <c r="W33" s="64">
        <v>0.36232852920449848</v>
      </c>
      <c r="X33" s="554">
        <v>0.13631999999999994</v>
      </c>
      <c r="Y33" s="64">
        <v>20.958727082964248</v>
      </c>
      <c r="Z33" s="558">
        <v>0.28728000000000004</v>
      </c>
      <c r="AA33" s="64">
        <v>0</v>
      </c>
      <c r="AB33" s="64">
        <v>0.28728000000000004</v>
      </c>
      <c r="AC33" s="64">
        <v>0</v>
      </c>
      <c r="AD33" s="588">
        <v>0</v>
      </c>
      <c r="AE33" s="592">
        <v>0.25001279532806142</v>
      </c>
      <c r="AF33" s="590">
        <v>2000</v>
      </c>
      <c r="AG33" s="584">
        <v>292.9934843732558</v>
      </c>
      <c r="AH33" s="44"/>
    </row>
    <row r="34" spans="1:34" x14ac:dyDescent="0.25">
      <c r="A34" s="686" t="s">
        <v>1191</v>
      </c>
      <c r="B34" s="687"/>
      <c r="C34" s="688"/>
      <c r="D34" s="689"/>
      <c r="E34" s="689"/>
      <c r="F34" s="689"/>
      <c r="G34" s="689"/>
      <c r="H34" s="689"/>
      <c r="I34" s="689"/>
      <c r="J34" s="689"/>
      <c r="K34" s="689"/>
      <c r="L34" s="690"/>
      <c r="M34" s="34"/>
      <c r="N34" s="616" t="s">
        <v>1634</v>
      </c>
      <c r="O34" s="194" t="s">
        <v>781</v>
      </c>
      <c r="P34" s="84">
        <v>0</v>
      </c>
      <c r="Q34" s="244"/>
      <c r="U34" s="549">
        <v>0.5625</v>
      </c>
      <c r="V34" s="553">
        <v>0.17279999999999998</v>
      </c>
      <c r="W34" s="65">
        <v>0.35757820828454551</v>
      </c>
      <c r="X34" s="553">
        <v>0.13631999999999994</v>
      </c>
      <c r="Y34" s="65">
        <v>20.953468202843251</v>
      </c>
      <c r="Z34" s="557">
        <v>0.28728000000000004</v>
      </c>
      <c r="AA34" s="65">
        <v>0</v>
      </c>
      <c r="AB34" s="65">
        <v>0.28728000000000004</v>
      </c>
      <c r="AC34" s="65">
        <v>0</v>
      </c>
      <c r="AD34" s="587">
        <v>0</v>
      </c>
      <c r="AE34" s="593">
        <v>0.25001279541848148</v>
      </c>
      <c r="AF34" s="591">
        <v>2000</v>
      </c>
      <c r="AG34" s="583">
        <v>292.99267829331933</v>
      </c>
      <c r="AH34" s="44"/>
    </row>
    <row r="35" spans="1:34" x14ac:dyDescent="0.25">
      <c r="A35" s="686" t="s">
        <v>1639</v>
      </c>
      <c r="B35" s="687"/>
      <c r="C35" s="696"/>
      <c r="D35" s="697"/>
      <c r="E35" s="697"/>
      <c r="F35" s="697"/>
      <c r="G35" s="697"/>
      <c r="H35" s="697"/>
      <c r="I35" s="697"/>
      <c r="J35" s="697"/>
      <c r="K35" s="697"/>
      <c r="L35" s="698"/>
      <c r="M35" s="34"/>
      <c r="N35" s="617" t="s">
        <v>1635</v>
      </c>
      <c r="O35" s="193" t="s">
        <v>781</v>
      </c>
      <c r="P35" s="83">
        <v>0</v>
      </c>
      <c r="Q35" s="244"/>
      <c r="U35" s="550">
        <v>0.58333333333333304</v>
      </c>
      <c r="V35" s="554">
        <v>0.17279999999999998</v>
      </c>
      <c r="W35" s="64">
        <v>0.35282791349722403</v>
      </c>
      <c r="X35" s="554">
        <v>0.13631999999999994</v>
      </c>
      <c r="Y35" s="64">
        <v>20.948209351341383</v>
      </c>
      <c r="Z35" s="558">
        <v>0.28728000000000004</v>
      </c>
      <c r="AA35" s="64">
        <v>0</v>
      </c>
      <c r="AB35" s="64">
        <v>0.28728000000000004</v>
      </c>
      <c r="AC35" s="64">
        <v>0</v>
      </c>
      <c r="AD35" s="588">
        <v>0</v>
      </c>
      <c r="AE35" s="592">
        <v>0.25001279550890154</v>
      </c>
      <c r="AF35" s="590">
        <v>2000</v>
      </c>
      <c r="AG35" s="584">
        <v>292.99187221338286</v>
      </c>
      <c r="AH35" s="44"/>
    </row>
    <row r="36" spans="1:34" ht="15.75" thickBot="1" x14ac:dyDescent="0.3">
      <c r="A36" s="691" t="s">
        <v>1641</v>
      </c>
      <c r="B36" s="692"/>
      <c r="C36" s="693"/>
      <c r="D36" s="694"/>
      <c r="E36" s="694"/>
      <c r="F36" s="694"/>
      <c r="G36" s="694"/>
      <c r="H36" s="694"/>
      <c r="I36" s="694"/>
      <c r="J36" s="694"/>
      <c r="K36" s="694"/>
      <c r="L36" s="695"/>
      <c r="M36" s="34"/>
      <c r="N36" s="616" t="s">
        <v>33</v>
      </c>
      <c r="O36" s="194" t="s">
        <v>781</v>
      </c>
      <c r="P36" s="84">
        <v>0</v>
      </c>
      <c r="Q36" s="244"/>
      <c r="U36" s="549">
        <v>0.60416666666666696</v>
      </c>
      <c r="V36" s="553">
        <v>1.1963999999999999</v>
      </c>
      <c r="W36" s="65">
        <v>0.34807764484253417</v>
      </c>
      <c r="X36" s="553">
        <v>0.94560000000000011</v>
      </c>
      <c r="Y36" s="65">
        <v>20.942950528458653</v>
      </c>
      <c r="Z36" s="557">
        <v>2.1607200000000004</v>
      </c>
      <c r="AA36" s="65">
        <v>0</v>
      </c>
      <c r="AB36" s="65">
        <v>2.1607200000000004</v>
      </c>
      <c r="AC36" s="65">
        <v>0</v>
      </c>
      <c r="AD36" s="587">
        <v>0</v>
      </c>
      <c r="AE36" s="593">
        <v>0.25001279559932266</v>
      </c>
      <c r="AF36" s="591">
        <v>8234</v>
      </c>
      <c r="AG36" s="583">
        <v>292.9910661334464</v>
      </c>
      <c r="AH36" s="44"/>
    </row>
    <row r="37" spans="1:34" x14ac:dyDescent="0.25">
      <c r="A37" s="708" t="s">
        <v>1717</v>
      </c>
      <c r="B37" s="709"/>
      <c r="C37" s="710"/>
      <c r="D37" s="711"/>
      <c r="E37" s="711"/>
      <c r="F37" s="711"/>
      <c r="G37" s="711"/>
      <c r="H37" s="711"/>
      <c r="I37" s="711"/>
      <c r="J37" s="711"/>
      <c r="K37" s="711"/>
      <c r="L37" s="712"/>
      <c r="M37" s="34"/>
      <c r="N37" s="617" t="s">
        <v>1616</v>
      </c>
      <c r="O37" s="193" t="s">
        <v>781</v>
      </c>
      <c r="P37" s="83">
        <v>0</v>
      </c>
      <c r="Q37" s="244"/>
      <c r="U37" s="549"/>
      <c r="V37" s="553">
        <v>0.17279999999999998</v>
      </c>
      <c r="W37" s="65">
        <v>0.57000522409776055</v>
      </c>
      <c r="X37" s="553">
        <v>0.13631999999999994</v>
      </c>
      <c r="Y37" s="65">
        <v>21.185642143247506</v>
      </c>
      <c r="Z37" s="557">
        <v>1.1296800000000002</v>
      </c>
      <c r="AA37" s="65">
        <v>0</v>
      </c>
      <c r="AB37" s="65">
        <v>1.5296800000000004</v>
      </c>
      <c r="AC37" s="65">
        <v>0.40000000000000008</v>
      </c>
      <c r="AD37" s="587">
        <v>1.5516899999999998</v>
      </c>
      <c r="AE37" s="593">
        <v>0.74904476578274171</v>
      </c>
      <c r="AF37" s="591">
        <v>4699</v>
      </c>
      <c r="AG37" s="583">
        <v>293.01113998006286</v>
      </c>
      <c r="AH37" s="44"/>
    </row>
    <row r="38" spans="1:34" x14ac:dyDescent="0.25">
      <c r="A38" s="708" t="s">
        <v>1191</v>
      </c>
      <c r="B38" s="709"/>
      <c r="C38" s="713"/>
      <c r="D38" s="503"/>
      <c r="E38" s="503"/>
      <c r="F38" s="503"/>
      <c r="G38" s="503"/>
      <c r="H38" s="503"/>
      <c r="I38" s="713"/>
      <c r="J38" s="503"/>
      <c r="K38" s="503"/>
      <c r="L38" s="504"/>
      <c r="M38" s="34"/>
      <c r="N38" s="616" t="s">
        <v>1224</v>
      </c>
      <c r="O38" s="194" t="s">
        <v>781</v>
      </c>
      <c r="P38" s="84">
        <v>0</v>
      </c>
      <c r="Q38" s="244"/>
      <c r="U38" s="549"/>
      <c r="V38" s="553">
        <v>0.17279999999999998</v>
      </c>
      <c r="W38" s="65">
        <v>0.5652714848920577</v>
      </c>
      <c r="X38" s="553">
        <v>0.13631999999999994</v>
      </c>
      <c r="Y38" s="65">
        <v>21.181035784269525</v>
      </c>
      <c r="Z38" s="557">
        <v>1.1296800000000002</v>
      </c>
      <c r="AA38" s="65">
        <v>0</v>
      </c>
      <c r="AB38" s="65">
        <v>1.5296800000000004</v>
      </c>
      <c r="AC38" s="65">
        <v>0.40000000000000008</v>
      </c>
      <c r="AD38" s="587">
        <v>1.5516899999999998</v>
      </c>
      <c r="AE38" s="593">
        <v>0.74960808530789946</v>
      </c>
      <c r="AF38" s="591">
        <v>4699</v>
      </c>
      <c r="AG38" s="583">
        <v>293.01937382982908</v>
      </c>
      <c r="AH38" s="44"/>
    </row>
    <row r="39" spans="1:34" ht="15.75" thickBot="1" x14ac:dyDescent="0.3">
      <c r="A39" s="708" t="s">
        <v>1718</v>
      </c>
      <c r="B39" s="709"/>
      <c r="C39" s="710"/>
      <c r="D39" s="711"/>
      <c r="E39" s="711"/>
      <c r="F39" s="711"/>
      <c r="G39" s="711"/>
      <c r="H39" s="711"/>
      <c r="I39" s="711"/>
      <c r="J39" s="711"/>
      <c r="K39" s="711"/>
      <c r="L39" s="712"/>
      <c r="M39" s="34"/>
      <c r="N39" s="617" t="s">
        <v>1225</v>
      </c>
      <c r="O39" s="193" t="s">
        <v>781</v>
      </c>
      <c r="P39" s="83">
        <v>0</v>
      </c>
      <c r="Q39" s="244"/>
      <c r="U39" s="549"/>
      <c r="V39" s="553">
        <v>0.17279999999999998</v>
      </c>
      <c r="W39" s="65">
        <v>0.56053747874984816</v>
      </c>
      <c r="X39" s="553">
        <v>0.13631999999999994</v>
      </c>
      <c r="Y39" s="65">
        <v>21.17642913295623</v>
      </c>
      <c r="Z39" s="557">
        <v>0.28728000000000004</v>
      </c>
      <c r="AA39" s="65">
        <v>0</v>
      </c>
      <c r="AB39" s="65">
        <v>0.28728000000000004</v>
      </c>
      <c r="AC39" s="65">
        <v>0</v>
      </c>
      <c r="AD39" s="587">
        <v>0</v>
      </c>
      <c r="AE39" s="593">
        <v>0.74960811358495327</v>
      </c>
      <c r="AF39" s="591">
        <v>2000</v>
      </c>
      <c r="AG39" s="583">
        <v>293.02760767959529</v>
      </c>
      <c r="AH39" s="44"/>
    </row>
    <row r="40" spans="1:34" x14ac:dyDescent="0.25">
      <c r="A40" s="461" t="s">
        <v>1610</v>
      </c>
      <c r="B40" s="462"/>
      <c r="C40" s="483"/>
      <c r="D40" s="484"/>
      <c r="E40" s="484"/>
      <c r="F40" s="484"/>
      <c r="G40" s="484"/>
      <c r="H40" s="484"/>
      <c r="I40" s="484"/>
      <c r="J40" s="484"/>
      <c r="K40" s="484"/>
      <c r="L40" s="485"/>
      <c r="M40" s="34"/>
      <c r="N40" s="618" t="s">
        <v>1620</v>
      </c>
      <c r="O40" s="610" t="s">
        <v>781</v>
      </c>
      <c r="P40" s="611">
        <v>0</v>
      </c>
      <c r="Q40" s="68"/>
      <c r="R40" s="68"/>
      <c r="S40" s="68"/>
      <c r="U40" s="549">
        <v>0.625</v>
      </c>
      <c r="V40" s="553">
        <v>0.17279999999999998</v>
      </c>
      <c r="W40" s="65">
        <v>0.55578605957090899</v>
      </c>
      <c r="X40" s="553">
        <v>0.13631999999999994</v>
      </c>
      <c r="Y40" s="65">
        <v>21.171169054922178</v>
      </c>
      <c r="Z40" s="557">
        <v>0.28728000000000004</v>
      </c>
      <c r="AA40" s="65">
        <v>0</v>
      </c>
      <c r="AB40" s="65">
        <v>0.28728000000000004</v>
      </c>
      <c r="AC40" s="65">
        <v>0</v>
      </c>
      <c r="AD40" s="587">
        <v>0</v>
      </c>
      <c r="AE40" s="593">
        <v>0.25001279159166023</v>
      </c>
      <c r="AF40" s="591">
        <v>2000</v>
      </c>
      <c r="AG40" s="583">
        <v>293.02680159965882</v>
      </c>
      <c r="AH40" s="44"/>
    </row>
    <row r="41" spans="1:34" x14ac:dyDescent="0.25">
      <c r="A41" s="872" t="s">
        <v>1609</v>
      </c>
      <c r="B41" s="873"/>
      <c r="C41" s="401"/>
      <c r="D41" s="245"/>
      <c r="E41" s="245"/>
      <c r="F41" s="245"/>
      <c r="G41" s="245"/>
      <c r="H41" s="245"/>
      <c r="I41" s="245"/>
      <c r="J41" s="245"/>
      <c r="K41" s="245"/>
      <c r="L41" s="400"/>
      <c r="M41" s="34"/>
      <c r="N41" s="617" t="s">
        <v>1208</v>
      </c>
      <c r="O41" s="193" t="s">
        <v>781</v>
      </c>
      <c r="P41" s="83">
        <v>0</v>
      </c>
      <c r="Q41" s="68"/>
      <c r="R41" s="68"/>
      <c r="S41" s="68"/>
      <c r="U41" s="549">
        <v>0.64583333333333304</v>
      </c>
      <c r="V41" s="553">
        <v>0.17279999999999998</v>
      </c>
      <c r="W41" s="65">
        <v>0.55103466652460142</v>
      </c>
      <c r="X41" s="553">
        <v>0.13631999999999994</v>
      </c>
      <c r="Y41" s="65">
        <v>21.165909005507263</v>
      </c>
      <c r="Z41" s="557">
        <v>0.28728000000000004</v>
      </c>
      <c r="AA41" s="65">
        <v>0</v>
      </c>
      <c r="AB41" s="65">
        <v>0.68728000000000011</v>
      </c>
      <c r="AC41" s="65">
        <v>0.40000000000000008</v>
      </c>
      <c r="AD41" s="587">
        <v>2.783093333333333</v>
      </c>
      <c r="AE41" s="593">
        <v>0.25001279168203888</v>
      </c>
      <c r="AF41" s="591">
        <v>2000</v>
      </c>
      <c r="AG41" s="583">
        <v>293.02599551972241</v>
      </c>
      <c r="AH41" s="44"/>
    </row>
    <row r="42" spans="1:34" ht="15.75" thickBot="1" x14ac:dyDescent="0.3">
      <c r="A42" s="874" t="s">
        <v>1614</v>
      </c>
      <c r="B42" s="875"/>
      <c r="C42" s="480"/>
      <c r="D42" s="481"/>
      <c r="E42" s="481"/>
      <c r="F42" s="481"/>
      <c r="G42" s="481"/>
      <c r="H42" s="481"/>
      <c r="I42" s="481"/>
      <c r="J42" s="481"/>
      <c r="K42" s="481"/>
      <c r="L42" s="482"/>
      <c r="M42" s="34"/>
      <c r="N42" s="619" t="s">
        <v>1697</v>
      </c>
      <c r="O42" s="615" t="s">
        <v>781</v>
      </c>
      <c r="P42" s="625">
        <v>0</v>
      </c>
      <c r="Q42" s="68"/>
      <c r="R42" s="68"/>
      <c r="S42" s="68"/>
      <c r="U42" s="550">
        <v>0.66666666666666696</v>
      </c>
      <c r="V42" s="554">
        <v>0.17279999999999998</v>
      </c>
      <c r="W42" s="64">
        <v>0.54628329961092537</v>
      </c>
      <c r="X42" s="554">
        <v>0.13631999999999994</v>
      </c>
      <c r="Y42" s="64">
        <v>21.160648984711475</v>
      </c>
      <c r="Z42" s="558">
        <v>0.28728000000000004</v>
      </c>
      <c r="AA42" s="64">
        <v>0</v>
      </c>
      <c r="AB42" s="64">
        <v>0.68728000000000011</v>
      </c>
      <c r="AC42" s="64">
        <v>0.40000000000000008</v>
      </c>
      <c r="AD42" s="588">
        <v>2.783093333333333</v>
      </c>
      <c r="AE42" s="592">
        <v>0.25001279177242036</v>
      </c>
      <c r="AF42" s="590">
        <v>2000</v>
      </c>
      <c r="AG42" s="584">
        <v>293.02518943978595</v>
      </c>
      <c r="AH42" s="44"/>
    </row>
    <row r="43" spans="1:34" x14ac:dyDescent="0.25">
      <c r="A43" s="461" t="s">
        <v>1603</v>
      </c>
      <c r="B43" s="462"/>
      <c r="C43" s="483"/>
      <c r="D43" s="484"/>
      <c r="E43" s="484"/>
      <c r="F43" s="484"/>
      <c r="G43" s="484"/>
      <c r="H43" s="484"/>
      <c r="I43" s="484"/>
      <c r="J43" s="484"/>
      <c r="K43" s="484"/>
      <c r="L43" s="485"/>
      <c r="M43" s="34"/>
      <c r="N43" s="617" t="s">
        <v>1705</v>
      </c>
      <c r="O43" s="193" t="s">
        <v>781</v>
      </c>
      <c r="P43" s="83">
        <v>0</v>
      </c>
      <c r="Q43" s="68"/>
      <c r="R43" s="68"/>
      <c r="S43" s="68"/>
      <c r="U43" s="549">
        <v>0.6875</v>
      </c>
      <c r="V43" s="553">
        <v>0.17279999999999998</v>
      </c>
      <c r="W43" s="65">
        <v>0.54153195882988081</v>
      </c>
      <c r="X43" s="553">
        <v>0.13631999999999994</v>
      </c>
      <c r="Y43" s="65">
        <v>21.155388992534817</v>
      </c>
      <c r="Z43" s="557">
        <v>0.28728000000000004</v>
      </c>
      <c r="AA43" s="65">
        <v>0</v>
      </c>
      <c r="AB43" s="65">
        <v>0.28728000000000004</v>
      </c>
      <c r="AC43" s="65">
        <v>0</v>
      </c>
      <c r="AD43" s="587">
        <v>0</v>
      </c>
      <c r="AE43" s="593">
        <v>0.25001279186280173</v>
      </c>
      <c r="AF43" s="591">
        <v>2000</v>
      </c>
      <c r="AG43" s="583">
        <v>293.02438335984948</v>
      </c>
      <c r="AH43" s="44"/>
    </row>
    <row r="44" spans="1:34" ht="15.75" thickBot="1" x14ac:dyDescent="0.3">
      <c r="A44" s="99" t="s">
        <v>1604</v>
      </c>
      <c r="B44" s="397"/>
      <c r="C44" s="486"/>
      <c r="D44" s="487"/>
      <c r="E44" s="487"/>
      <c r="F44" s="487"/>
      <c r="G44" s="487"/>
      <c r="H44" s="487"/>
      <c r="I44" s="487"/>
      <c r="J44" s="487"/>
      <c r="K44" s="487"/>
      <c r="L44" s="452"/>
      <c r="M44" s="34"/>
      <c r="N44" s="619" t="s">
        <v>1706</v>
      </c>
      <c r="O44" s="615" t="s">
        <v>781</v>
      </c>
      <c r="P44" s="625">
        <v>0</v>
      </c>
      <c r="Q44" s="68"/>
      <c r="R44" s="68"/>
      <c r="S44" s="68"/>
      <c r="U44" s="550">
        <v>0.70833333333333304</v>
      </c>
      <c r="V44" s="554">
        <v>0.17279999999999998</v>
      </c>
      <c r="W44" s="64">
        <v>0.53678064418146787</v>
      </c>
      <c r="X44" s="554">
        <v>0.13631999999999994</v>
      </c>
      <c r="Y44" s="64">
        <v>21.150129028977293</v>
      </c>
      <c r="Z44" s="558">
        <v>0.28728000000000004</v>
      </c>
      <c r="AA44" s="64">
        <v>0</v>
      </c>
      <c r="AB44" s="64">
        <v>0.28728000000000004</v>
      </c>
      <c r="AC44" s="64">
        <v>0</v>
      </c>
      <c r="AD44" s="588">
        <v>0</v>
      </c>
      <c r="AE44" s="592">
        <v>0.25001279195318415</v>
      </c>
      <c r="AF44" s="590">
        <v>2000</v>
      </c>
      <c r="AG44" s="584">
        <v>293.02357727991301</v>
      </c>
      <c r="AH44" s="44"/>
    </row>
    <row r="45" spans="1:34" x14ac:dyDescent="0.25">
      <c r="A45" s="409" t="s">
        <v>1253</v>
      </c>
      <c r="B45" s="630" t="s">
        <v>781</v>
      </c>
      <c r="C45" s="666"/>
      <c r="D45" s="667"/>
      <c r="E45" s="667"/>
      <c r="F45" s="667"/>
      <c r="G45" s="667"/>
      <c r="H45" s="667"/>
      <c r="I45" s="667"/>
      <c r="J45" s="667"/>
      <c r="K45" s="667"/>
      <c r="L45" s="668"/>
      <c r="M45" s="34"/>
      <c r="N45" s="617" t="s">
        <v>1720</v>
      </c>
      <c r="O45" s="193" t="s">
        <v>781</v>
      </c>
      <c r="P45" s="83">
        <v>500</v>
      </c>
      <c r="Q45" s="68"/>
      <c r="R45" s="68"/>
      <c r="S45" s="68"/>
      <c r="U45" s="549">
        <v>0.72916666666666696</v>
      </c>
      <c r="V45" s="553">
        <v>0.17279999999999998</v>
      </c>
      <c r="W45" s="65">
        <v>0.53202935566568665</v>
      </c>
      <c r="X45" s="553">
        <v>0.13631999999999994</v>
      </c>
      <c r="Y45" s="65">
        <v>21.144869094038906</v>
      </c>
      <c r="Z45" s="557">
        <v>0.28728000000000004</v>
      </c>
      <c r="AA45" s="65">
        <v>0</v>
      </c>
      <c r="AB45" s="65">
        <v>0.28728000000000004</v>
      </c>
      <c r="AC45" s="65">
        <v>0</v>
      </c>
      <c r="AD45" s="587">
        <v>0</v>
      </c>
      <c r="AE45" s="593">
        <v>0.25001279204356663</v>
      </c>
      <c r="AF45" s="591">
        <v>2000</v>
      </c>
      <c r="AG45" s="583">
        <v>293.0227711999766</v>
      </c>
      <c r="AH45" s="44"/>
    </row>
    <row r="46" spans="1:34" ht="15.75" thickBot="1" x14ac:dyDescent="0.3">
      <c r="A46" s="401" t="s">
        <v>1657</v>
      </c>
      <c r="B46" s="539" t="s">
        <v>1227</v>
      </c>
      <c r="C46" s="660"/>
      <c r="D46" s="661"/>
      <c r="E46" s="661"/>
      <c r="F46" s="661"/>
      <c r="G46" s="661"/>
      <c r="H46" s="661"/>
      <c r="I46" s="661"/>
      <c r="J46" s="661"/>
      <c r="K46" s="661"/>
      <c r="L46" s="662"/>
      <c r="M46" s="34"/>
      <c r="N46" s="705" t="s">
        <v>1621</v>
      </c>
      <c r="O46" s="706" t="s">
        <v>781</v>
      </c>
      <c r="P46" s="707">
        <v>0</v>
      </c>
      <c r="Q46" s="68"/>
      <c r="R46" s="68"/>
      <c r="S46" s="68"/>
      <c r="U46" s="550">
        <v>0.75</v>
      </c>
      <c r="V46" s="554">
        <v>0.17279999999999998</v>
      </c>
      <c r="W46" s="64">
        <v>0.52727809328253683</v>
      </c>
      <c r="X46" s="554">
        <v>0.13631999999999994</v>
      </c>
      <c r="Y46" s="64">
        <v>21.139609187719646</v>
      </c>
      <c r="Z46" s="558">
        <v>0.28728000000000004</v>
      </c>
      <c r="AA46" s="64">
        <v>0</v>
      </c>
      <c r="AB46" s="64">
        <v>0.28728000000000004</v>
      </c>
      <c r="AC46" s="64">
        <v>0</v>
      </c>
      <c r="AD46" s="588">
        <v>0</v>
      </c>
      <c r="AE46" s="592">
        <v>0.25001279213395178</v>
      </c>
      <c r="AF46" s="590">
        <v>2000</v>
      </c>
      <c r="AG46" s="584">
        <v>293.02196512004014</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0.17279999999999998</v>
      </c>
      <c r="W47" s="65">
        <v>0.52252685703201862</v>
      </c>
      <c r="X47" s="553">
        <v>0.13631999999999994</v>
      </c>
      <c r="Y47" s="65">
        <v>21.134349310019516</v>
      </c>
      <c r="Z47" s="557">
        <v>0.28728000000000004</v>
      </c>
      <c r="AA47" s="65">
        <v>2.1333333333333337</v>
      </c>
      <c r="AB47" s="65">
        <v>0.28728000000000004</v>
      </c>
      <c r="AC47" s="65">
        <v>0</v>
      </c>
      <c r="AD47" s="587">
        <v>0</v>
      </c>
      <c r="AE47" s="593">
        <v>0.25001279222433698</v>
      </c>
      <c r="AF47" s="591">
        <v>2000</v>
      </c>
      <c r="AG47" s="583">
        <v>293.02115904010367</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0.17279999999999998</v>
      </c>
      <c r="W48" s="64">
        <v>0.51777564691413192</v>
      </c>
      <c r="X48" s="554">
        <v>0.13631999999999994</v>
      </c>
      <c r="Y48" s="64">
        <v>21.12908946093852</v>
      </c>
      <c r="Z48" s="558">
        <v>0.28728000000000004</v>
      </c>
      <c r="AA48" s="64">
        <v>2.1333333333333337</v>
      </c>
      <c r="AB48" s="64">
        <v>0.28728000000000004</v>
      </c>
      <c r="AC48" s="64">
        <v>0</v>
      </c>
      <c r="AD48" s="588">
        <v>0</v>
      </c>
      <c r="AE48" s="592">
        <v>0.2500127923147234</v>
      </c>
      <c r="AF48" s="590">
        <v>2000</v>
      </c>
      <c r="AG48" s="584">
        <v>293.0203529601672</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0.10919999999999999</v>
      </c>
      <c r="W49" s="65">
        <v>0.51302446292887705</v>
      </c>
      <c r="X49" s="553">
        <v>8.6399999999999991E-2</v>
      </c>
      <c r="Y49" s="65">
        <v>21.123829640476661</v>
      </c>
      <c r="Z49" s="557">
        <v>0.15599999999999997</v>
      </c>
      <c r="AA49" s="65">
        <v>0</v>
      </c>
      <c r="AB49" s="65">
        <v>0.15599999999999997</v>
      </c>
      <c r="AC49" s="65">
        <v>0</v>
      </c>
      <c r="AD49" s="587">
        <v>0</v>
      </c>
      <c r="AE49" s="593">
        <v>0.2500127924051096</v>
      </c>
      <c r="AF49" s="591">
        <v>1268</v>
      </c>
      <c r="AG49" s="583">
        <v>293.01954688023079</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0.10919999999999999</v>
      </c>
      <c r="W50" s="64">
        <v>0.49418600550923403</v>
      </c>
      <c r="X50" s="554">
        <v>8.6399999999999991E-2</v>
      </c>
      <c r="Y50" s="64">
        <v>21.103190232754589</v>
      </c>
      <c r="Z50" s="558">
        <v>0.15599999999999997</v>
      </c>
      <c r="AA50" s="64">
        <v>0</v>
      </c>
      <c r="AB50" s="64">
        <v>0.15599999999999997</v>
      </c>
      <c r="AC50" s="64">
        <v>0</v>
      </c>
      <c r="AD50" s="588">
        <v>0</v>
      </c>
      <c r="AE50" s="592">
        <v>0.25005170610522803</v>
      </c>
      <c r="AF50" s="590">
        <v>1268</v>
      </c>
      <c r="AG50" s="584">
        <v>293.01628906685886</v>
      </c>
      <c r="AH50" s="44"/>
    </row>
    <row r="51" spans="1:34" x14ac:dyDescent="0.25">
      <c r="A51" s="616" t="s">
        <v>1551</v>
      </c>
      <c r="B51" s="629" t="s">
        <v>781</v>
      </c>
      <c r="C51" s="663"/>
      <c r="D51" s="664"/>
      <c r="E51" s="664"/>
      <c r="F51" s="664"/>
      <c r="G51" s="664"/>
      <c r="H51" s="664"/>
      <c r="I51" s="664"/>
      <c r="J51" s="664"/>
      <c r="K51" s="664"/>
      <c r="L51" s="665"/>
      <c r="M51" s="34"/>
      <c r="N51" s="68"/>
      <c r="O51" s="68"/>
      <c r="P51" s="68"/>
      <c r="Q51" s="68"/>
      <c r="R51" s="68"/>
      <c r="S51" s="68"/>
      <c r="U51" s="549">
        <v>0.85416666666666696</v>
      </c>
      <c r="V51" s="553">
        <v>0.10919999999999999</v>
      </c>
      <c r="W51" s="65">
        <v>0.47534796686218989</v>
      </c>
      <c r="X51" s="553">
        <v>8.6399999999999991E-2</v>
      </c>
      <c r="Y51" s="65">
        <v>21.082551278756238</v>
      </c>
      <c r="Z51" s="557">
        <v>0.15599999999999997</v>
      </c>
      <c r="AA51" s="65">
        <v>0</v>
      </c>
      <c r="AB51" s="65">
        <v>0.15599999999999997</v>
      </c>
      <c r="AC51" s="65">
        <v>0</v>
      </c>
      <c r="AD51" s="587">
        <v>0</v>
      </c>
      <c r="AE51" s="593">
        <v>0.25005170758193346</v>
      </c>
      <c r="AF51" s="591">
        <v>1268</v>
      </c>
      <c r="AG51" s="583">
        <v>293.01303125348693</v>
      </c>
      <c r="AH51" s="44"/>
    </row>
    <row r="52" spans="1:34" x14ac:dyDescent="0.25">
      <c r="A52" s="616" t="s">
        <v>1696</v>
      </c>
      <c r="B52" s="629" t="s">
        <v>781</v>
      </c>
      <c r="C52" s="663"/>
      <c r="D52" s="664"/>
      <c r="E52" s="664"/>
      <c r="F52" s="664"/>
      <c r="G52" s="664"/>
      <c r="H52" s="664"/>
      <c r="I52" s="664"/>
      <c r="J52" s="664"/>
      <c r="K52" s="664"/>
      <c r="L52" s="665"/>
      <c r="M52" s="34"/>
      <c r="N52" s="68"/>
      <c r="O52" s="68"/>
      <c r="P52" s="68"/>
      <c r="Q52" s="68"/>
      <c r="R52" s="68"/>
      <c r="S52" s="68"/>
      <c r="U52" s="550">
        <v>0.875</v>
      </c>
      <c r="V52" s="554">
        <v>0.10919999999999999</v>
      </c>
      <c r="W52" s="64">
        <v>0.45651034698774451</v>
      </c>
      <c r="X52" s="554">
        <v>8.6399999999999991E-2</v>
      </c>
      <c r="Y52" s="64">
        <v>21.061912778481609</v>
      </c>
      <c r="Z52" s="558">
        <v>0.15599999999999997</v>
      </c>
      <c r="AA52" s="64">
        <v>0</v>
      </c>
      <c r="AB52" s="64">
        <v>0.15599999999999997</v>
      </c>
      <c r="AC52" s="64">
        <v>0</v>
      </c>
      <c r="AD52" s="588">
        <v>0</v>
      </c>
      <c r="AE52" s="592">
        <v>0.25005170905870211</v>
      </c>
      <c r="AF52" s="590">
        <v>1268</v>
      </c>
      <c r="AG52" s="584">
        <v>293.009773440115</v>
      </c>
      <c r="AH52" s="44"/>
    </row>
    <row r="53" spans="1:34" x14ac:dyDescent="0.25">
      <c r="A53" s="616" t="s">
        <v>1719</v>
      </c>
      <c r="B53" s="629" t="s">
        <v>781</v>
      </c>
      <c r="C53" s="663"/>
      <c r="D53" s="664"/>
      <c r="E53" s="664"/>
      <c r="F53" s="664"/>
      <c r="G53" s="664"/>
      <c r="H53" s="664"/>
      <c r="I53" s="664"/>
      <c r="J53" s="664"/>
      <c r="K53" s="664"/>
      <c r="L53" s="665"/>
      <c r="M53" s="34"/>
      <c r="N53" s="68"/>
      <c r="O53" s="68"/>
      <c r="P53" s="68"/>
      <c r="Q53" s="68"/>
      <c r="R53" s="68"/>
      <c r="S53" s="68"/>
      <c r="U53" s="550">
        <v>0.875</v>
      </c>
      <c r="V53" s="554">
        <v>0.10919999999999999</v>
      </c>
      <c r="W53" s="64">
        <v>0.43767314588589784</v>
      </c>
      <c r="X53" s="554">
        <v>8.6399999999999991E-2</v>
      </c>
      <c r="Y53" s="64">
        <v>21.041274731930699</v>
      </c>
      <c r="Z53" s="558">
        <v>0.15599999999999997</v>
      </c>
      <c r="AA53" s="64">
        <v>0</v>
      </c>
      <c r="AB53" s="64">
        <v>0.15599999999999997</v>
      </c>
      <c r="AC53" s="64">
        <v>0</v>
      </c>
      <c r="AD53" s="588">
        <v>0</v>
      </c>
      <c r="AE53" s="592">
        <v>0.25005171053553393</v>
      </c>
      <c r="AF53" s="590">
        <v>1268</v>
      </c>
      <c r="AG53" s="584">
        <v>293.00651562674307</v>
      </c>
      <c r="AH53" s="44"/>
    </row>
    <row r="54" spans="1:34" x14ac:dyDescent="0.25">
      <c r="A54" s="401" t="s">
        <v>1190</v>
      </c>
      <c r="B54" s="539" t="s">
        <v>781</v>
      </c>
      <c r="C54" s="660"/>
      <c r="D54" s="661"/>
      <c r="E54" s="661"/>
      <c r="F54" s="661"/>
      <c r="G54" s="661"/>
      <c r="H54" s="661"/>
      <c r="I54" s="661"/>
      <c r="J54" s="661"/>
      <c r="K54" s="661"/>
      <c r="L54" s="662"/>
      <c r="M54" s="34"/>
      <c r="N54" s="68"/>
      <c r="O54" s="68"/>
      <c r="P54" s="68"/>
      <c r="Q54" s="68"/>
      <c r="R54" s="382"/>
      <c r="S54" s="68"/>
      <c r="U54" s="549">
        <v>0.89583333333333304</v>
      </c>
      <c r="V54" s="553">
        <v>0.10919999999999999</v>
      </c>
      <c r="W54" s="65">
        <v>0.41883636355664999</v>
      </c>
      <c r="X54" s="553">
        <v>8.6399999999999991E-2</v>
      </c>
      <c r="Y54" s="65">
        <v>21.02063713910351</v>
      </c>
      <c r="Z54" s="557">
        <v>0.15599999999999997</v>
      </c>
      <c r="AA54" s="65">
        <v>0</v>
      </c>
      <c r="AB54" s="65">
        <v>0.15599999999999997</v>
      </c>
      <c r="AC54" s="65">
        <v>0</v>
      </c>
      <c r="AD54" s="587">
        <v>0</v>
      </c>
      <c r="AE54" s="593">
        <v>0.25005171201242915</v>
      </c>
      <c r="AF54" s="591">
        <v>1268</v>
      </c>
      <c r="AG54" s="583">
        <v>293.00325781337114</v>
      </c>
      <c r="AH54" s="44"/>
    </row>
    <row r="55" spans="1:34" x14ac:dyDescent="0.25">
      <c r="A55" s="616" t="s">
        <v>1615</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1206</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1621</v>
      </c>
      <c r="B59" s="538" t="s">
        <v>1227</v>
      </c>
      <c r="C59" s="566"/>
      <c r="D59" s="567"/>
      <c r="E59" s="567"/>
      <c r="F59" s="567"/>
      <c r="G59" s="567"/>
      <c r="H59" s="567"/>
      <c r="I59" s="567"/>
      <c r="J59" s="567"/>
      <c r="K59" s="567"/>
      <c r="L59" s="568"/>
      <c r="M59" s="34"/>
      <c r="N59" s="68"/>
      <c r="O59" s="68"/>
      <c r="P59" s="68"/>
      <c r="Q59" s="68"/>
      <c r="R59" s="382"/>
      <c r="S59" s="68"/>
      <c r="AH59" s="44"/>
    </row>
    <row r="60" spans="1:34" x14ac:dyDescent="0.25">
      <c r="A60" s="86" t="s">
        <v>1631</v>
      </c>
      <c r="B60" s="629" t="s">
        <v>1227</v>
      </c>
      <c r="C60" s="488"/>
      <c r="D60" s="89"/>
      <c r="E60" s="89"/>
      <c r="F60" s="89"/>
      <c r="G60" s="89"/>
      <c r="H60" s="89"/>
      <c r="I60" s="89"/>
      <c r="J60" s="89"/>
      <c r="K60" s="89"/>
      <c r="L60" s="489"/>
      <c r="M60" s="34"/>
      <c r="N60" s="68"/>
      <c r="O60" s="68"/>
      <c r="P60" s="68"/>
      <c r="Q60" s="68"/>
      <c r="R60" s="382"/>
      <c r="S60" s="68"/>
      <c r="AH60" s="44"/>
    </row>
    <row r="61" spans="1:34" x14ac:dyDescent="0.25">
      <c r="A61" s="85" t="s">
        <v>1632</v>
      </c>
      <c r="B61" s="539" t="s">
        <v>1227</v>
      </c>
      <c r="C61" s="565"/>
      <c r="D61" s="92"/>
      <c r="E61" s="92"/>
      <c r="F61" s="92"/>
      <c r="G61" s="92"/>
      <c r="H61" s="92"/>
      <c r="I61" s="92"/>
      <c r="J61" s="92"/>
      <c r="K61" s="92"/>
      <c r="L61" s="569"/>
      <c r="M61" s="34"/>
      <c r="N61" s="68"/>
      <c r="O61" s="68"/>
      <c r="P61" s="68"/>
      <c r="Q61" s="68"/>
      <c r="R61" s="382"/>
      <c r="S61" s="68"/>
      <c r="AH61" s="44"/>
    </row>
    <row r="62" spans="1:34" x14ac:dyDescent="0.25">
      <c r="A62" s="86" t="s">
        <v>1633</v>
      </c>
      <c r="B62" s="629" t="s">
        <v>1227</v>
      </c>
      <c r="C62" s="488"/>
      <c r="D62" s="89"/>
      <c r="E62" s="89"/>
      <c r="F62" s="89"/>
      <c r="G62" s="89"/>
      <c r="H62" s="89"/>
      <c r="I62" s="89"/>
      <c r="J62" s="89"/>
      <c r="K62" s="89"/>
      <c r="L62" s="489"/>
      <c r="M62" s="34"/>
      <c r="N62" s="68"/>
      <c r="O62" s="68"/>
      <c r="P62" s="68"/>
      <c r="Q62" s="68"/>
      <c r="R62" s="382"/>
      <c r="S62" s="68"/>
      <c r="AH62" s="44"/>
    </row>
    <row r="63" spans="1:34" x14ac:dyDescent="0.25">
      <c r="A63" s="85" t="s">
        <v>1634</v>
      </c>
      <c r="B63" s="539" t="s">
        <v>1227</v>
      </c>
      <c r="C63" s="565"/>
      <c r="D63" s="92"/>
      <c r="E63" s="92"/>
      <c r="F63" s="92"/>
      <c r="G63" s="92"/>
      <c r="H63" s="92"/>
      <c r="I63" s="92"/>
      <c r="J63" s="92"/>
      <c r="K63" s="92"/>
      <c r="L63" s="569"/>
      <c r="M63" s="34"/>
      <c r="N63" s="68"/>
      <c r="O63" s="68"/>
      <c r="P63" s="68"/>
      <c r="Q63" s="68"/>
      <c r="R63" s="382"/>
      <c r="S63" s="68"/>
      <c r="AH63" s="44"/>
    </row>
    <row r="64" spans="1:34" x14ac:dyDescent="0.25">
      <c r="A64" s="86" t="s">
        <v>1635</v>
      </c>
      <c r="B64" s="629" t="s">
        <v>1227</v>
      </c>
      <c r="C64" s="488"/>
      <c r="D64" s="89"/>
      <c r="E64" s="89"/>
      <c r="F64" s="89"/>
      <c r="G64" s="89"/>
      <c r="H64" s="89"/>
      <c r="I64" s="89"/>
      <c r="J64" s="89"/>
      <c r="K64" s="89"/>
      <c r="L64" s="489"/>
      <c r="R64" s="609"/>
      <c r="U64" s="34"/>
      <c r="V64" s="68"/>
      <c r="W64" s="68"/>
      <c r="X64" s="68"/>
      <c r="Y64" s="68"/>
    </row>
    <row r="65" spans="1:25" x14ac:dyDescent="0.25">
      <c r="A65" s="85" t="s">
        <v>33</v>
      </c>
      <c r="B65" s="539" t="s">
        <v>1227</v>
      </c>
      <c r="C65" s="565"/>
      <c r="D65" s="92"/>
      <c r="E65" s="92"/>
      <c r="F65" s="92"/>
      <c r="G65" s="92"/>
      <c r="H65" s="92"/>
      <c r="I65" s="92"/>
      <c r="J65" s="92"/>
      <c r="K65" s="92"/>
      <c r="L65" s="569"/>
      <c r="R65" s="609"/>
      <c r="U65" s="34"/>
      <c r="V65" s="68"/>
      <c r="W65" s="68"/>
      <c r="X65" s="68"/>
      <c r="Y65" s="68"/>
    </row>
    <row r="66" spans="1:25" x14ac:dyDescent="0.25">
      <c r="A66" s="86" t="s">
        <v>1616</v>
      </c>
      <c r="B66" s="629" t="s">
        <v>1227</v>
      </c>
      <c r="C66" s="488"/>
      <c r="D66" s="89"/>
      <c r="E66" s="89"/>
      <c r="F66" s="89"/>
      <c r="G66" s="89"/>
      <c r="H66" s="89"/>
      <c r="I66" s="89"/>
      <c r="J66" s="89"/>
      <c r="K66" s="89"/>
      <c r="L66" s="489"/>
      <c r="R66" s="191"/>
      <c r="U66" s="34"/>
      <c r="V66" s="68"/>
      <c r="W66" s="68"/>
      <c r="X66" s="68"/>
      <c r="Y66" s="68"/>
    </row>
    <row r="67" spans="1:25" x14ac:dyDescent="0.25">
      <c r="A67" s="85" t="s">
        <v>1224</v>
      </c>
      <c r="B67" s="539" t="s">
        <v>1227</v>
      </c>
      <c r="C67" s="565"/>
      <c r="D67" s="92"/>
      <c r="E67" s="92"/>
      <c r="F67" s="92"/>
      <c r="G67" s="92"/>
      <c r="H67" s="92"/>
      <c r="I67" s="92"/>
      <c r="J67" s="92"/>
      <c r="K67" s="92"/>
      <c r="L67" s="569"/>
      <c r="U67" s="34"/>
      <c r="V67" s="68"/>
      <c r="W67" s="68"/>
      <c r="X67" s="68"/>
      <c r="Y67" s="68"/>
    </row>
    <row r="68" spans="1:25" x14ac:dyDescent="0.25">
      <c r="A68" s="86" t="s">
        <v>1225</v>
      </c>
      <c r="B68" s="629" t="s">
        <v>1227</v>
      </c>
      <c r="C68" s="488"/>
      <c r="D68" s="89"/>
      <c r="E68" s="89"/>
      <c r="F68" s="89"/>
      <c r="G68" s="89"/>
      <c r="H68" s="89"/>
      <c r="I68" s="89"/>
      <c r="J68" s="89"/>
      <c r="K68" s="89"/>
      <c r="L68" s="489"/>
      <c r="U68" s="34"/>
      <c r="V68" s="68"/>
      <c r="W68" s="68"/>
      <c r="X68" s="68"/>
      <c r="Y68" s="68"/>
    </row>
    <row r="69" spans="1:25" x14ac:dyDescent="0.25">
      <c r="A69" s="529" t="s">
        <v>1620</v>
      </c>
      <c r="B69" s="539" t="s">
        <v>1227</v>
      </c>
      <c r="C69" s="565"/>
      <c r="D69" s="92"/>
      <c r="E69" s="92"/>
      <c r="F69" s="92"/>
      <c r="G69" s="92"/>
      <c r="H69" s="92"/>
      <c r="I69" s="92"/>
      <c r="J69" s="92"/>
      <c r="K69" s="92"/>
      <c r="L69" s="569"/>
      <c r="U69" s="34"/>
      <c r="V69" s="68"/>
      <c r="W69" s="68"/>
      <c r="X69" s="68"/>
      <c r="Y69" s="68"/>
    </row>
    <row r="70" spans="1:25" x14ac:dyDescent="0.25">
      <c r="A70" s="86" t="s">
        <v>1208</v>
      </c>
      <c r="B70" s="629" t="s">
        <v>1227</v>
      </c>
      <c r="C70" s="488"/>
      <c r="D70" s="89"/>
      <c r="E70" s="89"/>
      <c r="F70" s="89"/>
      <c r="G70" s="89"/>
      <c r="H70" s="89"/>
      <c r="I70" s="89"/>
      <c r="J70" s="89"/>
      <c r="K70" s="89"/>
      <c r="L70" s="489"/>
      <c r="U70" s="34"/>
      <c r="V70" s="68"/>
      <c r="W70" s="68"/>
      <c r="X70" s="68"/>
      <c r="Y70" s="68"/>
    </row>
    <row r="71" spans="1:25" x14ac:dyDescent="0.25">
      <c r="A71" s="529" t="s">
        <v>1705</v>
      </c>
      <c r="B71" s="539" t="s">
        <v>1227</v>
      </c>
      <c r="C71" s="565"/>
      <c r="D71" s="92"/>
      <c r="E71" s="92"/>
      <c r="F71" s="92"/>
      <c r="G71" s="92"/>
      <c r="H71" s="92"/>
      <c r="I71" s="92"/>
      <c r="J71" s="92"/>
      <c r="K71" s="92"/>
      <c r="L71" s="569"/>
      <c r="U71" s="34"/>
      <c r="V71" s="68"/>
      <c r="W71" s="68"/>
      <c r="X71" s="68"/>
      <c r="Y71" s="68"/>
    </row>
    <row r="72" spans="1:25" x14ac:dyDescent="0.25">
      <c r="A72" s="86" t="s">
        <v>1706</v>
      </c>
      <c r="B72" s="629" t="s">
        <v>1227</v>
      </c>
      <c r="C72" s="700"/>
      <c r="D72" s="701"/>
      <c r="E72" s="701"/>
      <c r="F72" s="701"/>
      <c r="G72" s="701"/>
      <c r="H72" s="701"/>
      <c r="I72" s="701"/>
      <c r="J72" s="701"/>
      <c r="K72" s="701"/>
      <c r="L72" s="702"/>
      <c r="U72" s="34"/>
      <c r="V72" s="68"/>
      <c r="W72" s="68"/>
      <c r="X72" s="68"/>
      <c r="Y72" s="68"/>
    </row>
    <row r="73" spans="1:25" x14ac:dyDescent="0.25">
      <c r="A73" s="617" t="s">
        <v>1720</v>
      </c>
      <c r="B73" s="629" t="s">
        <v>1227</v>
      </c>
      <c r="C73" s="700"/>
      <c r="D73" s="701"/>
      <c r="E73" s="701"/>
      <c r="F73" s="701"/>
      <c r="G73" s="701"/>
      <c r="H73" s="701"/>
      <c r="I73" s="701"/>
      <c r="J73" s="701"/>
      <c r="K73" s="701"/>
      <c r="L73" s="702"/>
      <c r="U73" s="34"/>
      <c r="V73" s="68"/>
      <c r="W73" s="68"/>
      <c r="X73" s="68"/>
      <c r="Y73" s="68"/>
    </row>
    <row r="74" spans="1:25" x14ac:dyDescent="0.25">
      <c r="A74" s="85" t="s">
        <v>1697</v>
      </c>
      <c r="B74" s="539" t="s">
        <v>1227</v>
      </c>
      <c r="C74" s="604"/>
      <c r="D74" s="605"/>
      <c r="E74" s="605"/>
      <c r="F74" s="605"/>
      <c r="G74" s="605"/>
      <c r="H74" s="605"/>
      <c r="I74" s="605"/>
      <c r="J74" s="605"/>
      <c r="K74" s="605"/>
      <c r="L74" s="606"/>
      <c r="U74" s="34"/>
      <c r="V74" s="68"/>
      <c r="W74" s="68"/>
      <c r="X74" s="68"/>
      <c r="Y74" s="68"/>
    </row>
    <row r="75" spans="1:25" ht="15.75" thickBot="1" x14ac:dyDescent="0.3">
      <c r="A75" s="627" t="s">
        <v>1617</v>
      </c>
      <c r="B75" s="628" t="s">
        <v>1227</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1617</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76" t="s">
        <v>1655</v>
      </c>
      <c r="B77" s="485" t="s">
        <v>1541</v>
      </c>
      <c r="C77" s="669"/>
      <c r="D77" s="670"/>
      <c r="E77" s="670"/>
      <c r="F77" s="670"/>
      <c r="G77" s="670"/>
      <c r="H77" s="670"/>
      <c r="I77" s="670"/>
      <c r="J77" s="670"/>
      <c r="K77" s="670"/>
      <c r="L77" s="671"/>
      <c r="N77" s="879" t="s">
        <v>1648</v>
      </c>
      <c r="O77" s="879"/>
      <c r="P77" s="879"/>
      <c r="Q77" s="879"/>
      <c r="U77" s="34"/>
      <c r="V77" s="68"/>
      <c r="W77" s="68"/>
      <c r="X77" s="68"/>
      <c r="Y77" s="68"/>
    </row>
    <row r="78" spans="1:25" ht="15" customHeight="1" x14ac:dyDescent="0.25">
      <c r="A78" s="877"/>
      <c r="B78" s="84" t="s">
        <v>1542</v>
      </c>
      <c r="C78" s="672"/>
      <c r="D78" s="673"/>
      <c r="E78" s="673"/>
      <c r="F78" s="673"/>
      <c r="G78" s="673"/>
      <c r="H78" s="673"/>
      <c r="I78" s="673"/>
      <c r="J78" s="673"/>
      <c r="K78" s="673"/>
      <c r="L78" s="674"/>
      <c r="N78" s="879"/>
      <c r="O78" s="879"/>
      <c r="P78" s="879"/>
      <c r="Q78" s="879"/>
      <c r="U78" s="34"/>
      <c r="V78" s="68"/>
      <c r="W78" s="68"/>
      <c r="X78" s="68"/>
      <c r="Y78" s="68"/>
    </row>
    <row r="79" spans="1:25" x14ac:dyDescent="0.25">
      <c r="A79" s="877"/>
      <c r="B79" s="400" t="s">
        <v>1543</v>
      </c>
      <c r="C79" s="675"/>
      <c r="D79" s="676"/>
      <c r="E79" s="676"/>
      <c r="F79" s="676"/>
      <c r="G79" s="676"/>
      <c r="H79" s="676"/>
      <c r="I79" s="676"/>
      <c r="J79" s="676"/>
      <c r="K79" s="676"/>
      <c r="L79" s="677"/>
      <c r="N79" s="879" t="s">
        <v>1649</v>
      </c>
      <c r="O79" s="879"/>
      <c r="P79" s="879"/>
      <c r="Q79" s="879"/>
      <c r="U79" s="34"/>
      <c r="V79" s="68"/>
      <c r="W79" s="68"/>
      <c r="X79" s="68"/>
      <c r="Y79" s="68"/>
    </row>
    <row r="80" spans="1:25" x14ac:dyDescent="0.25">
      <c r="A80" s="877"/>
      <c r="B80" s="84" t="s">
        <v>1544</v>
      </c>
      <c r="C80" s="672"/>
      <c r="D80" s="673"/>
      <c r="E80" s="673"/>
      <c r="F80" s="673"/>
      <c r="G80" s="673"/>
      <c r="H80" s="673"/>
      <c r="I80" s="673"/>
      <c r="J80" s="673"/>
      <c r="K80" s="673"/>
      <c r="L80" s="674"/>
      <c r="N80" s="879"/>
      <c r="O80" s="879"/>
      <c r="P80" s="879"/>
      <c r="Q80" s="879"/>
      <c r="U80" s="34"/>
      <c r="V80" s="68"/>
      <c r="W80" s="68"/>
      <c r="X80" s="68"/>
      <c r="Y80" s="68"/>
    </row>
    <row r="81" spans="1:25" ht="15" customHeight="1" x14ac:dyDescent="0.25">
      <c r="A81" s="877"/>
      <c r="B81" s="400" t="s">
        <v>1545</v>
      </c>
      <c r="C81" s="675"/>
      <c r="D81" s="676"/>
      <c r="E81" s="676"/>
      <c r="F81" s="676"/>
      <c r="G81" s="676"/>
      <c r="H81" s="676"/>
      <c r="I81" s="676"/>
      <c r="J81" s="676"/>
      <c r="K81" s="676"/>
      <c r="L81" s="677"/>
      <c r="U81" s="34"/>
      <c r="V81" s="68"/>
      <c r="W81" s="68"/>
      <c r="X81" s="68"/>
      <c r="Y81" s="68"/>
    </row>
    <row r="82" spans="1:25" x14ac:dyDescent="0.25">
      <c r="A82" s="877"/>
      <c r="B82" s="84" t="s">
        <v>1546</v>
      </c>
      <c r="C82" s="672"/>
      <c r="D82" s="673"/>
      <c r="E82" s="673"/>
      <c r="F82" s="673"/>
      <c r="G82" s="673"/>
      <c r="H82" s="673"/>
      <c r="I82" s="673"/>
      <c r="J82" s="673"/>
      <c r="K82" s="673"/>
      <c r="L82" s="674"/>
      <c r="N82" s="879" t="s">
        <v>1656</v>
      </c>
      <c r="O82" s="879"/>
      <c r="P82" s="879"/>
      <c r="Q82" s="879"/>
      <c r="S82" s="382"/>
      <c r="U82" s="34"/>
      <c r="V82" s="68"/>
      <c r="W82" s="68"/>
      <c r="X82" s="68"/>
      <c r="Y82" s="68"/>
    </row>
    <row r="83" spans="1:25" x14ac:dyDescent="0.25">
      <c r="A83" s="877"/>
      <c r="B83" s="400" t="s">
        <v>1547</v>
      </c>
      <c r="C83" s="675"/>
      <c r="D83" s="676"/>
      <c r="E83" s="676"/>
      <c r="F83" s="676"/>
      <c r="G83" s="676"/>
      <c r="H83" s="676"/>
      <c r="I83" s="676"/>
      <c r="J83" s="676"/>
      <c r="K83" s="676"/>
      <c r="L83" s="677"/>
      <c r="N83" s="879"/>
      <c r="O83" s="879"/>
      <c r="P83" s="879"/>
      <c r="Q83" s="879"/>
      <c r="S83" s="382"/>
      <c r="U83" s="34"/>
      <c r="V83" s="68"/>
      <c r="W83" s="68"/>
      <c r="X83" s="68"/>
      <c r="Y83" s="68"/>
    </row>
    <row r="84" spans="1:25" ht="15" customHeight="1" x14ac:dyDescent="0.25">
      <c r="A84" s="877"/>
      <c r="B84" s="84" t="s">
        <v>1548</v>
      </c>
      <c r="C84" s="672"/>
      <c r="D84" s="673"/>
      <c r="E84" s="673"/>
      <c r="F84" s="673"/>
      <c r="G84" s="673"/>
      <c r="H84" s="673"/>
      <c r="I84" s="673"/>
      <c r="J84" s="673"/>
      <c r="K84" s="673"/>
      <c r="L84" s="674"/>
      <c r="N84" s="879"/>
      <c r="O84" s="879"/>
      <c r="P84" s="879"/>
      <c r="Q84" s="879"/>
      <c r="S84" s="382"/>
      <c r="U84" s="34"/>
      <c r="V84" s="68"/>
      <c r="W84" s="68"/>
      <c r="X84" s="68"/>
      <c r="Y84" s="68"/>
    </row>
    <row r="85" spans="1:25" x14ac:dyDescent="0.25">
      <c r="A85" s="877"/>
      <c r="B85" s="400" t="s">
        <v>1549</v>
      </c>
      <c r="C85" s="675"/>
      <c r="D85" s="676"/>
      <c r="E85" s="676"/>
      <c r="F85" s="676"/>
      <c r="G85" s="676"/>
      <c r="H85" s="676"/>
      <c r="I85" s="676"/>
      <c r="J85" s="676"/>
      <c r="K85" s="676"/>
      <c r="L85" s="677"/>
      <c r="S85" s="382"/>
      <c r="U85" s="34"/>
      <c r="V85" s="68"/>
      <c r="W85" s="68"/>
      <c r="X85" s="68"/>
      <c r="Y85" s="68"/>
    </row>
    <row r="86" spans="1:25" ht="15.75" thickBot="1" x14ac:dyDescent="0.3">
      <c r="A86" s="878"/>
      <c r="B86" s="611" t="s">
        <v>1550</v>
      </c>
      <c r="C86" s="678"/>
      <c r="D86" s="679"/>
      <c r="E86" s="679"/>
      <c r="F86" s="679"/>
      <c r="G86" s="679"/>
      <c r="H86" s="679"/>
      <c r="I86" s="679"/>
      <c r="J86" s="679"/>
      <c r="K86" s="679"/>
      <c r="L86" s="680"/>
      <c r="S86" s="382"/>
      <c r="U86" s="34"/>
      <c r="V86" s="68"/>
      <c r="W86" s="68"/>
      <c r="X86" s="68"/>
      <c r="Y86" s="68"/>
    </row>
    <row r="87" spans="1:25" x14ac:dyDescent="0.25">
      <c r="A87" s="275" t="s">
        <v>1663</v>
      </c>
      <c r="B87" s="485" t="s">
        <v>781</v>
      </c>
      <c r="C87" s="631"/>
      <c r="D87" s="567"/>
      <c r="E87" s="567"/>
      <c r="F87" s="567"/>
      <c r="G87" s="567"/>
      <c r="H87" s="567"/>
      <c r="I87" s="567"/>
      <c r="J87" s="567"/>
      <c r="K87" s="567"/>
      <c r="L87" s="568"/>
      <c r="N87" s="886" t="s">
        <v>1664</v>
      </c>
      <c r="O87" s="886"/>
      <c r="P87" s="886"/>
      <c r="Q87" s="886"/>
      <c r="S87" s="382"/>
      <c r="U87" s="34"/>
      <c r="V87" s="68"/>
      <c r="W87" s="68"/>
      <c r="X87" s="68"/>
      <c r="Y87" s="68"/>
    </row>
    <row r="88" spans="1:25" ht="17.25" x14ac:dyDescent="0.25">
      <c r="A88" s="86" t="s">
        <v>1665</v>
      </c>
      <c r="B88" s="84" t="s">
        <v>782</v>
      </c>
      <c r="C88" s="91"/>
      <c r="D88" s="89"/>
      <c r="E88" s="89"/>
      <c r="F88" s="89"/>
      <c r="G88" s="89"/>
      <c r="H88" s="89"/>
      <c r="I88" s="89"/>
      <c r="J88" s="89"/>
      <c r="K88" s="89"/>
      <c r="L88" s="489"/>
      <c r="N88" s="886"/>
      <c r="O88" s="886"/>
      <c r="P88" s="886"/>
      <c r="Q88" s="886"/>
      <c r="S88" s="382"/>
      <c r="U88" s="34"/>
      <c r="V88" s="68"/>
      <c r="W88" s="68"/>
      <c r="X88" s="68"/>
      <c r="Y88" s="68"/>
    </row>
    <row r="89" spans="1:25" x14ac:dyDescent="0.25">
      <c r="A89" s="85" t="s">
        <v>1668</v>
      </c>
      <c r="B89" s="400" t="s">
        <v>781</v>
      </c>
      <c r="C89" s="632"/>
      <c r="D89" s="92"/>
      <c r="E89" s="92"/>
      <c r="F89" s="92"/>
      <c r="G89" s="92"/>
      <c r="H89" s="92"/>
      <c r="I89" s="92"/>
      <c r="J89" s="92"/>
      <c r="K89" s="92"/>
      <c r="L89" s="569"/>
      <c r="U89" s="34"/>
      <c r="V89" s="68"/>
      <c r="W89" s="68"/>
      <c r="X89" s="68"/>
      <c r="Y89" s="68"/>
    </row>
    <row r="90" spans="1:25" ht="18" thickBot="1" x14ac:dyDescent="0.3">
      <c r="A90" s="195" t="s">
        <v>1666</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66" t="s">
        <v>1252</v>
      </c>
      <c r="C92" s="398" t="s">
        <v>1541</v>
      </c>
      <c r="D92" s="386" t="s">
        <v>1542</v>
      </c>
      <c r="E92" s="386" t="s">
        <v>1543</v>
      </c>
      <c r="F92" s="386" t="s">
        <v>1544</v>
      </c>
      <c r="G92" s="386" t="s">
        <v>1545</v>
      </c>
      <c r="H92" s="386" t="s">
        <v>1546</v>
      </c>
      <c r="I92" s="386" t="s">
        <v>1547</v>
      </c>
      <c r="J92" s="386" t="s">
        <v>1548</v>
      </c>
      <c r="K92" s="386" t="s">
        <v>1549</v>
      </c>
      <c r="L92" s="387" t="s">
        <v>1550</v>
      </c>
      <c r="U92" s="34"/>
      <c r="V92" s="68"/>
      <c r="W92" s="68"/>
      <c r="X92" s="68"/>
      <c r="Y92" s="68"/>
    </row>
    <row r="93" spans="1:25" x14ac:dyDescent="0.25">
      <c r="B93" s="867"/>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87"/>
      <c r="C47" s="887"/>
      <c r="D47" s="887"/>
      <c r="E47" s="887"/>
      <c r="F47" s="887"/>
      <c r="G47" s="887"/>
      <c r="H47" s="887"/>
      <c r="I47" s="887"/>
      <c r="J47" s="887"/>
      <c r="K47" s="887"/>
      <c r="L47" s="887"/>
      <c r="M47" s="887"/>
      <c r="N47" s="887"/>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87"/>
      <c r="C48" s="887"/>
      <c r="D48" s="887"/>
      <c r="E48" s="887"/>
      <c r="F48" s="887"/>
      <c r="G48" s="887"/>
      <c r="H48" s="887"/>
      <c r="I48" s="887"/>
      <c r="J48" s="887"/>
      <c r="K48" s="887"/>
      <c r="L48" s="887"/>
      <c r="M48" s="887"/>
      <c r="N48" s="887"/>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topLeftCell="A8"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1259</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88" t="s">
        <v>1659</v>
      </c>
      <c r="B5" s="890" t="s">
        <v>1998</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89"/>
      <c r="B6" s="891"/>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1212</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1210</v>
      </c>
      <c r="H8" s="728" t="s">
        <v>1222</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1252</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1661</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1662</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1211</v>
      </c>
      <c r="H12" s="729" t="s">
        <v>1211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1654</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1651</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1249</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1250</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1190</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1075</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1076</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1652</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1653</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1658</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1208</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1704</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1650</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1707</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1721</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1667</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1660</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1262</v>
      </c>
      <c r="C33" s="732" t="s">
        <v>1210</v>
      </c>
      <c r="D33" s="732" t="s">
        <v>1222</v>
      </c>
      <c r="E33" s="733" t="s">
        <v>1669</v>
      </c>
      <c r="F33"/>
      <c r="G33"/>
      <c r="H33"/>
      <c r="I33"/>
      <c r="J33"/>
      <c r="K33"/>
      <c r="L33"/>
      <c r="M33"/>
      <c r="N33"/>
      <c r="O33"/>
      <c r="P33"/>
      <c r="Q33"/>
      <c r="R33"/>
      <c r="S33"/>
      <c r="T33"/>
      <c r="U33"/>
      <c r="V33"/>
      <c r="W33"/>
      <c r="X33"/>
      <c r="Y33"/>
      <c r="Z33"/>
      <c r="AA33" s="714" t="s">
        <v>1698</v>
      </c>
      <c r="AB33" s="714" t="s">
        <v>1699</v>
      </c>
      <c r="AC33" s="714" t="s">
        <v>1700</v>
      </c>
      <c r="AD33" s="714" t="s">
        <v>1701</v>
      </c>
      <c r="AE33" s="714" t="s">
        <v>1702</v>
      </c>
      <c r="AF33" s="714" t="s">
        <v>1703</v>
      </c>
      <c r="AG33" s="703" t="s">
        <v>1722</v>
      </c>
      <c r="AH33" s="714" t="s">
        <v>1723</v>
      </c>
      <c r="AI33" s="714" t="s">
        <v>1724</v>
      </c>
      <c r="AJ33" s="714" t="s">
        <v>1725</v>
      </c>
      <c r="AK33" s="714" t="s">
        <v>1726</v>
      </c>
      <c r="AL33" s="714" t="s">
        <v>1727</v>
      </c>
      <c r="AM33" s="714" t="s">
        <v>1728</v>
      </c>
      <c r="AN33" s="714" t="s">
        <v>1729</v>
      </c>
      <c r="AO33" s="714" t="s">
        <v>1730</v>
      </c>
      <c r="AP33" s="714" t="s">
        <v>1731</v>
      </c>
      <c r="AQ33" s="714" t="s">
        <v>1732</v>
      </c>
      <c r="AR33" s="714" t="s">
        <v>1733</v>
      </c>
      <c r="AS33" s="714" t="s">
        <v>1734</v>
      </c>
      <c r="AT33" s="714" t="s">
        <v>1735</v>
      </c>
      <c r="AU33" s="714" t="s">
        <v>1736</v>
      </c>
      <c r="AV33" s="714" t="s">
        <v>1737</v>
      </c>
      <c r="AW33" s="714" t="s">
        <v>1738</v>
      </c>
      <c r="AX33" s="714" t="s">
        <v>1739</v>
      </c>
      <c r="AY33" s="714" t="s">
        <v>1740</v>
      </c>
      <c r="AZ33" s="714" t="s">
        <v>1741</v>
      </c>
      <c r="BA33" s="714" t="s">
        <v>1742</v>
      </c>
      <c r="BB33" s="714" t="s">
        <v>1743</v>
      </c>
      <c r="BC33" s="714" t="s">
        <v>1744</v>
      </c>
      <c r="BD33" s="714" t="s">
        <v>1745</v>
      </c>
      <c r="BE33" s="714" t="s">
        <v>1746</v>
      </c>
      <c r="BF33" s="714" t="s">
        <v>1747</v>
      </c>
      <c r="BG33" s="714" t="s">
        <v>1748</v>
      </c>
      <c r="BH33" s="714" t="s">
        <v>1749</v>
      </c>
      <c r="BI33" s="714" t="s">
        <v>1750</v>
      </c>
      <c r="BJ33" s="714" t="s">
        <v>1751</v>
      </c>
      <c r="BK33" s="714" t="s">
        <v>1752</v>
      </c>
      <c r="BL33" s="714" t="s">
        <v>1753</v>
      </c>
      <c r="BM33" s="714" t="s">
        <v>1754</v>
      </c>
      <c r="BN33" s="714" t="s">
        <v>1755</v>
      </c>
      <c r="BO33" s="714" t="s">
        <v>1756</v>
      </c>
      <c r="BP33" s="714" t="s">
        <v>1757</v>
      </c>
      <c r="BQ33" s="714" t="s">
        <v>1758</v>
      </c>
      <c r="BR33" s="714" t="s">
        <v>1759</v>
      </c>
      <c r="BS33" s="714" t="s">
        <v>1760</v>
      </c>
      <c r="BT33" s="714" t="s">
        <v>1761</v>
      </c>
      <c r="BU33" s="714" t="s">
        <v>1762</v>
      </c>
      <c r="BV33" s="714" t="s">
        <v>1763</v>
      </c>
      <c r="BW33" s="714" t="s">
        <v>1764</v>
      </c>
      <c r="BX33" s="714" t="s">
        <v>1765</v>
      </c>
      <c r="BY33" s="714" t="s">
        <v>1766</v>
      </c>
      <c r="BZ33" s="714" t="s">
        <v>1767</v>
      </c>
      <c r="CA33" s="714" t="s">
        <v>1768</v>
      </c>
      <c r="CB33" s="714" t="s">
        <v>1769</v>
      </c>
      <c r="CC33" s="714" t="s">
        <v>1770</v>
      </c>
      <c r="CD33" s="714" t="s">
        <v>1771</v>
      </c>
      <c r="CE33" s="714" t="s">
        <v>1772</v>
      </c>
      <c r="CF33" s="714" t="s">
        <v>1773</v>
      </c>
      <c r="CG33" s="714" t="s">
        <v>1774</v>
      </c>
      <c r="CH33" s="714" t="s">
        <v>1775</v>
      </c>
      <c r="CI33" s="714" t="s">
        <v>1776</v>
      </c>
      <c r="CJ33" s="714" t="s">
        <v>1777</v>
      </c>
      <c r="CK33" s="714" t="s">
        <v>1778</v>
      </c>
      <c r="CL33" s="714" t="s">
        <v>1779</v>
      </c>
      <c r="CM33" s="714" t="s">
        <v>1780</v>
      </c>
      <c r="CN33" s="714" t="s">
        <v>1781</v>
      </c>
      <c r="CO33" s="714" t="s">
        <v>1782</v>
      </c>
      <c r="CP33" s="714" t="s">
        <v>1783</v>
      </c>
      <c r="CQ33" s="714" t="s">
        <v>1784</v>
      </c>
      <c r="CR33" s="714" t="s">
        <v>1785</v>
      </c>
      <c r="CS33" s="714" t="s">
        <v>1786</v>
      </c>
      <c r="CT33" s="714" t="s">
        <v>1787</v>
      </c>
      <c r="CU33" s="714" t="s">
        <v>1788</v>
      </c>
      <c r="CV33" s="714" t="s">
        <v>1789</v>
      </c>
      <c r="CW33" s="714" t="s">
        <v>1790</v>
      </c>
      <c r="CX33" s="714" t="s">
        <v>1791</v>
      </c>
      <c r="CY33" s="714" t="s">
        <v>1792</v>
      </c>
      <c r="CZ33" s="714" t="s">
        <v>1793</v>
      </c>
      <c r="DA33" s="714" t="s">
        <v>1794</v>
      </c>
      <c r="DB33" s="714" t="s">
        <v>1795</v>
      </c>
      <c r="DC33" s="714" t="s">
        <v>1796</v>
      </c>
      <c r="DD33" s="714" t="s">
        <v>1797</v>
      </c>
      <c r="DE33" s="714" t="s">
        <v>1798</v>
      </c>
      <c r="DF33" s="714" t="s">
        <v>1799</v>
      </c>
      <c r="DG33" s="714" t="s">
        <v>1800</v>
      </c>
      <c r="DH33" s="714" t="s">
        <v>1801</v>
      </c>
      <c r="DI33" s="714" t="s">
        <v>1802</v>
      </c>
      <c r="DJ33" s="714" t="s">
        <v>1803</v>
      </c>
      <c r="DK33" s="714" t="s">
        <v>1804</v>
      </c>
      <c r="DL33" s="714" t="s">
        <v>1805</v>
      </c>
      <c r="DM33" s="714" t="s">
        <v>1806</v>
      </c>
      <c r="DN33" s="714" t="s">
        <v>1807</v>
      </c>
      <c r="DO33" s="714" t="s">
        <v>1808</v>
      </c>
      <c r="DP33" s="714" t="s">
        <v>1809</v>
      </c>
      <c r="DQ33" s="714" t="s">
        <v>1810</v>
      </c>
      <c r="DR33" s="714" t="s">
        <v>1811</v>
      </c>
      <c r="DS33" s="714" t="s">
        <v>1812</v>
      </c>
      <c r="DT33" s="714" t="s">
        <v>1813</v>
      </c>
      <c r="DU33" s="714" t="s">
        <v>1814</v>
      </c>
      <c r="DV33" s="714" t="s">
        <v>1815</v>
      </c>
      <c r="DW33" s="714" t="s">
        <v>1816</v>
      </c>
      <c r="DX33" s="714" t="s">
        <v>1817</v>
      </c>
      <c r="DY33" s="714" t="s">
        <v>1818</v>
      </c>
      <c r="DZ33" s="714" t="s">
        <v>1819</v>
      </c>
      <c r="EA33" s="714" t="s">
        <v>1820</v>
      </c>
      <c r="EB33" s="714" t="s">
        <v>1821</v>
      </c>
      <c r="EC33" s="714" t="s">
        <v>1822</v>
      </c>
      <c r="ED33" s="714" t="s">
        <v>1823</v>
      </c>
      <c r="EE33" s="714" t="s">
        <v>1824</v>
      </c>
      <c r="EF33" s="714" t="s">
        <v>1825</v>
      </c>
      <c r="EG33" s="714" t="s">
        <v>1826</v>
      </c>
      <c r="EH33" s="714" t="s">
        <v>1827</v>
      </c>
      <c r="EI33" s="714" t="s">
        <v>1828</v>
      </c>
      <c r="EJ33" s="714" t="s">
        <v>1829</v>
      </c>
      <c r="EK33" s="714" t="s">
        <v>1830</v>
      </c>
      <c r="EL33" s="714" t="s">
        <v>1831</v>
      </c>
      <c r="EM33" s="714" t="s">
        <v>1832</v>
      </c>
      <c r="EN33" s="714" t="s">
        <v>1833</v>
      </c>
      <c r="EO33" s="714" t="s">
        <v>1834</v>
      </c>
      <c r="EP33" s="714" t="s">
        <v>1835</v>
      </c>
      <c r="EQ33" s="714" t="s">
        <v>1836</v>
      </c>
      <c r="ER33" s="714" t="s">
        <v>1837</v>
      </c>
      <c r="ES33" s="714" t="s">
        <v>1838</v>
      </c>
      <c r="ET33" s="714" t="s">
        <v>1839</v>
      </c>
      <c r="EU33" s="714" t="s">
        <v>1840</v>
      </c>
      <c r="EV33" s="714" t="s">
        <v>1841</v>
      </c>
      <c r="EW33" s="714" t="s">
        <v>1842</v>
      </c>
      <c r="EX33" s="714" t="s">
        <v>1843</v>
      </c>
      <c r="EY33" s="714" t="s">
        <v>1844</v>
      </c>
      <c r="EZ33" s="714" t="s">
        <v>1845</v>
      </c>
      <c r="FA33" s="714" t="s">
        <v>1846</v>
      </c>
      <c r="FB33" s="714" t="s">
        <v>1847</v>
      </c>
      <c r="FC33" s="714" t="s">
        <v>1848</v>
      </c>
      <c r="FD33" s="714" t="s">
        <v>1849</v>
      </c>
      <c r="FE33" s="714" t="s">
        <v>1850</v>
      </c>
      <c r="FF33" s="714" t="s">
        <v>1851</v>
      </c>
      <c r="FG33" s="714" t="s">
        <v>1852</v>
      </c>
      <c r="FH33" s="714" t="s">
        <v>1853</v>
      </c>
      <c r="FI33" s="714" t="s">
        <v>1854</v>
      </c>
      <c r="FJ33" s="714" t="s">
        <v>1855</v>
      </c>
      <c r="FK33" s="714" t="s">
        <v>1856</v>
      </c>
      <c r="FL33" s="714" t="s">
        <v>1857</v>
      </c>
      <c r="FM33" s="714" t="s">
        <v>1858</v>
      </c>
      <c r="FN33" s="714" t="s">
        <v>1859</v>
      </c>
      <c r="FO33" s="714" t="s">
        <v>1860</v>
      </c>
      <c r="FP33" s="714" t="s">
        <v>1861</v>
      </c>
      <c r="FQ33" s="714" t="s">
        <v>1862</v>
      </c>
      <c r="FR33" s="714" t="s">
        <v>1863</v>
      </c>
      <c r="FS33" s="714" t="s">
        <v>1864</v>
      </c>
      <c r="FT33" s="714" t="s">
        <v>1865</v>
      </c>
      <c r="FU33" s="714" t="s">
        <v>1866</v>
      </c>
      <c r="FV33" s="714" t="s">
        <v>1867</v>
      </c>
      <c r="FW33" s="714" t="s">
        <v>1868</v>
      </c>
      <c r="FX33" s="714" t="s">
        <v>1869</v>
      </c>
      <c r="FY33" s="714" t="s">
        <v>1870</v>
      </c>
      <c r="FZ33" s="714" t="s">
        <v>1871</v>
      </c>
      <c r="GA33" s="714" t="s">
        <v>1872</v>
      </c>
      <c r="GB33" s="714" t="s">
        <v>1873</v>
      </c>
      <c r="GC33" s="714" t="s">
        <v>1874</v>
      </c>
      <c r="GD33" s="714" t="s">
        <v>1875</v>
      </c>
      <c r="GE33" s="714" t="s">
        <v>1876</v>
      </c>
      <c r="GF33" s="714" t="s">
        <v>1877</v>
      </c>
      <c r="GG33" s="714" t="s">
        <v>1878</v>
      </c>
      <c r="GH33" s="714" t="s">
        <v>1879</v>
      </c>
      <c r="GI33" s="714" t="s">
        <v>1880</v>
      </c>
      <c r="GJ33" s="714" t="s">
        <v>1881</v>
      </c>
      <c r="GK33" s="714" t="s">
        <v>1882</v>
      </c>
      <c r="GL33" s="714" t="s">
        <v>1883</v>
      </c>
      <c r="GM33" s="714" t="s">
        <v>1884</v>
      </c>
      <c r="GN33" s="714" t="s">
        <v>1885</v>
      </c>
      <c r="GO33" s="714" t="s">
        <v>1886</v>
      </c>
      <c r="GP33" s="714" t="s">
        <v>1887</v>
      </c>
      <c r="GQ33" s="714" t="s">
        <v>1888</v>
      </c>
      <c r="GR33" s="714" t="s">
        <v>1889</v>
      </c>
      <c r="GS33" s="714" t="s">
        <v>1890</v>
      </c>
      <c r="GT33" s="714" t="s">
        <v>1891</v>
      </c>
      <c r="GU33" s="714" t="s">
        <v>1892</v>
      </c>
      <c r="GV33" s="714" t="s">
        <v>1893</v>
      </c>
      <c r="GW33" s="714" t="s">
        <v>1894</v>
      </c>
      <c r="GX33" s="714" t="s">
        <v>1895</v>
      </c>
      <c r="GY33" s="714" t="s">
        <v>1896</v>
      </c>
      <c r="GZ33" s="714" t="s">
        <v>1897</v>
      </c>
      <c r="HA33" s="714" t="s">
        <v>1898</v>
      </c>
      <c r="HB33" s="714" t="s">
        <v>1899</v>
      </c>
      <c r="HC33" s="714" t="s">
        <v>1900</v>
      </c>
      <c r="HD33" s="714" t="s">
        <v>1901</v>
      </c>
      <c r="HE33" s="714" t="s">
        <v>1902</v>
      </c>
      <c r="HF33" s="714" t="s">
        <v>1903</v>
      </c>
      <c r="HG33" s="714" t="s">
        <v>1904</v>
      </c>
      <c r="HH33" s="714" t="s">
        <v>1905</v>
      </c>
      <c r="HI33" s="714" t="s">
        <v>1906</v>
      </c>
      <c r="HJ33" s="714" t="s">
        <v>1907</v>
      </c>
      <c r="HK33" s="714" t="s">
        <v>1908</v>
      </c>
      <c r="HL33" s="714" t="s">
        <v>1909</v>
      </c>
      <c r="HM33" s="714" t="s">
        <v>1910</v>
      </c>
      <c r="HN33" s="714" t="s">
        <v>1911</v>
      </c>
      <c r="HO33" s="714" t="s">
        <v>1912</v>
      </c>
      <c r="HP33" s="714" t="s">
        <v>1913</v>
      </c>
      <c r="HQ33" s="714" t="s">
        <v>1914</v>
      </c>
      <c r="HR33" s="714" t="s">
        <v>1915</v>
      </c>
      <c r="HS33" s="714" t="s">
        <v>1916</v>
      </c>
      <c r="HT33" s="714" t="s">
        <v>1917</v>
      </c>
      <c r="HU33" s="714" t="s">
        <v>1918</v>
      </c>
      <c r="HV33" s="714" t="s">
        <v>1919</v>
      </c>
      <c r="HW33" s="714" t="s">
        <v>1920</v>
      </c>
      <c r="HX33" s="714" t="s">
        <v>1921</v>
      </c>
      <c r="HY33" s="714" t="s">
        <v>1922</v>
      </c>
      <c r="HZ33" s="714" t="s">
        <v>1923</v>
      </c>
      <c r="IA33" s="714" t="s">
        <v>1924</v>
      </c>
      <c r="IB33" s="714" t="s">
        <v>1925</v>
      </c>
      <c r="IC33" s="714" t="s">
        <v>1926</v>
      </c>
      <c r="ID33" s="714" t="s">
        <v>1927</v>
      </c>
      <c r="IE33" s="714" t="s">
        <v>1928</v>
      </c>
      <c r="IF33" s="714" t="s">
        <v>1929</v>
      </c>
      <c r="IG33" s="714" t="s">
        <v>1930</v>
      </c>
      <c r="IH33" s="714" t="s">
        <v>1931</v>
      </c>
      <c r="II33" s="714" t="s">
        <v>1932</v>
      </c>
      <c r="IJ33" s="714" t="s">
        <v>1933</v>
      </c>
      <c r="IK33" s="714" t="s">
        <v>1934</v>
      </c>
      <c r="IL33" s="714" t="s">
        <v>1935</v>
      </c>
      <c r="IM33" s="714" t="s">
        <v>1936</v>
      </c>
      <c r="IN33" s="714" t="s">
        <v>1937</v>
      </c>
      <c r="IO33" s="714" t="s">
        <v>1938</v>
      </c>
      <c r="IP33" s="714" t="s">
        <v>1939</v>
      </c>
      <c r="IQ33" s="714" t="s">
        <v>1940</v>
      </c>
      <c r="IR33" s="714" t="s">
        <v>1941</v>
      </c>
      <c r="IS33" s="714" t="s">
        <v>1942</v>
      </c>
      <c r="IT33" s="714" t="s">
        <v>1943</v>
      </c>
      <c r="IU33" s="714" t="s">
        <v>1944</v>
      </c>
      <c r="IV33" s="714" t="s">
        <v>1945</v>
      </c>
      <c r="IW33" s="714" t="s">
        <v>1946</v>
      </c>
      <c r="IX33" s="714" t="s">
        <v>1947</v>
      </c>
      <c r="IY33" s="714" t="s">
        <v>1948</v>
      </c>
      <c r="IZ33" s="714" t="s">
        <v>1949</v>
      </c>
      <c r="JA33" s="714" t="s">
        <v>1950</v>
      </c>
      <c r="JB33" s="714" t="s">
        <v>1951</v>
      </c>
      <c r="JC33" s="714" t="s">
        <v>1952</v>
      </c>
      <c r="JD33" s="714" t="s">
        <v>1953</v>
      </c>
      <c r="JE33" s="714" t="s">
        <v>1954</v>
      </c>
      <c r="JF33" s="714" t="s">
        <v>1955</v>
      </c>
      <c r="JG33" s="714" t="s">
        <v>1956</v>
      </c>
      <c r="JH33" s="714" t="s">
        <v>1957</v>
      </c>
      <c r="JI33" s="714" t="s">
        <v>1958</v>
      </c>
      <c r="JJ33" s="714" t="s">
        <v>1959</v>
      </c>
      <c r="JK33" s="714" t="s">
        <v>1960</v>
      </c>
      <c r="JL33" s="714" t="s">
        <v>1961</v>
      </c>
      <c r="JM33" s="714" t="s">
        <v>1962</v>
      </c>
      <c r="JN33" s="714" t="s">
        <v>1963</v>
      </c>
      <c r="JO33" s="714" t="s">
        <v>1964</v>
      </c>
      <c r="JP33" s="714" t="s">
        <v>1965</v>
      </c>
      <c r="JQ33" s="714" t="s">
        <v>1966</v>
      </c>
      <c r="JR33" s="714" t="s">
        <v>1967</v>
      </c>
      <c r="JS33" s="714" t="s">
        <v>1968</v>
      </c>
      <c r="JT33" s="714" t="s">
        <v>1969</v>
      </c>
      <c r="JU33" s="714" t="s">
        <v>1970</v>
      </c>
      <c r="JV33" s="714" t="s">
        <v>1971</v>
      </c>
      <c r="JW33" s="714" t="s">
        <v>1972</v>
      </c>
      <c r="JX33" s="714" t="s">
        <v>1973</v>
      </c>
      <c r="JY33" s="714" t="s">
        <v>1974</v>
      </c>
      <c r="JZ33" s="714" t="s">
        <v>1975</v>
      </c>
      <c r="KA33" s="714" t="s">
        <v>1976</v>
      </c>
      <c r="KB33" s="714" t="s">
        <v>1977</v>
      </c>
      <c r="KC33" s="714" t="s">
        <v>1978</v>
      </c>
      <c r="KD33" s="714" t="s">
        <v>1979</v>
      </c>
      <c r="KE33" s="714" t="s">
        <v>1980</v>
      </c>
      <c r="KF33" s="714" t="s">
        <v>1981</v>
      </c>
      <c r="KG33" s="714" t="s">
        <v>1982</v>
      </c>
      <c r="KH33" s="714" t="s">
        <v>1983</v>
      </c>
      <c r="KI33" s="714" t="s">
        <v>1984</v>
      </c>
      <c r="KJ33" s="714" t="s">
        <v>1985</v>
      </c>
      <c r="KK33" s="714" t="s">
        <v>1986</v>
      </c>
      <c r="KL33" s="714" t="s">
        <v>1987</v>
      </c>
      <c r="KM33" s="714" t="s">
        <v>1988</v>
      </c>
      <c r="KN33" s="714" t="s">
        <v>1989</v>
      </c>
      <c r="KO33" s="714" t="s">
        <v>1990</v>
      </c>
      <c r="KP33" s="714" t="s">
        <v>1991</v>
      </c>
      <c r="KQ33" s="717" t="s">
        <v>1669</v>
      </c>
    </row>
    <row r="34" spans="1:305" ht="29.1" customHeight="1" x14ac:dyDescent="0.25">
      <c r="A34" s="81"/>
      <c r="B34" s="703" t="s">
        <v>1260</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1262</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1669</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1210</v>
      </c>
      <c r="D38" s="714" t="s">
        <v>1222</v>
      </c>
      <c r="E38" s="717" t="s">
        <v>1670</v>
      </c>
      <c r="F38" s="717" t="s">
        <v>1671</v>
      </c>
      <c r="G38" s="717" t="s">
        <v>1672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1260</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1262</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1261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topLeftCell="B6" zoomScale="70" zoomScaleNormal="70" workbookViewId="0">
      <selection activeCell="O19" sqref="O19"/>
    </sheetView>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1997</v>
      </c>
      <c r="B1" s="111"/>
      <c r="C1" s="111"/>
      <c r="D1" s="111"/>
      <c r="E1" s="111"/>
      <c r="F1" s="111"/>
      <c r="G1" s="111"/>
      <c r="H1" s="111"/>
      <c r="I1" s="111"/>
      <c r="J1" s="111"/>
      <c r="K1" s="111"/>
      <c r="L1" s="111"/>
      <c r="N1" s="1" t="s">
        <v>1069</v>
      </c>
      <c r="O1" s="29" t="s">
        <v>811</v>
      </c>
      <c r="P1" s="4" t="s">
        <v>1393</v>
      </c>
      <c r="Q1" s="4" t="s">
        <v>1394</v>
      </c>
      <c r="R1" s="4" t="s">
        <v>1396</v>
      </c>
      <c r="S1" s="4" t="s">
        <v>1395</v>
      </c>
      <c r="T1" s="4" t="s">
        <v>1397</v>
      </c>
      <c r="U1" s="4" t="s">
        <v>1407</v>
      </c>
      <c r="V1" s="4" t="s">
        <v>1398</v>
      </c>
      <c r="W1" s="4" t="s">
        <v>1406</v>
      </c>
      <c r="X1" s="4" t="s">
        <v>1399</v>
      </c>
      <c r="Y1" s="4" t="s">
        <v>1408</v>
      </c>
      <c r="Z1" s="4" t="s">
        <v>1401</v>
      </c>
      <c r="AA1" s="75" t="s">
        <v>1402</v>
      </c>
      <c r="AB1" s="75" t="s">
        <v>1403</v>
      </c>
      <c r="AC1" s="75" t="s">
        <v>1404</v>
      </c>
      <c r="AD1" s="75" t="s">
        <v>1405</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1392</v>
      </c>
      <c r="O2" s="228"/>
      <c r="P2" s="229" t="s">
        <v>1243</v>
      </c>
      <c r="Q2" s="229" t="s">
        <v>1243</v>
      </c>
      <c r="R2" s="229" t="s">
        <v>1243</v>
      </c>
      <c r="S2" s="229" t="s">
        <v>1243</v>
      </c>
      <c r="T2" s="229" t="s">
        <v>1243</v>
      </c>
      <c r="U2" s="229" t="s">
        <v>1243</v>
      </c>
      <c r="V2" s="229" t="s">
        <v>1243</v>
      </c>
      <c r="W2" s="229" t="s">
        <v>1243</v>
      </c>
      <c r="X2" s="229" t="s">
        <v>1243</v>
      </c>
      <c r="Y2" s="230" t="s">
        <v>1400</v>
      </c>
      <c r="Z2" s="229" t="s">
        <v>1243</v>
      </c>
      <c r="AA2" s="229" t="s">
        <v>1243</v>
      </c>
      <c r="AB2" s="231" t="s">
        <v>1243</v>
      </c>
      <c r="AC2" s="229" t="s">
        <v>1243</v>
      </c>
      <c r="AD2" s="229" t="s">
        <v>1243</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4</v>
      </c>
      <c r="D3" s="96">
        <v>8.6399999999999991E-2</v>
      </c>
      <c r="E3" s="96">
        <v>0.10919999999999999</v>
      </c>
      <c r="F3" s="96">
        <v>0</v>
      </c>
      <c r="G3" s="96">
        <v>0</v>
      </c>
      <c r="H3" s="96">
        <v>0</v>
      </c>
      <c r="I3" s="96">
        <v>0</v>
      </c>
      <c r="J3" s="96">
        <v>0</v>
      </c>
      <c r="K3" s="96">
        <v>0.15119999999999997</v>
      </c>
      <c r="L3" s="96">
        <v>1268</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4</v>
      </c>
      <c r="D4" s="96">
        <v>8.6399999999999991E-2</v>
      </c>
      <c r="E4" s="96">
        <v>0.10919999999999999</v>
      </c>
      <c r="F4" s="96">
        <v>0</v>
      </c>
      <c r="G4" s="96">
        <v>0</v>
      </c>
      <c r="H4" s="96">
        <v>0</v>
      </c>
      <c r="I4" s="96">
        <v>0</v>
      </c>
      <c r="J4" s="96">
        <v>0</v>
      </c>
      <c r="K4" s="96">
        <v>0.15119999999999997</v>
      </c>
      <c r="L4" s="96">
        <v>1268</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4</v>
      </c>
      <c r="D5" s="96">
        <v>8.6399999999999991E-2</v>
      </c>
      <c r="E5" s="96">
        <v>0.10919999999999999</v>
      </c>
      <c r="F5" s="96">
        <v>0</v>
      </c>
      <c r="G5" s="96">
        <v>0</v>
      </c>
      <c r="H5" s="96">
        <v>0</v>
      </c>
      <c r="I5" s="96">
        <v>0</v>
      </c>
      <c r="J5" s="96">
        <v>0</v>
      </c>
      <c r="K5" s="96">
        <v>0.15119999999999997</v>
      </c>
      <c r="L5" s="96">
        <v>1268</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4</v>
      </c>
      <c r="D6" s="96">
        <v>8.6399999999999991E-2</v>
      </c>
      <c r="E6" s="96">
        <v>0.10919999999999999</v>
      </c>
      <c r="F6" s="96">
        <v>0</v>
      </c>
      <c r="G6" s="96">
        <v>0</v>
      </c>
      <c r="H6" s="96">
        <v>0</v>
      </c>
      <c r="I6" s="96">
        <v>0</v>
      </c>
      <c r="J6" s="96">
        <v>0</v>
      </c>
      <c r="K6" s="96">
        <v>0.15119999999999997</v>
      </c>
      <c r="L6" s="96">
        <v>1268</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4</v>
      </c>
      <c r="D7" s="96">
        <v>8.6399999999999991E-2</v>
      </c>
      <c r="E7" s="96">
        <v>0.10919999999999999</v>
      </c>
      <c r="F7" s="96">
        <v>0</v>
      </c>
      <c r="G7" s="96">
        <v>0</v>
      </c>
      <c r="H7" s="96">
        <v>0</v>
      </c>
      <c r="I7" s="96">
        <v>0</v>
      </c>
      <c r="J7" s="96">
        <v>0</v>
      </c>
      <c r="K7" s="96">
        <v>0.15119999999999997</v>
      </c>
      <c r="L7" s="96">
        <v>1268</v>
      </c>
      <c r="M7" s="27"/>
      <c r="N7" s="213" t="s">
        <v>1233</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4</v>
      </c>
      <c r="D8" s="96">
        <v>8.6399999999999991E-2</v>
      </c>
      <c r="E8" s="96">
        <v>0.10919999999999999</v>
      </c>
      <c r="F8" s="96">
        <v>0</v>
      </c>
      <c r="G8" s="96">
        <v>0</v>
      </c>
      <c r="H8" s="96">
        <v>0</v>
      </c>
      <c r="I8" s="96">
        <v>0</v>
      </c>
      <c r="J8" s="96">
        <v>0</v>
      </c>
      <c r="K8" s="96">
        <v>0.15119999999999997</v>
      </c>
      <c r="L8" s="96">
        <v>1268</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4</v>
      </c>
      <c r="D9" s="96">
        <v>8.6399999999999991E-2</v>
      </c>
      <c r="E9" s="96">
        <v>0.10919999999999999</v>
      </c>
      <c r="F9" s="96">
        <v>0</v>
      </c>
      <c r="G9" s="96">
        <v>0</v>
      </c>
      <c r="H9" s="96">
        <v>0</v>
      </c>
      <c r="I9" s="96">
        <v>0</v>
      </c>
      <c r="J9" s="96">
        <v>0</v>
      </c>
      <c r="K9" s="96">
        <v>0.15119999999999997</v>
      </c>
      <c r="L9" s="96">
        <v>1268</v>
      </c>
      <c r="M9" s="27"/>
      <c r="N9" s="215" t="s">
        <v>1391</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4</v>
      </c>
      <c r="D10" s="96">
        <v>8.6399999999999991E-2</v>
      </c>
      <c r="E10" s="96">
        <v>0.10919999999999999</v>
      </c>
      <c r="F10" s="96">
        <v>0</v>
      </c>
      <c r="G10" s="96">
        <v>0</v>
      </c>
      <c r="H10" s="96">
        <v>0</v>
      </c>
      <c r="I10" s="96">
        <v>0</v>
      </c>
      <c r="J10" s="96">
        <v>0</v>
      </c>
      <c r="K10" s="96">
        <v>0.15119999999999997</v>
      </c>
      <c r="L10" s="96">
        <v>1268</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4</v>
      </c>
      <c r="D11" s="96">
        <v>8.6399999999999991E-2</v>
      </c>
      <c r="E11" s="96">
        <v>0.10919999999999999</v>
      </c>
      <c r="F11" s="96">
        <v>0</v>
      </c>
      <c r="G11" s="96">
        <v>0</v>
      </c>
      <c r="H11" s="96">
        <v>0</v>
      </c>
      <c r="I11" s="96">
        <v>0</v>
      </c>
      <c r="J11" s="96">
        <v>0</v>
      </c>
      <c r="K11" s="96">
        <v>0.15119999999999997</v>
      </c>
      <c r="L11" s="96">
        <v>1268</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4</v>
      </c>
      <c r="D12" s="96">
        <v>8.6399999999999991E-2</v>
      </c>
      <c r="E12" s="96">
        <v>0.10919999999999999</v>
      </c>
      <c r="F12" s="96">
        <v>0</v>
      </c>
      <c r="G12" s="96">
        <v>0</v>
      </c>
      <c r="H12" s="96">
        <v>0</v>
      </c>
      <c r="I12" s="96">
        <v>0</v>
      </c>
      <c r="J12" s="96">
        <v>0</v>
      </c>
      <c r="K12" s="96">
        <v>0.15119999999999997</v>
      </c>
      <c r="L12" s="96">
        <v>1268</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4</v>
      </c>
      <c r="D13" s="105">
        <v>0.13631999999999994</v>
      </c>
      <c r="E13" s="105">
        <v>0.17279999999999998</v>
      </c>
      <c r="F13" s="105">
        <v>4.2666666666666675</v>
      </c>
      <c r="G13" s="105">
        <v>0.59153599999999995</v>
      </c>
      <c r="H13" s="105">
        <v>0</v>
      </c>
      <c r="I13" s="105">
        <v>0</v>
      </c>
      <c r="J13" s="105">
        <v>0</v>
      </c>
      <c r="K13" s="105">
        <v>0.28248000000000001</v>
      </c>
      <c r="L13" s="105">
        <v>2000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4</v>
      </c>
      <c r="D14" s="96">
        <v>0.13631999999999994</v>
      </c>
      <c r="E14" s="50">
        <v>0.17279999999999998</v>
      </c>
      <c r="F14" s="50">
        <v>0</v>
      </c>
      <c r="G14" s="50">
        <v>0</v>
      </c>
      <c r="H14" s="50">
        <v>5.5661866666666659</v>
      </c>
      <c r="I14" s="50">
        <v>0</v>
      </c>
      <c r="J14" s="50">
        <v>4.5112088888888895</v>
      </c>
      <c r="K14" s="50">
        <v>0.28248000000000001</v>
      </c>
      <c r="L14" s="50">
        <v>2000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4</v>
      </c>
      <c r="D15" s="96">
        <v>0.13631999999999994</v>
      </c>
      <c r="E15" s="50">
        <v>0.17279999999999998</v>
      </c>
      <c r="F15" s="50">
        <v>4.2666666666666675</v>
      </c>
      <c r="G15" s="50">
        <v>0.59153599999999995</v>
      </c>
      <c r="H15" s="50">
        <v>0</v>
      </c>
      <c r="I15" s="50">
        <v>3.2000000000000006</v>
      </c>
      <c r="J15" s="50">
        <v>0</v>
      </c>
      <c r="K15" s="50">
        <v>0.28248000000000001</v>
      </c>
      <c r="L15" s="50">
        <v>2000</v>
      </c>
      <c r="M15" s="27"/>
      <c r="N15" s="239" t="s">
        <v>1168</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1233</v>
      </c>
      <c r="C16" s="32">
        <f t="shared" si="0"/>
        <v>4</v>
      </c>
      <c r="D16" s="96">
        <v>0.13631999999999994</v>
      </c>
      <c r="E16" s="50">
        <v>0.17279999999999998</v>
      </c>
      <c r="F16" s="50">
        <v>0</v>
      </c>
      <c r="G16" s="50">
        <v>0</v>
      </c>
      <c r="H16" s="50">
        <v>0</v>
      </c>
      <c r="I16" s="50">
        <v>0</v>
      </c>
      <c r="J16" s="50">
        <v>0</v>
      </c>
      <c r="K16" s="50">
        <v>0.28248000000000001</v>
      </c>
      <c r="L16" s="50">
        <v>2000</v>
      </c>
      <c r="M16" s="27"/>
      <c r="N16" s="219" t="s">
        <v>1068</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1233</v>
      </c>
      <c r="C17" s="32">
        <f t="shared" si="0"/>
        <v>4</v>
      </c>
      <c r="D17" s="96">
        <v>0.13631999999999994</v>
      </c>
      <c r="E17" s="50">
        <v>0.17279999999999998</v>
      </c>
      <c r="F17" s="50">
        <v>0</v>
      </c>
      <c r="G17" s="50">
        <v>0</v>
      </c>
      <c r="H17" s="50">
        <v>0</v>
      </c>
      <c r="I17" s="50">
        <v>0</v>
      </c>
      <c r="J17" s="50">
        <v>0</v>
      </c>
      <c r="K17" s="50">
        <v>0.28248000000000001</v>
      </c>
      <c r="L17" s="50">
        <v>2000</v>
      </c>
      <c r="M17" s="27"/>
      <c r="N17" s="223" t="s">
        <v>1390</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1233</v>
      </c>
      <c r="C18" s="32">
        <f t="shared" si="0"/>
        <v>4</v>
      </c>
      <c r="D18" s="96">
        <v>0.13631999999999994</v>
      </c>
      <c r="E18" s="50">
        <v>0.17279999999999998</v>
      </c>
      <c r="F18" s="50">
        <v>0</v>
      </c>
      <c r="G18" s="50">
        <v>0</v>
      </c>
      <c r="H18" s="50">
        <v>0</v>
      </c>
      <c r="I18" s="50">
        <v>0</v>
      </c>
      <c r="J18" s="50">
        <v>0</v>
      </c>
      <c r="K18" s="50">
        <v>0.28248000000000001</v>
      </c>
      <c r="L18" s="50">
        <v>2000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1233</v>
      </c>
      <c r="C19" s="32">
        <f t="shared" si="0"/>
        <v>4</v>
      </c>
      <c r="D19" s="96">
        <v>0.13631999999999994</v>
      </c>
      <c r="E19" s="50">
        <v>0.17279999999999998</v>
      </c>
      <c r="F19" s="50">
        <v>0</v>
      </c>
      <c r="G19" s="50">
        <v>0</v>
      </c>
      <c r="H19" s="50">
        <v>0</v>
      </c>
      <c r="I19" s="50">
        <v>0</v>
      </c>
      <c r="J19" s="50">
        <v>0</v>
      </c>
      <c r="K19" s="50">
        <v>0.28248000000000001</v>
      </c>
      <c r="L19" s="50">
        <v>2000</v>
      </c>
      <c r="M19" s="27"/>
      <c r="N19" t="s">
        <v>1409</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1233</v>
      </c>
      <c r="C20" s="32">
        <f t="shared" si="0"/>
        <v>4</v>
      </c>
      <c r="D20" s="96">
        <v>0.13631999999999994</v>
      </c>
      <c r="E20" s="50">
        <v>0.17279999999999998</v>
      </c>
      <c r="F20" s="50">
        <v>0</v>
      </c>
      <c r="G20" s="50">
        <v>0</v>
      </c>
      <c r="H20" s="50">
        <v>0</v>
      </c>
      <c r="I20" s="50">
        <v>0</v>
      </c>
      <c r="J20" s="50">
        <v>0</v>
      </c>
      <c r="K20" s="50">
        <v>0.28248000000000001</v>
      </c>
      <c r="L20" s="50">
        <v>2000</v>
      </c>
      <c r="M20" s="27"/>
      <c r="N20" t="s">
        <v>1421</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1233</v>
      </c>
      <c r="C21" s="32">
        <f t="shared" si="0"/>
        <v>4</v>
      </c>
      <c r="D21" s="96">
        <v>0.13631999999999994</v>
      </c>
      <c r="E21" s="50">
        <v>0.17279999999999998</v>
      </c>
      <c r="F21" s="50">
        <v>0</v>
      </c>
      <c r="G21" s="50">
        <v>0</v>
      </c>
      <c r="H21" s="50">
        <v>0</v>
      </c>
      <c r="I21" s="50">
        <v>0</v>
      </c>
      <c r="J21" s="50">
        <v>0</v>
      </c>
      <c r="K21" s="50">
        <v>0.28248000000000001</v>
      </c>
      <c r="L21" s="50">
        <v>2000</v>
      </c>
      <c r="M21" s="27"/>
      <c r="N21" t="s">
        <v>1420</v>
      </c>
      <c r="O21">
        <v>0</v>
      </c>
      <c r="AE21" s="63"/>
      <c r="AF21" s="63"/>
      <c r="AG21" s="34"/>
      <c r="AM21" s="34"/>
      <c r="AS21" s="34"/>
      <c r="AY21" s="34"/>
      <c r="BE21" s="34"/>
      <c r="BK21" s="34"/>
    </row>
    <row r="22" spans="1:63" x14ac:dyDescent="0.25">
      <c r="A22" s="107">
        <v>0.39583333333333298</v>
      </c>
      <c r="B22" s="32" t="s">
        <v>806</v>
      </c>
      <c r="C22" s="32">
        <f t="shared" si="0"/>
        <v>4</v>
      </c>
      <c r="D22" s="96">
        <v>0.94560000000000011</v>
      </c>
      <c r="E22" s="50">
        <v>1.1963999999999999</v>
      </c>
      <c r="F22" s="50">
        <v>0</v>
      </c>
      <c r="G22" s="50">
        <v>0</v>
      </c>
      <c r="H22" s="50">
        <v>0</v>
      </c>
      <c r="I22" s="50">
        <v>0</v>
      </c>
      <c r="J22" s="50">
        <v>0</v>
      </c>
      <c r="K22" s="50">
        <v>2.1559200000000005</v>
      </c>
      <c r="L22" s="50">
        <v>8234</v>
      </c>
      <c r="M22" s="27"/>
      <c r="N22" s="71" t="s">
        <v>1188</v>
      </c>
      <c r="O22" s="73" t="s">
        <v>1189</v>
      </c>
      <c r="AE22" s="63"/>
      <c r="AF22" s="63"/>
      <c r="AG22" s="34"/>
      <c r="AM22" s="34"/>
      <c r="AS22" s="34"/>
      <c r="AY22" s="34"/>
      <c r="BE22" s="34"/>
      <c r="BK22" s="34"/>
    </row>
    <row r="23" spans="1:63" x14ac:dyDescent="0.25">
      <c r="A23" s="107">
        <v>0.41666666666666702</v>
      </c>
      <c r="B23" s="32" t="s">
        <v>807</v>
      </c>
      <c r="C23" s="32">
        <f t="shared" si="0"/>
        <v>4</v>
      </c>
      <c r="D23" s="96">
        <v>0.13631999999999994</v>
      </c>
      <c r="E23" s="50">
        <v>0.17279999999999998</v>
      </c>
      <c r="F23" s="50">
        <v>0</v>
      </c>
      <c r="G23" s="50">
        <v>0</v>
      </c>
      <c r="H23" s="50">
        <v>1.5516899999999998</v>
      </c>
      <c r="I23" s="50">
        <v>0.40000000000000008</v>
      </c>
      <c r="J23" s="50">
        <v>0</v>
      </c>
      <c r="K23" s="50">
        <v>1.1248800000000003</v>
      </c>
      <c r="L23" s="50">
        <v>4699</v>
      </c>
      <c r="M23" s="27"/>
      <c r="N23" s="72" t="s">
        <v>1187</v>
      </c>
      <c r="O23" s="94">
        <v>0.7</v>
      </c>
      <c r="AE23" s="63"/>
      <c r="AF23" s="63"/>
      <c r="AG23" s="34"/>
      <c r="AM23" s="34"/>
      <c r="AS23" s="34"/>
      <c r="AY23" s="34"/>
      <c r="BE23" s="34"/>
      <c r="BK23" s="34"/>
    </row>
    <row r="24" spans="1:63" x14ac:dyDescent="0.25">
      <c r="A24" s="107">
        <v>0.4375</v>
      </c>
      <c r="B24" s="32" t="s">
        <v>807</v>
      </c>
      <c r="C24" s="32">
        <f t="shared" si="0"/>
        <v>4</v>
      </c>
      <c r="D24" s="96">
        <v>0.13631999999999994</v>
      </c>
      <c r="E24" s="50">
        <v>0.17279999999999998</v>
      </c>
      <c r="F24" s="50">
        <v>0</v>
      </c>
      <c r="G24" s="50">
        <v>0</v>
      </c>
      <c r="H24" s="50">
        <v>1.5516899999999998</v>
      </c>
      <c r="I24" s="50">
        <v>0.40000000000000008</v>
      </c>
      <c r="J24" s="50">
        <v>0</v>
      </c>
      <c r="K24" s="50">
        <v>1.1248800000000003</v>
      </c>
      <c r="L24" s="50">
        <v>4699</v>
      </c>
      <c r="M24" s="27"/>
      <c r="N24" t="s">
        <v>1192</v>
      </c>
      <c r="O24" s="82">
        <v>15.2</v>
      </c>
      <c r="AE24" s="63"/>
      <c r="AF24" s="63"/>
      <c r="AG24" s="34"/>
      <c r="AM24" s="34"/>
      <c r="AS24" s="34"/>
      <c r="AY24" s="34"/>
      <c r="BE24" s="34"/>
      <c r="BK24" s="34"/>
    </row>
    <row r="25" spans="1:63" x14ac:dyDescent="0.25">
      <c r="A25" s="107">
        <v>0.45833333333333298</v>
      </c>
      <c r="B25" s="32" t="s">
        <v>809</v>
      </c>
      <c r="C25" s="32">
        <f t="shared" si="0"/>
        <v>4</v>
      </c>
      <c r="D25" s="96">
        <v>0.13631999999999994</v>
      </c>
      <c r="E25" s="50">
        <v>0.17279999999999998</v>
      </c>
      <c r="F25" s="50">
        <v>0</v>
      </c>
      <c r="G25" s="50">
        <v>0</v>
      </c>
      <c r="H25" s="50">
        <v>2.783093333333333</v>
      </c>
      <c r="I25" s="50">
        <v>0.40000000000000008</v>
      </c>
      <c r="J25" s="50">
        <v>2.2556044444444447</v>
      </c>
      <c r="K25" s="50">
        <v>0.28248000000000001</v>
      </c>
      <c r="L25" s="50">
        <v>2000</v>
      </c>
      <c r="M25" s="27"/>
      <c r="AE25" s="63"/>
      <c r="AF25" s="63"/>
      <c r="AG25" s="34"/>
      <c r="AM25" s="34"/>
      <c r="AS25" s="34"/>
      <c r="AY25" s="34"/>
      <c r="BE25" s="34"/>
      <c r="BK25" s="34"/>
    </row>
    <row r="26" spans="1:63" x14ac:dyDescent="0.25">
      <c r="A26" s="107">
        <v>0.47916666666666702</v>
      </c>
      <c r="B26" s="32" t="s">
        <v>809</v>
      </c>
      <c r="C26" s="32">
        <f t="shared" si="0"/>
        <v>4</v>
      </c>
      <c r="D26" s="96">
        <v>0.13631999999999994</v>
      </c>
      <c r="E26" s="50">
        <v>0.17279999999999998</v>
      </c>
      <c r="F26" s="50">
        <v>0</v>
      </c>
      <c r="G26" s="50">
        <v>0</v>
      </c>
      <c r="H26" s="50">
        <v>2.783093333333333</v>
      </c>
      <c r="I26" s="50">
        <v>0.40000000000000008</v>
      </c>
      <c r="J26" s="50">
        <v>2.2556044444444447</v>
      </c>
      <c r="K26" s="50">
        <v>0.28248000000000001</v>
      </c>
      <c r="L26" s="50">
        <v>2000</v>
      </c>
      <c r="M26" s="27"/>
      <c r="AE26" s="27"/>
      <c r="AF26" s="27"/>
      <c r="AG26" s="34"/>
      <c r="AM26" s="34"/>
      <c r="AS26" s="34"/>
      <c r="AY26" s="34"/>
      <c r="BE26" s="34"/>
      <c r="BK26" s="34"/>
    </row>
    <row r="27" spans="1:63" x14ac:dyDescent="0.25">
      <c r="A27" s="107">
        <v>0.5</v>
      </c>
      <c r="B27" s="32" t="s">
        <v>805</v>
      </c>
      <c r="C27" s="32">
        <f t="shared" si="0"/>
        <v>4</v>
      </c>
      <c r="D27" s="96">
        <v>0.13631999999999994</v>
      </c>
      <c r="E27" s="50">
        <v>0.17279999999999998</v>
      </c>
      <c r="F27" s="50">
        <v>0</v>
      </c>
      <c r="G27" s="50">
        <v>0</v>
      </c>
      <c r="H27" s="50">
        <v>0</v>
      </c>
      <c r="I27" s="50">
        <v>0</v>
      </c>
      <c r="J27" s="50">
        <v>0</v>
      </c>
      <c r="K27" s="50">
        <v>0.28248000000000001</v>
      </c>
      <c r="L27" s="50">
        <v>2000</v>
      </c>
      <c r="M27" s="27"/>
      <c r="AE27" s="27"/>
      <c r="AF27" s="27"/>
      <c r="AG27" s="34"/>
      <c r="AM27" s="34"/>
      <c r="AS27" s="34"/>
      <c r="AY27" s="34"/>
      <c r="BE27" s="34"/>
      <c r="BK27" s="34"/>
    </row>
    <row r="28" spans="1:63" x14ac:dyDescent="0.25">
      <c r="A28" s="107">
        <v>0.52083333333333304</v>
      </c>
      <c r="B28" s="32" t="s">
        <v>805</v>
      </c>
      <c r="C28" s="32">
        <f t="shared" si="0"/>
        <v>4</v>
      </c>
      <c r="D28" s="96">
        <v>0.13631999999999994</v>
      </c>
      <c r="E28" s="50">
        <v>0.17279999999999998</v>
      </c>
      <c r="F28" s="50">
        <v>0</v>
      </c>
      <c r="G28" s="50">
        <v>0</v>
      </c>
      <c r="H28" s="50">
        <v>0</v>
      </c>
      <c r="I28" s="50">
        <v>0</v>
      </c>
      <c r="J28" s="50">
        <v>0</v>
      </c>
      <c r="K28" s="50">
        <v>0.28248000000000001</v>
      </c>
      <c r="L28" s="50">
        <v>2000</v>
      </c>
      <c r="M28" s="27"/>
      <c r="N28" s="243"/>
      <c r="O28" s="243"/>
      <c r="AE28" s="27"/>
      <c r="AF28" s="27"/>
      <c r="AG28" s="34"/>
      <c r="AM28" s="34"/>
      <c r="AS28" s="34"/>
      <c r="AY28" s="34"/>
      <c r="BE28" s="34"/>
      <c r="BK28" s="34"/>
    </row>
    <row r="29" spans="1:63" x14ac:dyDescent="0.25">
      <c r="A29" s="107">
        <v>0.54166666666666696</v>
      </c>
      <c r="B29" s="32" t="s">
        <v>805</v>
      </c>
      <c r="C29" s="32">
        <f t="shared" si="0"/>
        <v>4</v>
      </c>
      <c r="D29" s="96">
        <v>0.13631999999999994</v>
      </c>
      <c r="E29" s="50">
        <v>0.17279999999999998</v>
      </c>
      <c r="F29" s="50">
        <v>0</v>
      </c>
      <c r="G29" s="50">
        <v>0</v>
      </c>
      <c r="H29" s="50">
        <v>0</v>
      </c>
      <c r="I29" s="50">
        <v>0</v>
      </c>
      <c r="J29" s="50">
        <v>0</v>
      </c>
      <c r="K29" s="50">
        <v>0.28248000000000001</v>
      </c>
      <c r="L29" s="50">
        <v>2000</v>
      </c>
      <c r="M29" s="27"/>
      <c r="AE29" s="27"/>
      <c r="AF29" s="27"/>
      <c r="AG29" s="34"/>
      <c r="AM29" s="34"/>
      <c r="AS29" s="34"/>
      <c r="AY29" s="34"/>
      <c r="BE29" s="34"/>
      <c r="BK29" s="34"/>
    </row>
    <row r="30" spans="1:63" x14ac:dyDescent="0.25">
      <c r="A30" s="107">
        <v>0.5625</v>
      </c>
      <c r="B30" s="32" t="s">
        <v>805</v>
      </c>
      <c r="C30" s="32">
        <f t="shared" si="0"/>
        <v>4</v>
      </c>
      <c r="D30" s="96">
        <v>0.13631999999999994</v>
      </c>
      <c r="E30" s="50">
        <v>0.17279999999999998</v>
      </c>
      <c r="F30" s="50">
        <v>0</v>
      </c>
      <c r="G30" s="50">
        <v>0</v>
      </c>
      <c r="H30" s="50">
        <v>0</v>
      </c>
      <c r="I30" s="50">
        <v>0</v>
      </c>
      <c r="J30" s="50">
        <v>0</v>
      </c>
      <c r="K30" s="50">
        <v>0.28248000000000001</v>
      </c>
      <c r="L30" s="50">
        <v>2000</v>
      </c>
      <c r="M30" s="27"/>
      <c r="AE30" s="27"/>
      <c r="AF30" s="27"/>
      <c r="AG30" s="34"/>
      <c r="AM30" s="34"/>
      <c r="AS30" s="34"/>
      <c r="AY30" s="34"/>
      <c r="BE30" s="34"/>
      <c r="BK30" s="34"/>
    </row>
    <row r="31" spans="1:63" x14ac:dyDescent="0.25">
      <c r="A31" s="107">
        <v>0.58333333333333304</v>
      </c>
      <c r="B31" s="32" t="s">
        <v>805</v>
      </c>
      <c r="C31" s="32">
        <f t="shared" si="0"/>
        <v>4</v>
      </c>
      <c r="D31" s="96">
        <v>0.13631999999999994</v>
      </c>
      <c r="E31" s="50">
        <v>0.17279999999999998</v>
      </c>
      <c r="F31" s="50">
        <v>0</v>
      </c>
      <c r="G31" s="50">
        <v>0</v>
      </c>
      <c r="H31" s="50">
        <v>0</v>
      </c>
      <c r="I31" s="50">
        <v>0</v>
      </c>
      <c r="J31" s="50">
        <v>0</v>
      </c>
      <c r="K31" s="50">
        <v>0.28248000000000001</v>
      </c>
      <c r="L31" s="50">
        <v>2000</v>
      </c>
      <c r="M31" s="27"/>
      <c r="AE31" s="27"/>
      <c r="AF31" s="27"/>
      <c r="AG31" s="34"/>
      <c r="AM31" s="34"/>
      <c r="AS31" s="34"/>
      <c r="AY31" s="34"/>
      <c r="BE31" s="34"/>
      <c r="BK31" s="34"/>
    </row>
    <row r="32" spans="1:63" x14ac:dyDescent="0.25">
      <c r="A32" s="107">
        <v>0.60416666666666696</v>
      </c>
      <c r="B32" s="32" t="s">
        <v>806</v>
      </c>
      <c r="C32" s="32">
        <f t="shared" si="0"/>
        <v>4</v>
      </c>
      <c r="D32" s="96">
        <v>0.94560000000000011</v>
      </c>
      <c r="E32" s="50">
        <v>1.1963999999999999</v>
      </c>
      <c r="F32" s="50">
        <v>0</v>
      </c>
      <c r="G32" s="50">
        <v>0</v>
      </c>
      <c r="H32" s="50">
        <v>0</v>
      </c>
      <c r="I32" s="50">
        <v>0</v>
      </c>
      <c r="J32" s="50">
        <v>0</v>
      </c>
      <c r="K32" s="50">
        <v>2.1559200000000005</v>
      </c>
      <c r="L32" s="50">
        <v>8234</v>
      </c>
      <c r="M32" s="27"/>
      <c r="AE32" s="27"/>
      <c r="AF32" s="27"/>
      <c r="AG32" s="34"/>
      <c r="AM32" s="34"/>
      <c r="AS32" s="34"/>
      <c r="AY32" s="34"/>
      <c r="BE32" s="34"/>
      <c r="BK32" s="34"/>
    </row>
    <row r="33" spans="1:63" x14ac:dyDescent="0.25">
      <c r="A33" s="107">
        <v>0.625</v>
      </c>
      <c r="B33" s="32" t="s">
        <v>807</v>
      </c>
      <c r="C33" s="32">
        <f t="shared" si="0"/>
        <v>4</v>
      </c>
      <c r="D33" s="96">
        <v>0.13631999999999994</v>
      </c>
      <c r="E33" s="50">
        <v>0.17279999999999998</v>
      </c>
      <c r="F33" s="50">
        <v>0</v>
      </c>
      <c r="G33" s="50">
        <v>0</v>
      </c>
      <c r="H33" s="50">
        <v>1.5516899999999998</v>
      </c>
      <c r="I33" s="50">
        <v>0.40000000000000008</v>
      </c>
      <c r="J33" s="50">
        <v>0</v>
      </c>
      <c r="K33" s="50">
        <v>1.1248800000000003</v>
      </c>
      <c r="L33" s="50">
        <v>4699</v>
      </c>
      <c r="M33" s="27"/>
      <c r="AE33" s="27"/>
      <c r="AF33" s="27"/>
      <c r="AG33" s="34"/>
      <c r="AM33" s="34"/>
      <c r="AS33" s="34"/>
      <c r="AY33" s="34"/>
      <c r="BE33" s="34"/>
      <c r="BK33" s="34"/>
    </row>
    <row r="34" spans="1:63" x14ac:dyDescent="0.25">
      <c r="A34" s="107">
        <v>0.64583333333333304</v>
      </c>
      <c r="B34" s="32" t="s">
        <v>807</v>
      </c>
      <c r="C34" s="32">
        <f t="shared" si="0"/>
        <v>4</v>
      </c>
      <c r="D34" s="96">
        <v>0.13631999999999994</v>
      </c>
      <c r="E34" s="50">
        <v>0.17279999999999998</v>
      </c>
      <c r="F34" s="50">
        <v>0</v>
      </c>
      <c r="G34" s="50">
        <v>0</v>
      </c>
      <c r="H34" s="50">
        <v>1.5516899999999998</v>
      </c>
      <c r="I34" s="50">
        <v>0.40000000000000008</v>
      </c>
      <c r="J34" s="50">
        <v>0</v>
      </c>
      <c r="K34" s="50">
        <v>1.1248800000000003</v>
      </c>
      <c r="L34" s="50">
        <v>4699</v>
      </c>
      <c r="M34" s="27"/>
      <c r="AE34" s="27"/>
      <c r="AF34" s="27"/>
      <c r="AG34" s="34"/>
      <c r="AM34" s="34"/>
      <c r="AS34" s="34"/>
      <c r="AY34" s="34"/>
      <c r="BE34" s="34"/>
      <c r="BK34" s="34"/>
    </row>
    <row r="35" spans="1:63" x14ac:dyDescent="0.25">
      <c r="A35" s="107">
        <v>0.66666666666666696</v>
      </c>
      <c r="B35" s="32" t="s">
        <v>805</v>
      </c>
      <c r="C35" s="32">
        <f t="shared" si="0"/>
        <v>4</v>
      </c>
      <c r="D35" s="96">
        <v>0.13631999999999994</v>
      </c>
      <c r="E35" s="50">
        <v>0.17279999999999998</v>
      </c>
      <c r="F35" s="50">
        <v>0</v>
      </c>
      <c r="G35" s="50">
        <v>0</v>
      </c>
      <c r="H35" s="50">
        <v>0</v>
      </c>
      <c r="I35" s="50">
        <v>0</v>
      </c>
      <c r="J35" s="50">
        <v>0</v>
      </c>
      <c r="K35" s="50">
        <v>0.28248000000000001</v>
      </c>
      <c r="L35" s="50">
        <v>2000</v>
      </c>
      <c r="M35" s="27"/>
      <c r="AE35" s="27"/>
      <c r="AF35" s="27"/>
      <c r="AG35" s="34"/>
      <c r="AM35" s="34"/>
      <c r="AS35" s="34"/>
      <c r="AY35" s="34"/>
      <c r="BE35" s="34"/>
      <c r="BK35" s="34"/>
    </row>
    <row r="36" spans="1:63" x14ac:dyDescent="0.25">
      <c r="A36" s="107">
        <v>0.6875</v>
      </c>
      <c r="B36" s="32" t="s">
        <v>805</v>
      </c>
      <c r="C36" s="32">
        <f t="shared" si="0"/>
        <v>4</v>
      </c>
      <c r="D36" s="96">
        <v>0.13631999999999994</v>
      </c>
      <c r="E36" s="50">
        <v>0.17279999999999998</v>
      </c>
      <c r="F36" s="50">
        <v>0</v>
      </c>
      <c r="G36" s="50">
        <v>0</v>
      </c>
      <c r="H36" s="50">
        <v>0</v>
      </c>
      <c r="I36" s="50">
        <v>0</v>
      </c>
      <c r="J36" s="50">
        <v>0</v>
      </c>
      <c r="K36" s="50">
        <v>0.28248000000000001</v>
      </c>
      <c r="L36" s="50">
        <v>2000</v>
      </c>
      <c r="M36" s="27"/>
      <c r="AE36" s="27"/>
      <c r="AF36" s="27"/>
      <c r="AG36" s="34"/>
      <c r="AM36" s="34"/>
      <c r="AS36" s="34"/>
      <c r="AY36" s="34"/>
      <c r="BE36" s="34"/>
      <c r="BK36" s="34"/>
    </row>
    <row r="37" spans="1:63" x14ac:dyDescent="0.25">
      <c r="A37" s="107">
        <v>0.70833333333333304</v>
      </c>
      <c r="B37" s="32" t="s">
        <v>810</v>
      </c>
      <c r="C37" s="32">
        <f t="shared" si="0"/>
        <v>4</v>
      </c>
      <c r="D37" s="96">
        <v>0.13631999999999994</v>
      </c>
      <c r="E37" s="50">
        <v>0.17279999999999998</v>
      </c>
      <c r="F37" s="50">
        <v>0</v>
      </c>
      <c r="G37" s="50">
        <v>0</v>
      </c>
      <c r="H37" s="50">
        <v>2.783093333333333</v>
      </c>
      <c r="I37" s="50">
        <v>0.40000000000000008</v>
      </c>
      <c r="J37" s="50">
        <v>2.2556044444444447</v>
      </c>
      <c r="K37" s="50">
        <v>0.28248000000000001</v>
      </c>
      <c r="L37" s="50">
        <v>2000</v>
      </c>
      <c r="M37" s="27"/>
      <c r="AE37" s="27"/>
      <c r="AF37" s="27"/>
      <c r="AG37" s="34"/>
      <c r="AM37" s="34"/>
      <c r="AS37" s="34"/>
      <c r="AY37" s="34"/>
      <c r="BE37" s="34"/>
      <c r="BK37" s="34"/>
    </row>
    <row r="38" spans="1:63" x14ac:dyDescent="0.25">
      <c r="A38" s="107">
        <v>0.72916666666666696</v>
      </c>
      <c r="B38" s="32" t="s">
        <v>810</v>
      </c>
      <c r="C38" s="32">
        <f t="shared" si="0"/>
        <v>4</v>
      </c>
      <c r="D38" s="96">
        <v>0.13631999999999994</v>
      </c>
      <c r="E38" s="50">
        <v>0.17279999999999998</v>
      </c>
      <c r="F38" s="50">
        <v>0</v>
      </c>
      <c r="G38" s="50">
        <v>0</v>
      </c>
      <c r="H38" s="50">
        <v>2.783093333333333</v>
      </c>
      <c r="I38" s="50">
        <v>0.40000000000000008</v>
      </c>
      <c r="J38" s="50">
        <v>2.2556044444444447</v>
      </c>
      <c r="K38" s="50">
        <v>0.28248000000000001</v>
      </c>
      <c r="L38" s="50">
        <v>2000</v>
      </c>
      <c r="M38" s="27"/>
      <c r="AE38" s="27"/>
      <c r="AF38" s="27"/>
      <c r="AG38" s="34"/>
      <c r="AM38" s="34"/>
      <c r="AS38" s="34"/>
      <c r="AY38" s="34"/>
      <c r="BE38" s="34"/>
      <c r="BK38" s="34"/>
    </row>
    <row r="39" spans="1:63" x14ac:dyDescent="0.25">
      <c r="A39" s="107">
        <v>0.75</v>
      </c>
      <c r="B39" s="32" t="s">
        <v>1233</v>
      </c>
      <c r="C39" s="32">
        <f t="shared" si="0"/>
        <v>4</v>
      </c>
      <c r="D39" s="96">
        <v>0.13631999999999994</v>
      </c>
      <c r="E39" s="50">
        <v>0.17279999999999998</v>
      </c>
      <c r="F39" s="50">
        <v>0</v>
      </c>
      <c r="G39" s="50">
        <v>0</v>
      </c>
      <c r="H39" s="50">
        <v>0</v>
      </c>
      <c r="I39" s="50">
        <v>0</v>
      </c>
      <c r="J39" s="50">
        <v>0</v>
      </c>
      <c r="K39" s="50">
        <v>0.28248000000000001</v>
      </c>
      <c r="L39" s="50">
        <v>2000</v>
      </c>
      <c r="M39" s="27"/>
      <c r="AE39" s="27"/>
      <c r="AF39" s="27"/>
      <c r="AG39" s="34"/>
      <c r="AM39" s="34"/>
      <c r="AS39" s="34"/>
      <c r="AY39" s="34"/>
      <c r="BE39" s="34"/>
      <c r="BK39" s="34"/>
    </row>
    <row r="40" spans="1:63" x14ac:dyDescent="0.25">
      <c r="A40" s="107">
        <v>0.77083333333333304</v>
      </c>
      <c r="B40" s="32" t="s">
        <v>1233</v>
      </c>
      <c r="C40" s="32">
        <f t="shared" si="0"/>
        <v>4</v>
      </c>
      <c r="D40" s="96">
        <v>0.13631999999999994</v>
      </c>
      <c r="E40" s="50">
        <v>0.17279999999999998</v>
      </c>
      <c r="F40" s="50">
        <v>0</v>
      </c>
      <c r="G40" s="50">
        <v>0</v>
      </c>
      <c r="H40" s="50">
        <v>0</v>
      </c>
      <c r="I40" s="50">
        <v>0</v>
      </c>
      <c r="J40" s="50">
        <v>0</v>
      </c>
      <c r="K40" s="50">
        <v>0.28248000000000001</v>
      </c>
      <c r="L40" s="50">
        <v>2000</v>
      </c>
      <c r="M40" s="27"/>
      <c r="AE40" s="27"/>
      <c r="AF40" s="27"/>
      <c r="AG40" s="34"/>
      <c r="AM40" s="34"/>
      <c r="AS40" s="34"/>
      <c r="AY40" s="34"/>
      <c r="BE40" s="34"/>
      <c r="BK40" s="34"/>
    </row>
    <row r="41" spans="1:63" x14ac:dyDescent="0.25">
      <c r="A41" s="107">
        <v>0.79166666666666696</v>
      </c>
      <c r="B41" s="32" t="s">
        <v>1233</v>
      </c>
      <c r="C41" s="32">
        <f t="shared" si="0"/>
        <v>4</v>
      </c>
      <c r="D41" s="96">
        <v>0.13631999999999994</v>
      </c>
      <c r="E41" s="50">
        <v>0.17279999999999998</v>
      </c>
      <c r="F41" s="50">
        <v>0</v>
      </c>
      <c r="G41" s="50">
        <v>0</v>
      </c>
      <c r="H41" s="50">
        <v>0</v>
      </c>
      <c r="I41" s="50">
        <v>0</v>
      </c>
      <c r="J41" s="50">
        <v>0</v>
      </c>
      <c r="K41" s="50">
        <v>0.28248000000000001</v>
      </c>
      <c r="L41" s="50">
        <v>2000</v>
      </c>
      <c r="M41" s="27"/>
      <c r="AE41" s="27"/>
      <c r="AF41" s="27"/>
      <c r="AG41" s="34"/>
      <c r="AM41" s="34"/>
      <c r="AS41" s="34"/>
      <c r="AY41" s="34"/>
      <c r="BE41" s="34"/>
      <c r="BK41" s="34"/>
    </row>
    <row r="42" spans="1:63" x14ac:dyDescent="0.25">
      <c r="A42" s="107">
        <v>0.8125</v>
      </c>
      <c r="B42" s="32" t="s">
        <v>1233</v>
      </c>
      <c r="C42" s="32">
        <f t="shared" si="0"/>
        <v>4</v>
      </c>
      <c r="D42" s="96">
        <v>0.13631999999999994</v>
      </c>
      <c r="E42" s="50">
        <v>0.17279999999999998</v>
      </c>
      <c r="F42" s="50">
        <v>0</v>
      </c>
      <c r="G42" s="50">
        <v>0</v>
      </c>
      <c r="H42" s="50">
        <v>0</v>
      </c>
      <c r="I42" s="50">
        <v>0</v>
      </c>
      <c r="J42" s="50">
        <v>0</v>
      </c>
      <c r="K42" s="50">
        <v>0.28248000000000001</v>
      </c>
      <c r="L42" s="50">
        <v>2000</v>
      </c>
      <c r="M42" s="27"/>
      <c r="AE42" s="27"/>
      <c r="AF42" s="27"/>
      <c r="AG42" s="34"/>
      <c r="AM42" s="34"/>
      <c r="AS42" s="34"/>
      <c r="AY42" s="34"/>
      <c r="BE42" s="34"/>
      <c r="BK42" s="34"/>
    </row>
    <row r="43" spans="1:63" x14ac:dyDescent="0.25">
      <c r="A43" s="107">
        <v>0.83333333333333304</v>
      </c>
      <c r="B43" s="32" t="s">
        <v>803</v>
      </c>
      <c r="C43" s="32">
        <f t="shared" si="0"/>
        <v>4</v>
      </c>
      <c r="D43" s="96">
        <v>0.13631999999999994</v>
      </c>
      <c r="E43" s="50">
        <v>0.17279999999999998</v>
      </c>
      <c r="F43" s="50">
        <v>2.1333333333333337</v>
      </c>
      <c r="G43" s="50">
        <v>0</v>
      </c>
      <c r="H43" s="50">
        <v>0</v>
      </c>
      <c r="I43" s="50">
        <v>0</v>
      </c>
      <c r="J43" s="50">
        <v>0</v>
      </c>
      <c r="K43" s="50">
        <v>0.28248000000000001</v>
      </c>
      <c r="L43" s="50">
        <v>2000</v>
      </c>
      <c r="M43" s="27"/>
      <c r="AE43" s="27"/>
      <c r="AF43" s="27"/>
      <c r="AG43" s="34"/>
      <c r="AM43" s="34"/>
      <c r="AS43" s="34"/>
      <c r="AY43" s="34"/>
      <c r="BE43" s="34"/>
      <c r="BK43" s="34"/>
    </row>
    <row r="44" spans="1:63" x14ac:dyDescent="0.25">
      <c r="A44" s="107">
        <v>0.85416666666666696</v>
      </c>
      <c r="B44" s="32" t="s">
        <v>803</v>
      </c>
      <c r="C44" s="32">
        <f t="shared" si="0"/>
        <v>4</v>
      </c>
      <c r="D44" s="96">
        <v>0.13631999999999994</v>
      </c>
      <c r="E44" s="50">
        <v>0.17279999999999998</v>
      </c>
      <c r="F44" s="50">
        <v>2.1333333333333337</v>
      </c>
      <c r="G44" s="50">
        <v>0</v>
      </c>
      <c r="H44" s="50">
        <v>0</v>
      </c>
      <c r="I44" s="50">
        <v>0</v>
      </c>
      <c r="J44" s="50">
        <v>0</v>
      </c>
      <c r="K44" s="50">
        <v>0.28248000000000001</v>
      </c>
      <c r="L44" s="50">
        <v>2000</v>
      </c>
      <c r="M44" s="27"/>
      <c r="AE44" s="27"/>
      <c r="AF44" s="27"/>
      <c r="AG44" s="34"/>
      <c r="AM44" s="34"/>
      <c r="AS44" s="34"/>
      <c r="AY44" s="34"/>
      <c r="BE44" s="34"/>
      <c r="BK44" s="34"/>
    </row>
    <row r="45" spans="1:63" x14ac:dyDescent="0.25">
      <c r="A45" s="107">
        <v>0.875</v>
      </c>
      <c r="B45" s="32" t="s">
        <v>801</v>
      </c>
      <c r="C45" s="32">
        <f t="shared" si="0"/>
        <v>4</v>
      </c>
      <c r="D45" s="96">
        <v>8.6399999999999991E-2</v>
      </c>
      <c r="E45" s="50">
        <v>0.10919999999999999</v>
      </c>
      <c r="F45" s="50">
        <v>0</v>
      </c>
      <c r="G45" s="50">
        <v>0</v>
      </c>
      <c r="H45" s="50">
        <v>0</v>
      </c>
      <c r="I45" s="50">
        <v>0</v>
      </c>
      <c r="J45" s="50">
        <v>0</v>
      </c>
      <c r="K45" s="50">
        <v>0.15119999999999997</v>
      </c>
      <c r="L45" s="50">
        <v>1268</v>
      </c>
      <c r="M45" s="27"/>
      <c r="AE45" s="27"/>
      <c r="AF45" s="27"/>
      <c r="AG45" s="34"/>
      <c r="AM45" s="34"/>
      <c r="AS45" s="34"/>
      <c r="AY45" s="34"/>
      <c r="BE45" s="34"/>
      <c r="BK45" s="34"/>
    </row>
    <row r="46" spans="1:63" x14ac:dyDescent="0.25">
      <c r="A46" s="107">
        <v>0.89583333333333304</v>
      </c>
      <c r="B46" s="32" t="s">
        <v>801</v>
      </c>
      <c r="C46" s="32">
        <f t="shared" si="0"/>
        <v>4</v>
      </c>
      <c r="D46" s="96">
        <v>8.6399999999999991E-2</v>
      </c>
      <c r="E46" s="50">
        <v>0.10919999999999999</v>
      </c>
      <c r="F46" s="50">
        <v>0</v>
      </c>
      <c r="G46" s="50">
        <v>0</v>
      </c>
      <c r="H46" s="50">
        <v>0</v>
      </c>
      <c r="I46" s="50">
        <v>0</v>
      </c>
      <c r="J46" s="50">
        <v>0</v>
      </c>
      <c r="K46" s="50">
        <v>0.15119999999999997</v>
      </c>
      <c r="L46" s="50">
        <v>1268</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4</v>
      </c>
      <c r="D47" s="96">
        <v>8.6399999999999991E-2</v>
      </c>
      <c r="E47" s="50">
        <v>0.10919999999999999</v>
      </c>
      <c r="F47" s="50">
        <v>0</v>
      </c>
      <c r="G47" s="50">
        <v>0</v>
      </c>
      <c r="H47" s="50">
        <v>0</v>
      </c>
      <c r="I47" s="50">
        <v>0</v>
      </c>
      <c r="J47" s="50">
        <v>0</v>
      </c>
      <c r="K47" s="50">
        <v>0.15119999999999997</v>
      </c>
      <c r="L47" s="50">
        <v>1268</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4</v>
      </c>
      <c r="D48" s="96">
        <v>8.6399999999999991E-2</v>
      </c>
      <c r="E48" s="50">
        <v>0.10919999999999999</v>
      </c>
      <c r="F48" s="50">
        <v>0</v>
      </c>
      <c r="G48" s="50">
        <v>0</v>
      </c>
      <c r="H48" s="50">
        <v>0</v>
      </c>
      <c r="I48" s="50">
        <v>0</v>
      </c>
      <c r="J48" s="50">
        <v>0</v>
      </c>
      <c r="K48" s="50">
        <v>0.15119999999999997</v>
      </c>
      <c r="L48" s="50">
        <v>1268</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4</v>
      </c>
      <c r="D49" s="96">
        <v>8.6399999999999991E-2</v>
      </c>
      <c r="E49" s="50">
        <v>0.10919999999999999</v>
      </c>
      <c r="F49" s="50">
        <v>0</v>
      </c>
      <c r="G49" s="50">
        <v>0</v>
      </c>
      <c r="H49" s="50">
        <v>0</v>
      </c>
      <c r="I49" s="50">
        <v>0</v>
      </c>
      <c r="J49" s="50">
        <v>0</v>
      </c>
      <c r="K49" s="50">
        <v>0.15119999999999997</v>
      </c>
      <c r="L49" s="50">
        <v>1268</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4</v>
      </c>
      <c r="D50" s="96">
        <v>8.6399999999999991E-2</v>
      </c>
      <c r="E50" s="50">
        <v>0.10919999999999999</v>
      </c>
      <c r="F50" s="50">
        <v>0</v>
      </c>
      <c r="G50" s="50">
        <v>0</v>
      </c>
      <c r="H50" s="50">
        <v>0</v>
      </c>
      <c r="I50" s="50">
        <v>0</v>
      </c>
      <c r="J50" s="50">
        <v>0</v>
      </c>
      <c r="K50" s="50">
        <v>0.15119999999999997</v>
      </c>
      <c r="L50" s="50">
        <v>1268</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3.6815999999999978</v>
      </c>
      <c r="E51" s="33" cm="1">
        <f t="array" ref="E51">SUM(schedule_compl[CO2]*0.5)</f>
        <v>4.6619999999999964</v>
      </c>
      <c r="F51" s="33" cm="1">
        <f t="array" ref="F51">SUM(schedule_compl[urine]*0.5)</f>
        <v>6.4</v>
      </c>
      <c r="G51" s="33" cm="1">
        <f t="array" ref="G51">SUM(schedule_compl[feces]*0.5)</f>
        <v>0.59153599999999995</v>
      </c>
      <c r="H51" s="33" cm="1">
        <f t="array" ref="H51">SUM(schedule_compl[potable]*0.5)</f>
        <v>11.45266</v>
      </c>
      <c r="I51" s="33" cm="1">
        <f t="array" ref="I51">SUM(schedule_compl[hygiene]*0.5)</f>
        <v>3.2000000000000015</v>
      </c>
      <c r="J51" s="33" cm="1">
        <f t="array" ref="J51">SUM(schedule_compl[food]*0.5)</f>
        <v>6.7668133333333333</v>
      </c>
      <c r="K51" s="33" cm="1">
        <f t="array" ref="K51">SUM(schedule_compl[sweat]*0.5)</f>
        <v>9.2875199999999971</v>
      </c>
      <c r="L51" s="33" cm="1">
        <f t="array" ref="L51">SUM(schedule_compl[heat]*0.5)</f>
        <v>53776</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1409</v>
      </c>
      <c r="C53" s="27">
        <f>schedule_compl[[#Totals],[potable]]-schedule_compl[[#Totals],[sweat]]-schedule_compl[[#Totals],[urine]]+(SUM_Metabolic_Water+SUM_Food_Water-(S16-AB16))*(schedule_compl[[#Totals],[food]]/V16)</f>
        <v>0</v>
      </c>
      <c r="D53" s="112"/>
      <c r="E53" s="27" t="s">
        <v>1419</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1411</v>
      </c>
      <c r="C59" s="241" t="s">
        <v>1412</v>
      </c>
      <c r="D59" s="241" t="s">
        <v>1414</v>
      </c>
      <c r="E59" s="241" t="s">
        <v>1415</v>
      </c>
      <c r="F59" s="241" t="s">
        <v>1416</v>
      </c>
      <c r="G59" s="241" t="s">
        <v>1417</v>
      </c>
      <c r="H59" s="246" t="s">
        <v>1418</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1410</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1413</v>
      </c>
      <c r="C75" s="648" t="s">
        <v>1413</v>
      </c>
      <c r="D75" s="648" t="s">
        <v>1413</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1230</v>
      </c>
      <c r="C77" s="643" t="s">
        <v>1230</v>
      </c>
      <c r="D77" s="643" t="s">
        <v>1230</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1230</v>
      </c>
      <c r="C78" s="643" t="s">
        <v>1230</v>
      </c>
      <c r="D78" s="643" t="s">
        <v>1230</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1230</v>
      </c>
      <c r="C79" s="643" t="s">
        <v>1230</v>
      </c>
      <c r="D79" s="643" t="s">
        <v>1230</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1230</v>
      </c>
      <c r="C80" s="643" t="s">
        <v>1230</v>
      </c>
      <c r="D80" s="643" t="s">
        <v>1230</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1230</v>
      </c>
      <c r="C81" s="643" t="s">
        <v>1230</v>
      </c>
      <c r="D81" s="643" t="s">
        <v>1230</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1230</v>
      </c>
      <c r="D82" s="643" t="s">
        <v>1230</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1230</v>
      </c>
      <c r="D83" s="643" t="s">
        <v>1230</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1230</v>
      </c>
      <c r="D84" s="643" t="s">
        <v>1230</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1230</v>
      </c>
      <c r="D85" s="643" t="s">
        <v>1230</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1230</v>
      </c>
      <c r="C88" s="647" t="s">
        <v>806</v>
      </c>
      <c r="D88" s="643" t="s">
        <v>1230</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1230</v>
      </c>
      <c r="C89" s="647" t="s">
        <v>806</v>
      </c>
      <c r="D89" s="643" t="s">
        <v>1230</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1230</v>
      </c>
      <c r="C90" s="649" t="s">
        <v>807</v>
      </c>
      <c r="D90" s="643" t="s">
        <v>1230</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1230</v>
      </c>
      <c r="C91" s="649" t="s">
        <v>807</v>
      </c>
      <c r="D91" s="643" t="s">
        <v>1230</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1230</v>
      </c>
      <c r="C92" s="643" t="s">
        <v>1230</v>
      </c>
      <c r="D92" s="643" t="s">
        <v>1230</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1230</v>
      </c>
      <c r="C93" s="643" t="s">
        <v>1230</v>
      </c>
      <c r="D93" s="643" t="s">
        <v>1230</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1230</v>
      </c>
      <c r="C94" s="643" t="s">
        <v>1230</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1230</v>
      </c>
      <c r="C95" s="643" t="s">
        <v>1230</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1229</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1234</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1235</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1236</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1237</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1238</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1209</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200</vt:i4>
      </vt:variant>
    </vt:vector>
  </HeadingPairs>
  <TitlesOfParts>
    <vt:vector size="212" baseType="lpstr">
      <vt:lpstr>User Interface</vt:lpstr>
      <vt:lpstr>MissionSpecificTechnologyValues</vt:lpstr>
      <vt:lpstr>MCA ESM</vt:lpstr>
      <vt:lpstr>ECLSS Composition</vt:lpstr>
      <vt:lpstr>Technology</vt:lpstr>
      <vt:lpstr>Plants and PGC</vt:lpstr>
      <vt:lpstr>ECLSS Functions</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ExcludeYear</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2026-05-24T18:27:56Z</dcterms:modified>
</cp:coreProperties>
</file>