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Примеры\"/>
    </mc:Choice>
  </mc:AlternateContent>
  <xr:revisionPtr revIDLastSave="0" documentId="13_ncr:1_{2D3DE02A-65C7-4EB8-8B1D-757A92EE5030}" xr6:coauthVersionLast="47" xr6:coauthVersionMax="47" xr10:uidLastSave="{00000000-0000-0000-0000-000000000000}"/>
  <bookViews>
    <workbookView xWindow="105" yWindow="690" windowWidth="15960" windowHeight="14355" activeTab="2" xr2:uid="{00000000-000D-0000-FFFF-FFFF00000000}"/>
  </bookViews>
  <sheets>
    <sheet name="данные" sheetId="1" r:id="rId1"/>
    <sheet name="лаба 1" sheetId="3" r:id="rId2"/>
    <sheet name="лаба 2" sheetId="4" r:id="rId3"/>
    <sheet name="лаба 3" sheetId="5" r:id="rId4"/>
    <sheet name="лаба 4" sheetId="6" r:id="rId5"/>
    <sheet name="лаба 5.1" sheetId="7" r:id="rId6"/>
    <sheet name="лаба 5.2" sheetId="10" r:id="rId7"/>
    <sheet name="лаба 5.3" sheetId="11" r:id="rId8"/>
  </sheets>
  <definedNames>
    <definedName name="solver_adj" localSheetId="2" hidden="1">'лаба 2'!$F$3:$F$5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in" localSheetId="2" hidden="1">2</definedName>
    <definedName name="solver_neg" localSheetId="2" hidden="1">2</definedName>
    <definedName name="solver_num" localSheetId="2" hidden="1">0</definedName>
    <definedName name="solver_nwt" localSheetId="2" hidden="1">1</definedName>
    <definedName name="solver_opt" localSheetId="2" hidden="1">'лаба 2'!$D$62</definedName>
    <definedName name="solver_pre" localSheetId="2" hidden="1">0.000001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3" l="1"/>
  <c r="T11" i="4"/>
  <c r="T16" i="4"/>
  <c r="C63" i="11"/>
  <c r="D63" i="11" s="1"/>
  <c r="F63" i="11" s="1"/>
  <c r="C64" i="11"/>
  <c r="C65" i="11"/>
  <c r="D65" i="11" s="1"/>
  <c r="F65" i="11" s="1"/>
  <c r="C66" i="11"/>
  <c r="D66" i="11" s="1"/>
  <c r="F66" i="11" s="1"/>
  <c r="C67" i="11"/>
  <c r="D67" i="11" s="1"/>
  <c r="F67" i="11" s="1"/>
  <c r="C68" i="11"/>
  <c r="D68" i="11" s="1"/>
  <c r="F68" i="11" s="1"/>
  <c r="C69" i="11"/>
  <c r="D69" i="11" s="1"/>
  <c r="F69" i="11" s="1"/>
  <c r="C70" i="11"/>
  <c r="D70" i="11" s="1"/>
  <c r="F70" i="11" s="1"/>
  <c r="C71" i="11"/>
  <c r="D71" i="11" s="1"/>
  <c r="F71" i="11" s="1"/>
  <c r="C72" i="11"/>
  <c r="D72" i="11" s="1"/>
  <c r="F72" i="11" s="1"/>
  <c r="C62" i="11"/>
  <c r="D62" i="11" s="1"/>
  <c r="F62" i="11" s="1"/>
  <c r="D64" i="11"/>
  <c r="F64" i="11" s="1"/>
  <c r="A62" i="4"/>
  <c r="A63" i="4"/>
  <c r="A64" i="4"/>
  <c r="A65" i="4"/>
  <c r="A66" i="4"/>
  <c r="A67" i="4"/>
  <c r="A68" i="4"/>
  <c r="A69" i="4"/>
  <c r="A70" i="4"/>
  <c r="A71" i="4"/>
  <c r="A72" i="4"/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2" i="7"/>
  <c r="E62" i="7" l="1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E3" i="7"/>
  <c r="D3" i="7"/>
  <c r="O4" i="6"/>
  <c r="O5" i="6"/>
  <c r="C65" i="6"/>
  <c r="D65" i="6"/>
  <c r="E65" i="6"/>
  <c r="C66" i="6"/>
  <c r="D66" i="6"/>
  <c r="E66" i="6"/>
  <c r="C67" i="6"/>
  <c r="D67" i="6"/>
  <c r="E67" i="6"/>
  <c r="C68" i="6"/>
  <c r="D68" i="6"/>
  <c r="E68" i="6"/>
  <c r="C69" i="6"/>
  <c r="D69" i="6"/>
  <c r="E69" i="6"/>
  <c r="C70" i="6"/>
  <c r="D70" i="6"/>
  <c r="E70" i="6"/>
  <c r="C71" i="6"/>
  <c r="D71" i="6"/>
  <c r="E71" i="6"/>
  <c r="C72" i="6"/>
  <c r="D72" i="6"/>
  <c r="E72" i="6"/>
  <c r="C73" i="6"/>
  <c r="D73" i="6"/>
  <c r="E73" i="6"/>
  <c r="C74" i="6"/>
  <c r="D74" i="6"/>
  <c r="E74" i="6"/>
  <c r="C75" i="6"/>
  <c r="D75" i="6"/>
  <c r="E75" i="6"/>
  <c r="C76" i="6"/>
  <c r="D76" i="6"/>
  <c r="E76" i="6"/>
  <c r="C77" i="6"/>
  <c r="D77" i="6"/>
  <c r="E77" i="6"/>
  <c r="C78" i="6"/>
  <c r="D78" i="6"/>
  <c r="E78" i="6"/>
  <c r="C79" i="6"/>
  <c r="D79" i="6"/>
  <c r="E79" i="6"/>
  <c r="C80" i="6"/>
  <c r="D80" i="6"/>
  <c r="E80" i="6"/>
  <c r="C81" i="6"/>
  <c r="D81" i="6"/>
  <c r="E81" i="6"/>
  <c r="C82" i="6"/>
  <c r="D82" i="6"/>
  <c r="E82" i="6"/>
  <c r="C83" i="6"/>
  <c r="D83" i="6"/>
  <c r="E83" i="6"/>
  <c r="C84" i="6"/>
  <c r="D84" i="6"/>
  <c r="E84" i="6"/>
  <c r="C85" i="6"/>
  <c r="D85" i="6"/>
  <c r="E85" i="6"/>
  <c r="C86" i="6"/>
  <c r="D86" i="6"/>
  <c r="E86" i="6"/>
  <c r="C87" i="6"/>
  <c r="D87" i="6"/>
  <c r="E87" i="6"/>
  <c r="C88" i="6"/>
  <c r="D88" i="6"/>
  <c r="E88" i="6"/>
  <c r="C89" i="6"/>
  <c r="D89" i="6"/>
  <c r="E89" i="6"/>
  <c r="C90" i="6"/>
  <c r="D90" i="6"/>
  <c r="E90" i="6"/>
  <c r="C91" i="6"/>
  <c r="D91" i="6"/>
  <c r="E91" i="6"/>
  <c r="C92" i="6"/>
  <c r="D92" i="6"/>
  <c r="E92" i="6"/>
  <c r="C93" i="6"/>
  <c r="D93" i="6"/>
  <c r="E93" i="6"/>
  <c r="C94" i="6"/>
  <c r="D94" i="6"/>
  <c r="E94" i="6"/>
  <c r="C95" i="6"/>
  <c r="D95" i="6"/>
  <c r="E95" i="6"/>
  <c r="C96" i="6"/>
  <c r="D96" i="6"/>
  <c r="E96" i="6"/>
  <c r="C97" i="6"/>
  <c r="D97" i="6"/>
  <c r="E97" i="6"/>
  <c r="C98" i="6"/>
  <c r="D98" i="6"/>
  <c r="E98" i="6"/>
  <c r="C99" i="6"/>
  <c r="D99" i="6"/>
  <c r="E99" i="6"/>
  <c r="C100" i="6"/>
  <c r="D100" i="6"/>
  <c r="E100" i="6"/>
  <c r="C101" i="6"/>
  <c r="D101" i="6"/>
  <c r="E101" i="6"/>
  <c r="C102" i="6"/>
  <c r="D102" i="6"/>
  <c r="E102" i="6"/>
  <c r="C103" i="6"/>
  <c r="D103" i="6"/>
  <c r="E103" i="6"/>
  <c r="C104" i="6"/>
  <c r="D104" i="6"/>
  <c r="E104" i="6"/>
  <c r="C105" i="6"/>
  <c r="D105" i="6"/>
  <c r="E105" i="6"/>
  <c r="C106" i="6"/>
  <c r="D106" i="6"/>
  <c r="E106" i="6"/>
  <c r="C107" i="6"/>
  <c r="D107" i="6"/>
  <c r="E107" i="6"/>
  <c r="C108" i="6"/>
  <c r="D108" i="6"/>
  <c r="E108" i="6"/>
  <c r="C109" i="6"/>
  <c r="D109" i="6"/>
  <c r="E109" i="6"/>
  <c r="C110" i="6"/>
  <c r="D110" i="6"/>
  <c r="E110" i="6"/>
  <c r="C111" i="6"/>
  <c r="D111" i="6"/>
  <c r="E111" i="6"/>
  <c r="C112" i="6"/>
  <c r="D112" i="6"/>
  <c r="E112" i="6"/>
  <c r="C113" i="6"/>
  <c r="D113" i="6"/>
  <c r="E113" i="6"/>
  <c r="C114" i="6"/>
  <c r="D114" i="6"/>
  <c r="E114" i="6"/>
  <c r="C115" i="6"/>
  <c r="D115" i="6"/>
  <c r="E115" i="6"/>
  <c r="C116" i="6"/>
  <c r="D116" i="6"/>
  <c r="E116" i="6"/>
  <c r="C117" i="6"/>
  <c r="D117" i="6"/>
  <c r="E117" i="6"/>
  <c r="C118" i="6"/>
  <c r="D118" i="6"/>
  <c r="E118" i="6"/>
  <c r="C119" i="6"/>
  <c r="D119" i="6"/>
  <c r="E119" i="6"/>
  <c r="C120" i="6"/>
  <c r="D120" i="6"/>
  <c r="E120" i="6"/>
  <c r="C121" i="6"/>
  <c r="D121" i="6"/>
  <c r="E121" i="6"/>
  <c r="C122" i="6"/>
  <c r="D122" i="6"/>
  <c r="E122" i="6"/>
  <c r="C123" i="6"/>
  <c r="D123" i="6"/>
  <c r="E123" i="6"/>
  <c r="E64" i="6"/>
  <c r="D64" i="6"/>
  <c r="C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64" i="6"/>
  <c r="F17" i="5"/>
  <c r="T20" i="5"/>
  <c r="T19" i="5"/>
  <c r="R20" i="5"/>
  <c r="R19" i="5"/>
  <c r="T17" i="5"/>
  <c r="D63" i="7" l="1"/>
  <c r="E63" i="7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3" i="5"/>
  <c r="H2" i="5"/>
  <c r="F18" i="5"/>
  <c r="I2" i="3"/>
  <c r="B16" i="3"/>
  <c r="B17" i="3"/>
  <c r="G1" i="7" l="1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H3" i="5"/>
  <c r="H21" i="5" l="1"/>
  <c r="M3" i="5" s="1"/>
  <c r="N3" i="5" s="1"/>
  <c r="O3" i="5" s="1"/>
  <c r="P3" i="5" s="1"/>
  <c r="H4" i="5"/>
  <c r="J2" i="3" a="1"/>
  <c r="T18" i="4"/>
  <c r="T17" i="4"/>
  <c r="T23" i="4" s="1"/>
  <c r="T83" i="4" l="1"/>
  <c r="U83" i="4" s="1"/>
  <c r="T82" i="4"/>
  <c r="T90" i="4"/>
  <c r="U90" i="4" s="1"/>
  <c r="T87" i="4"/>
  <c r="U87" i="4" s="1"/>
  <c r="T84" i="4"/>
  <c r="U84" i="4" s="1"/>
  <c r="T88" i="4"/>
  <c r="U88" i="4" s="1"/>
  <c r="T85" i="4"/>
  <c r="U85" i="4" s="1"/>
  <c r="T91" i="4"/>
  <c r="U91" i="4" s="1"/>
  <c r="T89" i="4"/>
  <c r="U89" i="4" s="1"/>
  <c r="T92" i="4"/>
  <c r="U92" i="4" s="1"/>
  <c r="T93" i="4"/>
  <c r="U93" i="4" s="1"/>
  <c r="T86" i="4"/>
  <c r="U86" i="4" s="1"/>
  <c r="Q3" i="5"/>
  <c r="R3" i="5" s="1"/>
  <c r="H22" i="5"/>
  <c r="M4" i="5" s="1"/>
  <c r="N4" i="5" s="1"/>
  <c r="O4" i="5" s="1"/>
  <c r="P4" i="5" s="1"/>
  <c r="H5" i="5"/>
  <c r="J2" i="3"/>
  <c r="J15" i="3"/>
  <c r="J7" i="3"/>
  <c r="J14" i="3"/>
  <c r="J6" i="3"/>
  <c r="J9" i="3"/>
  <c r="J16" i="3"/>
  <c r="J8" i="3"/>
  <c r="J11" i="3"/>
  <c r="J3" i="3"/>
  <c r="J10" i="3"/>
  <c r="J5" i="3"/>
  <c r="J4" i="3"/>
  <c r="J13" i="3"/>
  <c r="J12" i="3"/>
  <c r="V18" i="4"/>
  <c r="T28" i="4"/>
  <c r="T36" i="4"/>
  <c r="T44" i="4"/>
  <c r="T52" i="4"/>
  <c r="T60" i="4"/>
  <c r="T68" i="4"/>
  <c r="T76" i="4"/>
  <c r="T26" i="4"/>
  <c r="T34" i="4"/>
  <c r="T42" i="4"/>
  <c r="T50" i="4"/>
  <c r="T58" i="4"/>
  <c r="T66" i="4"/>
  <c r="T74" i="4"/>
  <c r="T81" i="4"/>
  <c r="T77" i="4"/>
  <c r="T73" i="4"/>
  <c r="T69" i="4"/>
  <c r="T65" i="4"/>
  <c r="T61" i="4"/>
  <c r="T57" i="4"/>
  <c r="T53" i="4"/>
  <c r="T49" i="4"/>
  <c r="T45" i="4"/>
  <c r="T41" i="4"/>
  <c r="T37" i="4"/>
  <c r="T33" i="4"/>
  <c r="T29" i="4"/>
  <c r="T25" i="4"/>
  <c r="T24" i="4"/>
  <c r="T32" i="4"/>
  <c r="T40" i="4"/>
  <c r="T48" i="4"/>
  <c r="T56" i="4"/>
  <c r="T64" i="4"/>
  <c r="T72" i="4"/>
  <c r="T80" i="4"/>
  <c r="T30" i="4"/>
  <c r="T38" i="4"/>
  <c r="T46" i="4"/>
  <c r="T54" i="4"/>
  <c r="T62" i="4"/>
  <c r="T70" i="4"/>
  <c r="T78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A2" i="4"/>
  <c r="C2" i="4"/>
  <c r="U23" i="4" s="1"/>
  <c r="A3" i="4"/>
  <c r="B3" i="4" s="1"/>
  <c r="C3" i="4"/>
  <c r="A4" i="4"/>
  <c r="B4" i="4" s="1"/>
  <c r="C4" i="4"/>
  <c r="A5" i="4"/>
  <c r="B5" i="4" s="1"/>
  <c r="C5" i="4"/>
  <c r="A6" i="4"/>
  <c r="B6" i="4" s="1"/>
  <c r="C6" i="4"/>
  <c r="A7" i="4"/>
  <c r="B7" i="4" s="1"/>
  <c r="C7" i="4"/>
  <c r="A8" i="4"/>
  <c r="B8" i="4" s="1"/>
  <c r="C8" i="4"/>
  <c r="A9" i="4"/>
  <c r="B9" i="4" s="1"/>
  <c r="C9" i="4"/>
  <c r="A10" i="4"/>
  <c r="B10" i="4" s="1"/>
  <c r="C10" i="4"/>
  <c r="A11" i="4"/>
  <c r="B11" i="4" s="1"/>
  <c r="C11" i="4"/>
  <c r="A12" i="4"/>
  <c r="B12" i="4" s="1"/>
  <c r="C12" i="4"/>
  <c r="A13" i="4"/>
  <c r="B13" i="4" s="1"/>
  <c r="C13" i="4"/>
  <c r="A14" i="4"/>
  <c r="B14" i="4" s="1"/>
  <c r="C14" i="4"/>
  <c r="A15" i="4"/>
  <c r="B15" i="4" s="1"/>
  <c r="C15" i="4"/>
  <c r="U36" i="4" s="1"/>
  <c r="A16" i="4"/>
  <c r="B16" i="4" s="1"/>
  <c r="C16" i="4"/>
  <c r="A17" i="4"/>
  <c r="B17" i="4" s="1"/>
  <c r="C17" i="4"/>
  <c r="A18" i="4"/>
  <c r="B18" i="4" s="1"/>
  <c r="C18" i="4"/>
  <c r="A19" i="4"/>
  <c r="B19" i="4" s="1"/>
  <c r="C19" i="4"/>
  <c r="A20" i="4"/>
  <c r="B20" i="4" s="1"/>
  <c r="C20" i="4"/>
  <c r="A21" i="4"/>
  <c r="B21" i="4" s="1"/>
  <c r="C21" i="4"/>
  <c r="A22" i="4"/>
  <c r="B22" i="4" s="1"/>
  <c r="C22" i="4"/>
  <c r="A23" i="4"/>
  <c r="B23" i="4" s="1"/>
  <c r="C23" i="4"/>
  <c r="A24" i="4"/>
  <c r="B24" i="4" s="1"/>
  <c r="C24" i="4"/>
  <c r="A25" i="4"/>
  <c r="B25" i="4" s="1"/>
  <c r="C25" i="4"/>
  <c r="A26" i="4"/>
  <c r="B26" i="4" s="1"/>
  <c r="C26" i="4"/>
  <c r="A27" i="4"/>
  <c r="B27" i="4" s="1"/>
  <c r="C27" i="4"/>
  <c r="U48" i="4" s="1"/>
  <c r="A28" i="4"/>
  <c r="B28" i="4" s="1"/>
  <c r="C28" i="4"/>
  <c r="A29" i="4"/>
  <c r="B29" i="4" s="1"/>
  <c r="C29" i="4"/>
  <c r="A30" i="4"/>
  <c r="B30" i="4" s="1"/>
  <c r="C30" i="4"/>
  <c r="A31" i="4"/>
  <c r="B31" i="4" s="1"/>
  <c r="C31" i="4"/>
  <c r="A32" i="4"/>
  <c r="B32" i="4" s="1"/>
  <c r="C32" i="4"/>
  <c r="A33" i="4"/>
  <c r="B33" i="4" s="1"/>
  <c r="C33" i="4"/>
  <c r="A34" i="4"/>
  <c r="B34" i="4" s="1"/>
  <c r="C34" i="4"/>
  <c r="A35" i="4"/>
  <c r="B35" i="4" s="1"/>
  <c r="C35" i="4"/>
  <c r="A36" i="4"/>
  <c r="B36" i="4" s="1"/>
  <c r="C36" i="4"/>
  <c r="A37" i="4"/>
  <c r="B37" i="4" s="1"/>
  <c r="C37" i="4"/>
  <c r="A38" i="4"/>
  <c r="B38" i="4" s="1"/>
  <c r="C38" i="4"/>
  <c r="A39" i="4"/>
  <c r="B39" i="4" s="1"/>
  <c r="C39" i="4"/>
  <c r="A40" i="4"/>
  <c r="B40" i="4" s="1"/>
  <c r="C40" i="4"/>
  <c r="A41" i="4"/>
  <c r="B41" i="4" s="1"/>
  <c r="C41" i="4"/>
  <c r="A42" i="4"/>
  <c r="B42" i="4" s="1"/>
  <c r="C42" i="4"/>
  <c r="A43" i="4"/>
  <c r="B43" i="4" s="1"/>
  <c r="C43" i="4"/>
  <c r="A44" i="4"/>
  <c r="B44" i="4" s="1"/>
  <c r="C44" i="4"/>
  <c r="A45" i="4"/>
  <c r="B45" i="4" s="1"/>
  <c r="C45" i="4"/>
  <c r="A46" i="4"/>
  <c r="B46" i="4" s="1"/>
  <c r="C46" i="4"/>
  <c r="A47" i="4"/>
  <c r="B47" i="4" s="1"/>
  <c r="C47" i="4"/>
  <c r="U68" i="4" s="1"/>
  <c r="A48" i="4"/>
  <c r="B48" i="4" s="1"/>
  <c r="C48" i="4"/>
  <c r="A49" i="4"/>
  <c r="B49" i="4" s="1"/>
  <c r="C49" i="4"/>
  <c r="A50" i="4"/>
  <c r="B50" i="4" s="1"/>
  <c r="C50" i="4"/>
  <c r="A51" i="4"/>
  <c r="B51" i="4" s="1"/>
  <c r="C51" i="4"/>
  <c r="A52" i="4"/>
  <c r="B52" i="4" s="1"/>
  <c r="C52" i="4"/>
  <c r="A53" i="4"/>
  <c r="B53" i="4" s="1"/>
  <c r="C53" i="4"/>
  <c r="A54" i="4"/>
  <c r="B54" i="4" s="1"/>
  <c r="C54" i="4"/>
  <c r="A55" i="4"/>
  <c r="B55" i="4" s="1"/>
  <c r="C55" i="4"/>
  <c r="A56" i="4"/>
  <c r="B56" i="4" s="1"/>
  <c r="C56" i="4"/>
  <c r="A57" i="4"/>
  <c r="B57" i="4" s="1"/>
  <c r="C57" i="4"/>
  <c r="A58" i="4"/>
  <c r="B58" i="4" s="1"/>
  <c r="C58" i="4"/>
  <c r="A59" i="4"/>
  <c r="B59" i="4" s="1"/>
  <c r="C59" i="4"/>
  <c r="A60" i="4"/>
  <c r="B60" i="4" s="1"/>
  <c r="C60" i="4"/>
  <c r="A61" i="4"/>
  <c r="B61" i="4" s="1"/>
  <c r="C61" i="4"/>
  <c r="U82" i="4" s="1"/>
  <c r="C1" i="4"/>
  <c r="U80" i="4" l="1"/>
  <c r="U64" i="4"/>
  <c r="U52" i="4"/>
  <c r="U32" i="4"/>
  <c r="Q4" i="5"/>
  <c r="R4" i="5" s="1"/>
  <c r="U76" i="4"/>
  <c r="U72" i="4"/>
  <c r="U60" i="4"/>
  <c r="U56" i="4"/>
  <c r="U44" i="4"/>
  <c r="U40" i="4"/>
  <c r="U28" i="4"/>
  <c r="U24" i="4"/>
  <c r="H6" i="5"/>
  <c r="H23" i="5"/>
  <c r="M5" i="5" s="1"/>
  <c r="N5" i="5" s="1"/>
  <c r="O5" i="5" s="1"/>
  <c r="P5" i="5" s="1"/>
  <c r="AC23" i="4"/>
  <c r="AE23" i="4"/>
  <c r="V23" i="4"/>
  <c r="D61" i="4"/>
  <c r="D60" i="4"/>
  <c r="U81" i="4"/>
  <c r="D58" i="4"/>
  <c r="U79" i="4"/>
  <c r="D57" i="4"/>
  <c r="U78" i="4"/>
  <c r="D56" i="4"/>
  <c r="U77" i="4"/>
  <c r="D54" i="4"/>
  <c r="U75" i="4"/>
  <c r="D53" i="4"/>
  <c r="U74" i="4"/>
  <c r="D52" i="4"/>
  <c r="U73" i="4"/>
  <c r="D50" i="4"/>
  <c r="U71" i="4"/>
  <c r="D49" i="4"/>
  <c r="U70" i="4"/>
  <c r="D48" i="4"/>
  <c r="U69" i="4"/>
  <c r="D46" i="4"/>
  <c r="U67" i="4"/>
  <c r="D45" i="4"/>
  <c r="U66" i="4"/>
  <c r="D44" i="4"/>
  <c r="U65" i="4"/>
  <c r="D42" i="4"/>
  <c r="U63" i="4"/>
  <c r="D41" i="4"/>
  <c r="U62" i="4"/>
  <c r="D40" i="4"/>
  <c r="U61" i="4"/>
  <c r="D38" i="4"/>
  <c r="U59" i="4"/>
  <c r="D37" i="4"/>
  <c r="U58" i="4"/>
  <c r="D36" i="4"/>
  <c r="U57" i="4"/>
  <c r="D34" i="4"/>
  <c r="U55" i="4"/>
  <c r="D33" i="4"/>
  <c r="U54" i="4"/>
  <c r="D32" i="4"/>
  <c r="U53" i="4"/>
  <c r="D30" i="4"/>
  <c r="U51" i="4"/>
  <c r="D29" i="4"/>
  <c r="U50" i="4"/>
  <c r="D28" i="4"/>
  <c r="U49" i="4"/>
  <c r="D26" i="4"/>
  <c r="U47" i="4"/>
  <c r="D25" i="4"/>
  <c r="U46" i="4"/>
  <c r="D24" i="4"/>
  <c r="U45" i="4"/>
  <c r="D22" i="4"/>
  <c r="U43" i="4"/>
  <c r="D21" i="4"/>
  <c r="U42" i="4"/>
  <c r="D20" i="4"/>
  <c r="U41" i="4"/>
  <c r="D18" i="4"/>
  <c r="U39" i="4"/>
  <c r="D17" i="4"/>
  <c r="U38" i="4"/>
  <c r="D16" i="4"/>
  <c r="U37" i="4"/>
  <c r="D14" i="4"/>
  <c r="U35" i="4"/>
  <c r="D13" i="4"/>
  <c r="U34" i="4"/>
  <c r="D12" i="4"/>
  <c r="U33" i="4"/>
  <c r="D10" i="4"/>
  <c r="U31" i="4"/>
  <c r="D9" i="4"/>
  <c r="U30" i="4"/>
  <c r="D8" i="4"/>
  <c r="U29" i="4"/>
  <c r="D6" i="4"/>
  <c r="U27" i="4"/>
  <c r="D5" i="4"/>
  <c r="U26" i="4"/>
  <c r="D4" i="4"/>
  <c r="U25" i="4"/>
  <c r="V31" i="4"/>
  <c r="V39" i="4"/>
  <c r="V47" i="4"/>
  <c r="V55" i="4"/>
  <c r="V63" i="4"/>
  <c r="V71" i="4"/>
  <c r="V79" i="4"/>
  <c r="V78" i="4"/>
  <c r="V62" i="4"/>
  <c r="V46" i="4"/>
  <c r="V30" i="4"/>
  <c r="V72" i="4"/>
  <c r="V56" i="4"/>
  <c r="V40" i="4"/>
  <c r="V24" i="4"/>
  <c r="V25" i="4"/>
  <c r="V33" i="4"/>
  <c r="V41" i="4"/>
  <c r="V49" i="4"/>
  <c r="V57" i="4"/>
  <c r="V65" i="4"/>
  <c r="V73" i="4"/>
  <c r="V81" i="4"/>
  <c r="V74" i="4"/>
  <c r="V58" i="4"/>
  <c r="V42" i="4"/>
  <c r="V26" i="4"/>
  <c r="V68" i="4"/>
  <c r="V52" i="4"/>
  <c r="V36" i="4"/>
  <c r="B2" i="4"/>
  <c r="D2" i="4" s="1"/>
  <c r="V27" i="4"/>
  <c r="V35" i="4"/>
  <c r="V43" i="4"/>
  <c r="V51" i="4"/>
  <c r="V59" i="4"/>
  <c r="V67" i="4"/>
  <c r="V75" i="4"/>
  <c r="T96" i="4"/>
  <c r="W31" i="4" s="1"/>
  <c r="V70" i="4"/>
  <c r="V54" i="4"/>
  <c r="V38" i="4"/>
  <c r="V80" i="4"/>
  <c r="V64" i="4"/>
  <c r="V48" i="4"/>
  <c r="V32" i="4"/>
  <c r="V29" i="4"/>
  <c r="V37" i="4"/>
  <c r="V45" i="4"/>
  <c r="V53" i="4"/>
  <c r="V61" i="4"/>
  <c r="V69" i="4"/>
  <c r="V77" i="4"/>
  <c r="V82" i="4"/>
  <c r="V66" i="4"/>
  <c r="V50" i="4"/>
  <c r="V34" i="4"/>
  <c r="V76" i="4"/>
  <c r="V60" i="4"/>
  <c r="V44" i="4"/>
  <c r="V28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D3" i="4"/>
  <c r="T7" i="4"/>
  <c r="T12" i="4" s="1"/>
  <c r="X8" i="4" s="1"/>
  <c r="AE22" i="4" l="1"/>
  <c r="AC22" i="4" s="1"/>
  <c r="Q5" i="5"/>
  <c r="R5" i="5" s="1"/>
  <c r="H7" i="5"/>
  <c r="H24" i="5"/>
  <c r="M6" i="5" s="1"/>
  <c r="N6" i="5" s="1"/>
  <c r="O6" i="5" s="1"/>
  <c r="P6" i="5" s="1"/>
  <c r="AD16" i="4"/>
  <c r="V84" i="4"/>
  <c r="W75" i="4"/>
  <c r="W67" i="4"/>
  <c r="D62" i="4"/>
  <c r="W19" i="4"/>
  <c r="T13" i="4"/>
  <c r="W18" i="4"/>
  <c r="W28" i="4"/>
  <c r="W44" i="4"/>
  <c r="W60" i="4"/>
  <c r="W76" i="4"/>
  <c r="W34" i="4"/>
  <c r="W50" i="4"/>
  <c r="W66" i="4"/>
  <c r="W82" i="4"/>
  <c r="W77" i="4"/>
  <c r="W69" i="4"/>
  <c r="W61" i="4"/>
  <c r="W53" i="4"/>
  <c r="W45" i="4"/>
  <c r="W37" i="4"/>
  <c r="W29" i="4"/>
  <c r="W32" i="4"/>
  <c r="W48" i="4"/>
  <c r="W64" i="4"/>
  <c r="W80" i="4"/>
  <c r="W38" i="4"/>
  <c r="W54" i="4"/>
  <c r="W70" i="4"/>
  <c r="W23" i="4"/>
  <c r="W59" i="4"/>
  <c r="W51" i="4"/>
  <c r="W43" i="4"/>
  <c r="W35" i="4"/>
  <c r="W27" i="4"/>
  <c r="W36" i="4"/>
  <c r="W52" i="4"/>
  <c r="W68" i="4"/>
  <c r="W26" i="4"/>
  <c r="W42" i="4"/>
  <c r="W58" i="4"/>
  <c r="W74" i="4"/>
  <c r="W81" i="4"/>
  <c r="W73" i="4"/>
  <c r="W65" i="4"/>
  <c r="W57" i="4"/>
  <c r="W49" i="4"/>
  <c r="W41" i="4"/>
  <c r="W33" i="4"/>
  <c r="W25" i="4"/>
  <c r="W24" i="4"/>
  <c r="W40" i="4"/>
  <c r="W56" i="4"/>
  <c r="W72" i="4"/>
  <c r="W30" i="4"/>
  <c r="W46" i="4"/>
  <c r="W62" i="4"/>
  <c r="W78" i="4"/>
  <c r="W79" i="4"/>
  <c r="W71" i="4"/>
  <c r="W63" i="4"/>
  <c r="W55" i="4"/>
  <c r="W47" i="4"/>
  <c r="W39" i="4"/>
  <c r="U12" i="4" l="1"/>
  <c r="V12" i="4" s="1"/>
  <c r="T6" i="4" s="1"/>
  <c r="U16" i="4"/>
  <c r="V16" i="4" s="1"/>
  <c r="W16" i="4" s="1"/>
  <c r="U17" i="4"/>
  <c r="V17" i="4" s="1"/>
  <c r="W17" i="4" s="1"/>
  <c r="Q6" i="5"/>
  <c r="R6" i="5" s="1"/>
  <c r="Y18" i="4"/>
  <c r="H8" i="5"/>
  <c r="H25" i="5"/>
  <c r="M7" i="5" s="1"/>
  <c r="N7" i="5" s="1"/>
  <c r="O7" i="5" s="1"/>
  <c r="P7" i="5" s="1"/>
  <c r="X16" i="4"/>
  <c r="X17" i="4"/>
  <c r="W84" i="4"/>
  <c r="U11" i="4" s="1"/>
  <c r="Y16" i="4"/>
  <c r="X18" i="4"/>
  <c r="Y17" i="4"/>
  <c r="T4" i="4" l="1"/>
  <c r="Q7" i="5"/>
  <c r="R7" i="5" s="1"/>
  <c r="H9" i="5"/>
  <c r="H26" i="5"/>
  <c r="M8" i="5" s="1"/>
  <c r="N8" i="5" s="1"/>
  <c r="O8" i="5" s="1"/>
  <c r="P8" i="5" s="1"/>
  <c r="U13" i="4"/>
  <c r="V11" i="4"/>
  <c r="U4" i="4" l="1"/>
  <c r="Q8" i="5"/>
  <c r="R8" i="5" s="1"/>
  <c r="H10" i="5"/>
  <c r="H27" i="5"/>
  <c r="M9" i="5" s="1"/>
  <c r="N9" i="5" s="1"/>
  <c r="O9" i="5" s="1"/>
  <c r="P9" i="5" s="1"/>
  <c r="W11" i="4"/>
  <c r="X11" i="4" s="1"/>
  <c r="Q9" i="5" l="1"/>
  <c r="R9" i="5" s="1"/>
  <c r="H11" i="5"/>
  <c r="H28" i="5"/>
  <c r="M10" i="5" s="1"/>
  <c r="N10" i="5" s="1"/>
  <c r="O10" i="5" s="1"/>
  <c r="P10" i="5" s="1"/>
  <c r="Q10" i="5" l="1"/>
  <c r="R10" i="5" s="1"/>
  <c r="H12" i="5"/>
  <c r="H29" i="5"/>
  <c r="M11" i="5" s="1"/>
  <c r="N11" i="5" s="1"/>
  <c r="O11" i="5" s="1"/>
  <c r="P11" i="5" s="1"/>
  <c r="Q11" i="5" l="1"/>
  <c r="R11" i="5" s="1"/>
  <c r="H13" i="5"/>
  <c r="H30" i="5"/>
  <c r="M12" i="5" s="1"/>
  <c r="N12" i="5" s="1"/>
  <c r="O12" i="5" s="1"/>
  <c r="P12" i="5" s="1"/>
  <c r="Q12" i="5" l="1"/>
  <c r="R12" i="5" s="1"/>
  <c r="H14" i="5"/>
  <c r="H31" i="5"/>
  <c r="M13" i="5" s="1"/>
  <c r="N13" i="5" s="1"/>
  <c r="O13" i="5" s="1"/>
  <c r="P13" i="5" s="1"/>
  <c r="Q13" i="5" l="1"/>
  <c r="R13" i="5" s="1"/>
  <c r="H15" i="5"/>
  <c r="H32" i="5"/>
  <c r="M14" i="5" s="1"/>
  <c r="N14" i="5" s="1"/>
  <c r="O14" i="5" s="1"/>
  <c r="P14" i="5" s="1"/>
  <c r="Q14" i="5" l="1"/>
  <c r="R14" i="5" s="1"/>
  <c r="H33" i="5"/>
  <c r="M15" i="5" s="1"/>
  <c r="N15" i="5" s="1"/>
  <c r="O15" i="5" s="1"/>
  <c r="P15" i="5" s="1"/>
  <c r="H16" i="5"/>
  <c r="Q15" i="5" l="1"/>
  <c r="R15" i="5" s="1"/>
  <c r="H34" i="5"/>
  <c r="M16" i="5" s="1"/>
  <c r="N16" i="5" s="1"/>
  <c r="O16" i="5" s="1"/>
  <c r="P16" i="5" s="1"/>
  <c r="I2" i="5" a="1"/>
  <c r="Q16" i="5" l="1"/>
  <c r="R16" i="5" s="1"/>
  <c r="R17" i="5" s="1"/>
  <c r="I4" i="5"/>
  <c r="I13" i="5"/>
  <c r="I5" i="5"/>
  <c r="I14" i="5"/>
  <c r="I15" i="5"/>
  <c r="I7" i="5"/>
  <c r="I10" i="5"/>
  <c r="I12" i="5"/>
  <c r="I9" i="5"/>
  <c r="I2" i="5"/>
  <c r="I6" i="5"/>
  <c r="I11" i="5"/>
  <c r="I3" i="5"/>
  <c r="I16" i="5"/>
  <c r="I8" i="5"/>
</calcChain>
</file>

<file path=xl/sharedStrings.xml><?xml version="1.0" encoding="utf-8"?>
<sst xmlns="http://schemas.openxmlformats.org/spreadsheetml/2006/main" count="418" uniqueCount="138">
  <si>
    <t>№ дня</t>
  </si>
  <si>
    <t>Дата</t>
  </si>
  <si>
    <t>Курс (руб/100 иен)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</si>
  <si>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</si>
  <si>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</si>
  <si>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</si>
  <si>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</si>
  <si>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</si>
  <si>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</si>
  <si>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</si>
  <si>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</si>
  <si>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</si>
  <si>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</si>
  <si>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</si>
  <si>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</si>
  <si>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</si>
  <si>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группы</t>
  </si>
  <si>
    <t>частота</t>
  </si>
  <si>
    <t>Коэффициент вариации</t>
  </si>
  <si>
    <t>Длинна группы</t>
  </si>
  <si>
    <t>Количество групп</t>
  </si>
  <si>
    <t>Границы групп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</si>
  <si>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</si>
  <si>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</si>
  <si>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</si>
  <si>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</si>
  <si>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</si>
  <si>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</si>
  <si>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</si>
  <si>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</si>
  <si>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</si>
  <si>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</si>
  <si>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</si>
  <si>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</si>
  <si>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</si>
  <si>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</si>
  <si>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</si>
  <si>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</si>
  <si>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</si>
  <si>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</si>
  <si>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</si>
  <si>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</si>
  <si>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</si>
  <si>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</si>
  <si>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</si>
  <si>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</si>
  <si>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</si>
  <si>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</si>
  <si>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</si>
  <si>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</si>
  <si>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-</t>
  </si>
  <si>
    <t>F табл =</t>
  </si>
  <si>
    <t>t табл =</t>
  </si>
  <si>
    <t>% данных описывается нашим уравнением</t>
  </si>
  <si>
    <t>t</t>
  </si>
  <si>
    <t>t^2</t>
  </si>
  <si>
    <t>Переменная X 2</t>
  </si>
  <si>
    <t>a=</t>
  </si>
  <si>
    <t>b=</t>
  </si>
  <si>
    <t>c=</t>
  </si>
  <si>
    <t>Функция</t>
  </si>
  <si>
    <r>
      <rPr>
        <sz val="11"/>
        <color theme="1"/>
        <rFont val="Verdana"/>
        <family val="2"/>
        <charset val="204"/>
      </rPr>
      <t>∑</t>
    </r>
    <r>
      <rPr>
        <sz val="11"/>
        <color theme="1"/>
        <rFont val="Calibri"/>
        <family val="2"/>
        <charset val="204"/>
      </rPr>
      <t>=</t>
    </r>
  </si>
  <si>
    <t>SS2</t>
  </si>
  <si>
    <t>ср.знач</t>
  </si>
  <si>
    <t>сумма</t>
  </si>
  <si>
    <t>a</t>
  </si>
  <si>
    <t>b</t>
  </si>
  <si>
    <t>c</t>
  </si>
  <si>
    <t>1+(t/qt)</t>
  </si>
  <si>
    <t>Столбец1</t>
  </si>
  <si>
    <t>Границы группы</t>
  </si>
  <si>
    <t>Частоты</t>
  </si>
  <si>
    <t>Середины остатков</t>
  </si>
  <si>
    <t>(S*-a)^2</t>
  </si>
  <si>
    <t>Середины границы группы</t>
  </si>
  <si>
    <t>-((S*-a)^2)/2*дисперсия</t>
  </si>
  <si>
    <t>EXP</t>
  </si>
  <si>
    <t>Практическая частота</t>
  </si>
  <si>
    <t>Теоретическая частота</t>
  </si>
  <si>
    <t>Хи выч</t>
  </si>
  <si>
    <t>Ассиметрия</t>
  </si>
  <si>
    <t>&gt;</t>
  </si>
  <si>
    <t>Распределение не является нормальным</t>
  </si>
  <si>
    <t>&lt;</t>
  </si>
  <si>
    <t>1 часть:</t>
  </si>
  <si>
    <t>ТЕСТ ГОЛДФЕЛДА-КВАНДТА</t>
  </si>
  <si>
    <t>Fвыч</t>
  </si>
  <si>
    <t>Fвыч&gt; Fтабл</t>
  </si>
  <si>
    <t>Fтабл</t>
  </si>
  <si>
    <t>Остатки по модулю</t>
  </si>
  <si>
    <t>t^0,5</t>
  </si>
  <si>
    <t>t^1,5</t>
  </si>
  <si>
    <t>Остатки^2</t>
  </si>
  <si>
    <t>t^0,5:</t>
  </si>
  <si>
    <t>ТЕСТ ГЛЕЙЗЕРА</t>
  </si>
  <si>
    <t>t^1,5:</t>
  </si>
  <si>
    <t>t^2:</t>
  </si>
  <si>
    <t>ТЕСТ УАЙТА</t>
  </si>
  <si>
    <t>3 часть:</t>
  </si>
  <si>
    <t>гетероскедастичность на 95%</t>
  </si>
  <si>
    <r>
      <t xml:space="preserve">Гетероскедастичность </t>
    </r>
    <r>
      <rPr>
        <u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значима, т.к. P-значение &gt;0,05</t>
    </r>
  </si>
  <si>
    <r>
      <t>Вывод: гетероскедастичность вида ei^2=α*t</t>
    </r>
    <r>
      <rPr>
        <sz val="11"/>
        <color theme="1"/>
        <rFont val="Calibri"/>
        <family val="2"/>
        <charset val="204"/>
        <scheme val="minor"/>
      </rPr>
      <t xml:space="preserve"> существует</t>
    </r>
  </si>
  <si>
    <t>Остатки смещенные</t>
  </si>
  <si>
    <t>(еn-e(n-1))^2</t>
  </si>
  <si>
    <t>e^2</t>
  </si>
  <si>
    <t>∑1</t>
  </si>
  <si>
    <t>∑2</t>
  </si>
  <si>
    <t>Тест Дарбина-Уотсона</t>
  </si>
  <si>
    <t>Остатки новые</t>
  </si>
  <si>
    <t>dL=</t>
  </si>
  <si>
    <t>dU=</t>
  </si>
  <si>
    <r>
      <rPr>
        <sz val="11"/>
        <color theme="1"/>
        <rFont val="Symbol"/>
        <family val="1"/>
        <charset val="2"/>
      </rPr>
      <t>|a|</t>
    </r>
    <r>
      <rPr>
        <sz val="11"/>
        <color theme="1"/>
        <rFont val="Calibri"/>
        <family val="2"/>
        <charset val="204"/>
      </rPr>
      <t>&lt;1</t>
    </r>
  </si>
  <si>
    <t>P-Значение&lt;0,05</t>
  </si>
  <si>
    <t>сущ-т автокорреляция 1-го порядка</t>
  </si>
  <si>
    <t>Значимость F&lt;0,05</t>
  </si>
  <si>
    <t xml:space="preserve"> устойчивый процесс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</si>
  <si>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</si>
  <si>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</si>
  <si>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</si>
  <si>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</si>
  <si>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</si>
  <si>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</si>
  <si>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</si>
  <si>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</si>
  <si>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</si>
  <si>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</si>
  <si>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Столбец 11</t>
  </si>
  <si>
    <t>Столбец 12</t>
  </si>
  <si>
    <t>d&lt;dL сущ-т автокорреляция 1-го порядка вида:</t>
  </si>
  <si>
    <t>d=</t>
  </si>
  <si>
    <t>59,34518+(-0,10822)*t+0,00241*t^2+0,85*e(t-1)</t>
  </si>
  <si>
    <t>осн</t>
  </si>
  <si>
    <t>ошибка</t>
  </si>
  <si>
    <t>сущ-т автокорреляция 8-го порядка</t>
  </si>
  <si>
    <t>a1</t>
  </si>
  <si>
    <t>a2</t>
  </si>
  <si>
    <t>59,34518+(-0,10822)*t+0,00241*t^2+(-0,366)*e(t-8)+0,849*e(t-1)</t>
  </si>
  <si>
    <t>Т.к. ошибка &lt;5, то делаю вывод, что могу пронозировать на 7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</si>
</sst>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1" xfId="0" applyFill="1" applyBorder="1" applyAlignmen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Protection="1">
      <protection locked="0"/>
    </xf>
    <xf numFmtId="164" fontId="0" fillId="0" borderId="0" xfId="0" applyNumberFormat="1" applyBorder="1"/>
    <xf numFmtId="164" fontId="2" fillId="0" borderId="0" xfId="0" applyNumberFormat="1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/>
    <xf numFmtId="3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0" xfId="0" applyFont="1"/>
    <xf numFmtId="0" fontId="2" fillId="0" borderId="0" xfId="0" applyFont="1" applyFill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" xfId="0" applyFill="1" applyBorder="1" applyAlignment="1"/>
    <xf numFmtId="0" fontId="0" fillId="2" borderId="0" xfId="0" applyFill="1" applyBorder="1" applyAlignment="1"/>
    <xf numFmtId="0" fontId="0" fillId="2" borderId="0" xfId="0" applyFill="1"/>
    <xf numFmtId="0" fontId="0" fillId="2" borderId="5" xfId="0" applyFill="1" applyBorder="1" applyAlignment="1"/>
    <xf numFmtId="0" fontId="0" fillId="2" borderId="1" xfId="0" applyFill="1" applyBorder="1"/>
    <xf numFmtId="0" fontId="0" fillId="3" borderId="0" xfId="0" applyFill="1"/>
    <xf numFmtId="0" fontId="3" fillId="3" borderId="0" xfId="0" applyFont="1" applyFill="1" applyBorder="1" applyAlignment="1">
      <alignment horizontal="center"/>
    </xf>
    <xf numFmtId="0" fontId="0" fillId="2" borderId="1" xfId="0" applyNumberFormat="1" applyFill="1" applyBorder="1" applyAlignment="1"/>
    <xf numFmtId="0" fontId="0" fillId="0" borderId="0" xfId="0" applyBorder="1"/>
    <xf numFmtId="0" fontId="3" fillId="0" borderId="1" xfId="0" applyFont="1" applyFill="1" applyBorder="1" applyAlignment="1">
      <alignment horizontal="center"/>
    </xf>
    <xf numFmtId="0" fontId="0" fillId="0" borderId="15" xfId="0" applyFill="1" applyBorder="1" applyAlignment="1"/>
    <xf numFmtId="0" fontId="1" fillId="0" borderId="1" xfId="0" applyFont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0" fillId="0" borderId="16" xfId="0" applyBorder="1"/>
    <xf numFmtId="0" fontId="0" fillId="0" borderId="17" xfId="0" applyFill="1" applyBorder="1"/>
    <xf numFmtId="0" fontId="0" fillId="0" borderId="18" xfId="0" applyBorder="1"/>
    <xf numFmtId="0" fontId="0" fillId="0" borderId="19" xfId="0" applyBorder="1"/>
    <xf numFmtId="0" fontId="1" fillId="0" borderId="17" xfId="0" applyFont="1" applyFill="1" applyBorder="1" applyAlignment="1" applyProtection="1">
      <alignment horizontal="right"/>
      <protection locked="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  <xf numFmtId="0" fontId="3" fillId="0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5" borderId="1" xfId="0" applyNumberFormat="1" applyFill="1" applyBorder="1"/>
    <xf numFmtId="0" fontId="0" fillId="0" borderId="20" xfId="0" applyBorder="1"/>
    <xf numFmtId="0" fontId="0" fillId="0" borderId="25" xfId="0" applyBorder="1"/>
    <xf numFmtId="0" fontId="6" fillId="0" borderId="20" xfId="0" applyFont="1" applyBorder="1"/>
    <xf numFmtId="0" fontId="3" fillId="0" borderId="11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3" xfId="0" applyFill="1" applyBorder="1" applyAlignment="1"/>
    <xf numFmtId="0" fontId="0" fillId="0" borderId="27" xfId="0" applyFill="1" applyBorder="1" applyAlignment="1"/>
    <xf numFmtId="0" fontId="0" fillId="0" borderId="5" xfId="0" applyBorder="1"/>
    <xf numFmtId="0" fontId="0" fillId="0" borderId="28" xfId="0" applyBorder="1"/>
    <xf numFmtId="0" fontId="3" fillId="0" borderId="1" xfId="0" applyNumberFormat="1" applyFont="1" applyFill="1" applyBorder="1" applyAlignment="1">
      <alignment horizontal="center"/>
    </xf>
    <xf numFmtId="0" fontId="0" fillId="0" borderId="11" xfId="0" applyBorder="1"/>
    <xf numFmtId="0" fontId="3" fillId="0" borderId="12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4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2" borderId="27" xfId="0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1" xfId="0" applyFill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2" xfId="0" applyBorder="1"/>
    <xf numFmtId="0" fontId="0" fillId="0" borderId="33" xfId="0" applyFill="1" applyBorder="1" applyAlignment="1"/>
    <xf numFmtId="0" fontId="0" fillId="0" borderId="29" xfId="0" applyBorder="1"/>
    <xf numFmtId="0" fontId="8" fillId="2" borderId="1" xfId="0" applyFont="1" applyFill="1" applyBorder="1"/>
    <xf numFmtId="0" fontId="0" fillId="2" borderId="23" xfId="0" applyFill="1" applyBorder="1"/>
    <xf numFmtId="0" fontId="0" fillId="2" borderId="32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4" xfId="0" applyFill="1" applyBorder="1" applyAlignment="1">
      <alignment vertical="center"/>
    </xf>
    <xf numFmtId="0" fontId="0" fillId="0" borderId="24" xfId="0" applyBorder="1"/>
    <xf numFmtId="0" fontId="0" fillId="0" borderId="23" xfId="0" applyFill="1" applyBorder="1" applyAlignment="1">
      <alignment horizontal="right" vertical="center"/>
    </xf>
    <xf numFmtId="0" fontId="0" fillId="0" borderId="23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14" fontId="0" fillId="4" borderId="0" xfId="0" applyNumberFormat="1" applyFill="1"/>
    <xf numFmtId="14" fontId="0" fillId="0" borderId="0" xfId="0" applyNumberFormat="1" applyFill="1"/>
    <xf numFmtId="0" fontId="0" fillId="0" borderId="0" xfId="0" applyBorder="1" applyAlignment="1"/>
    <xf numFmtId="0" fontId="0" fillId="4" borderId="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6" xfId="0" applyFill="1" applyBorder="1" applyAlignment="1"/>
    <xf numFmtId="0" fontId="0" fillId="0" borderId="38" xfId="0" applyBorder="1"/>
    <xf numFmtId="0" fontId="0" fillId="0" borderId="39" xfId="0" applyBorder="1"/>
    <xf numFmtId="0" fontId="9" fillId="0" borderId="0" xfId="0" applyFont="1" applyAlignment="1">
      <alignment horizontal="center" readingOrder="1"/>
    </xf>
    <xf numFmtId="164" fontId="0" fillId="0" borderId="0" xfId="0" applyNumberFormat="1" applyFill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0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2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4" xfId="0" applyFill="1" applyBorder="1" applyAlignment="1">
      <alignment horizontal="center" wrapText="1"/>
    </xf>
    <xf numFmtId="0" fontId="0" fillId="2" borderId="28" xfId="0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Курс японской</a:t>
            </a:r>
            <a:r>
              <a:rPr lang="ru-RU" baseline="0"/>
              <a:t> иены (за 100 иен)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1523778059212"/>
          <c:y val="0.12912097476066137"/>
          <c:w val="0.65806455812279485"/>
          <c:h val="0.71629832171761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данные!$C$1</c:f>
              <c:strCache>
                <c:ptCount val="1"/>
                <c:pt idx="0">
                  <c:v>Курс (руб/100 иен)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invertIfNegative val="0"/>
          <c:trendline>
            <c:spPr>
              <a:ln w="22225"/>
            </c:spPr>
            <c:trendlineType val="exp"/>
            <c:dispRSqr val="0"/>
            <c:dispEq val="1"/>
            <c:trendlineLbl>
              <c:numFmt formatCode="General" sourceLinked="0"/>
            </c:trendlineLbl>
          </c:trendline>
          <c:trendline>
            <c:spPr>
              <a:ln>
                <a:solidFill>
                  <a:srgbClr val="7030A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2.1077321571127655E-2"/>
                  <c:y val="-1.3696999215304281E-2"/>
                </c:manualLayout>
              </c:layout>
              <c:numFmt formatCode="General" sourceLinked="0"/>
            </c:trendlineLbl>
          </c:trendline>
          <c:trendline>
            <c:spPr>
              <a:ln>
                <a:solidFill>
                  <a:srgbClr val="00B0F0"/>
                </a:solidFill>
              </a:ln>
            </c:spPr>
            <c:trendlineType val="log"/>
            <c:dispRSqr val="0"/>
            <c:dispEq val="1"/>
            <c:trendlineLbl>
              <c:numFmt formatCode="General" sourceLinked="0"/>
            </c:trendlineLbl>
          </c:trendline>
          <c:trendline>
            <c:spPr>
              <a:ln w="22225">
                <a:solidFill>
                  <a:srgbClr val="FFFF00"/>
                </a:solidFill>
              </a:ln>
            </c:spPr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trendline>
            <c:spPr>
              <a:ln w="22225"/>
            </c:spPr>
            <c:trendlineType val="power"/>
            <c:dispRSqr val="0"/>
            <c:dispEq val="1"/>
            <c:trendlineLbl>
              <c:layout>
                <c:manualLayout>
                  <c:x val="1.9173800369079036E-2"/>
                  <c:y val="-1.8218117472158086E-2"/>
                </c:manualLayout>
              </c:layout>
              <c:numFmt formatCode="General" sourceLinked="0"/>
            </c:trendlineLbl>
          </c:trendline>
          <c:trendline>
            <c:spPr>
              <a:ln w="22225">
                <a:solidFill>
                  <a:srgbClr val="FF0000"/>
                </a:solidFill>
              </a:ln>
            </c:spPr>
            <c:trendlineType val="movingAvg"/>
            <c:period val="2"/>
            <c:dispRSqr val="0"/>
            <c:dispEq val="0"/>
          </c:trendline>
          <c:cat>
            <c:numRef>
              <c:f>данные!$B$2:$B$61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данные!$C$2:$C$61</c:f>
              <c:numCache>
                <c:formatCode>#\ ##0.0000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2-471A-803D-2502F7972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52608"/>
        <c:axId val="189940096"/>
      </c:barChart>
      <c:catAx>
        <c:axId val="19005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дня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438812216306653"/>
              <c:y val="0.84253844558090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40096"/>
        <c:crosses val="autoZero"/>
        <c:auto val="1"/>
        <c:lblAlgn val="ctr"/>
        <c:lblOffset val="100"/>
        <c:noMultiLvlLbl val="0"/>
      </c:catAx>
      <c:valAx>
        <c:axId val="1899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</a:t>
                </a:r>
              </a:p>
            </c:rich>
          </c:tx>
          <c:layout>
            <c:manualLayout>
              <c:xMode val="edge"/>
              <c:yMode val="edge"/>
              <c:x val="9.9319177016960039E-2"/>
              <c:y val="8.3288799426387478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\ 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05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Курс японской</a:t>
            </a:r>
            <a:r>
              <a:rPr lang="ru-RU" baseline="0"/>
              <a:t> иены (за 100 иен)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1523778059212"/>
          <c:y val="0.12912097476066137"/>
          <c:w val="0.65806455812279485"/>
          <c:h val="0.716298321717614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данные!$C$1</c:f>
              <c:strCache>
                <c:ptCount val="1"/>
                <c:pt idx="0">
                  <c:v>Курс (руб/100 иен)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invertIfNegative val="0"/>
          <c:trendline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cat>
            <c:numRef>
              <c:f>данные!$B$2:$B$61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данные!$C$2:$C$61</c:f>
              <c:numCache>
                <c:formatCode>#\ ##0.0000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2-471A-803D-2502F7972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77728"/>
        <c:axId val="189979648"/>
      </c:barChart>
      <c:catAx>
        <c:axId val="18997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дня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438812216306653"/>
              <c:y val="0.84253844558090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9648"/>
        <c:crosses val="autoZero"/>
        <c:auto val="1"/>
        <c:lblAlgn val="ctr"/>
        <c:lblOffset val="100"/>
        <c:noMultiLvlLbl val="0"/>
      </c:catAx>
      <c:valAx>
        <c:axId val="1899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</a:t>
                </a:r>
              </a:p>
            </c:rich>
          </c:tx>
          <c:layout>
            <c:manualLayout>
              <c:xMode val="edge"/>
              <c:yMode val="edge"/>
              <c:x val="9.9319177016960039E-2"/>
              <c:y val="8.3288799426387478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\ 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частот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effectLst/>
          </c:spPr>
          <c:invertIfNegative val="0"/>
          <c:cat>
            <c:numRef>
              <c:f>'лаба 1'!$I$2:$I$16</c:f>
              <c:numCache>
                <c:formatCode>#\ ##0.0000</c:formatCode>
                <c:ptCount val="15"/>
                <c:pt idx="0">
                  <c:v>57.924100000000003</c:v>
                </c:pt>
                <c:pt idx="1">
                  <c:v>58.282064285714291</c:v>
                </c:pt>
                <c:pt idx="2">
                  <c:v>58.64002857142858</c:v>
                </c:pt>
                <c:pt idx="3">
                  <c:v>58.997992857142869</c:v>
                </c:pt>
                <c:pt idx="4">
                  <c:v>59.355957142857157</c:v>
                </c:pt>
                <c:pt idx="5">
                  <c:v>59.713921428571446</c:v>
                </c:pt>
                <c:pt idx="6">
                  <c:v>60.071885714285735</c:v>
                </c:pt>
                <c:pt idx="7">
                  <c:v>60.429850000000023</c:v>
                </c:pt>
                <c:pt idx="8">
                  <c:v>60.787814285714312</c:v>
                </c:pt>
                <c:pt idx="9">
                  <c:v>61.1457785714286</c:v>
                </c:pt>
                <c:pt idx="10">
                  <c:v>61.503742857142889</c:v>
                </c:pt>
                <c:pt idx="11">
                  <c:v>61.861707142857178</c:v>
                </c:pt>
                <c:pt idx="12">
                  <c:v>62.219671428571466</c:v>
                </c:pt>
                <c:pt idx="13">
                  <c:v>62.577635714285755</c:v>
                </c:pt>
                <c:pt idx="14">
                  <c:v>62.935600000000044</c:v>
                </c:pt>
              </c:numCache>
            </c:numRef>
          </c:cat>
          <c:val>
            <c:numRef>
              <c:f>'лаба 1'!$J$2:$J$16</c:f>
              <c:numCache>
                <c:formatCode>General</c:formatCode>
                <c:ptCount val="15"/>
                <c:pt idx="0">
                  <c:v>1</c:v>
                </c:pt>
                <c:pt idx="1">
                  <c:v>11</c:v>
                </c:pt>
                <c:pt idx="2">
                  <c:v>16</c:v>
                </c:pt>
                <c:pt idx="3">
                  <c:v>16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4-46AD-A528-76FD5366C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5239296"/>
        <c:axId val="195278336"/>
      </c:barChart>
      <c:catAx>
        <c:axId val="19523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границы групп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\ 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278336"/>
        <c:crosses val="autoZero"/>
        <c:auto val="1"/>
        <c:lblAlgn val="ctr"/>
        <c:lblOffset val="100"/>
        <c:noMultiLvlLbl val="0"/>
      </c:catAx>
      <c:valAx>
        <c:axId val="1952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23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'лаба 2'!$A$2:$A$61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'лаба 2'!$K$26:$K$85</c:f>
              <c:numCache>
                <c:formatCode>General</c:formatCode>
                <c:ptCount val="60"/>
                <c:pt idx="0">
                  <c:v>-0.69963780539398357</c:v>
                </c:pt>
                <c:pt idx="1">
                  <c:v>-0.1898186954261547</c:v>
                </c:pt>
                <c:pt idx="2">
                  <c:v>-0.36392186939520599</c:v>
                </c:pt>
                <c:pt idx="3">
                  <c:v>-0.45664732730109847</c:v>
                </c:pt>
                <c:pt idx="4">
                  <c:v>0.57120493085613333</c:v>
                </c:pt>
                <c:pt idx="5">
                  <c:v>-4.6565094923487038E-2</c:v>
                </c:pt>
                <c:pt idx="6">
                  <c:v>0.13444259536002789</c:v>
                </c:pt>
                <c:pt idx="7">
                  <c:v>-0.20497199829332402</c:v>
                </c:pt>
                <c:pt idx="8">
                  <c:v>-0.29850887588353459</c:v>
                </c:pt>
                <c:pt idx="9">
                  <c:v>-0.12156803741060429</c:v>
                </c:pt>
                <c:pt idx="10">
                  <c:v>9.9450517125461602E-2</c:v>
                </c:pt>
                <c:pt idx="11">
                  <c:v>-0.46925321227533345</c:v>
                </c:pt>
                <c:pt idx="12">
                  <c:v>-0.1859792256129893</c:v>
                </c:pt>
                <c:pt idx="13">
                  <c:v>4.3272477112495267E-2</c:v>
                </c:pt>
                <c:pt idx="14">
                  <c:v>0.27470189590111715</c:v>
                </c:pt>
                <c:pt idx="15">
                  <c:v>0.35350903075286766</c:v>
                </c:pt>
                <c:pt idx="16">
                  <c:v>0.5886938816677727</c:v>
                </c:pt>
                <c:pt idx="17">
                  <c:v>0.10415644864580287</c:v>
                </c:pt>
                <c:pt idx="18">
                  <c:v>-0.16300326831301959</c:v>
                </c:pt>
                <c:pt idx="19">
                  <c:v>1.3414730791296847E-2</c:v>
                </c:pt>
                <c:pt idx="20">
                  <c:v>-5.8789554041254632E-2</c:v>
                </c:pt>
                <c:pt idx="21">
                  <c:v>0.11658387718932772</c:v>
                </c:pt>
                <c:pt idx="22">
                  <c:v>0.25923502448305413</c:v>
                </c:pt>
                <c:pt idx="23">
                  <c:v>9.3363887839927884E-2</c:v>
                </c:pt>
                <c:pt idx="24">
                  <c:v>0.59217046725992617</c:v>
                </c:pt>
                <c:pt idx="25">
                  <c:v>1.0059547627430661</c:v>
                </c:pt>
                <c:pt idx="26">
                  <c:v>1.1347167742893447</c:v>
                </c:pt>
                <c:pt idx="27">
                  <c:v>1.5027565018987659</c:v>
                </c:pt>
                <c:pt idx="28">
                  <c:v>0.48207394557132233</c:v>
                </c:pt>
                <c:pt idx="29">
                  <c:v>1.8691053070156727E-3</c:v>
                </c:pt>
                <c:pt idx="30">
                  <c:v>0.20354198110585031</c:v>
                </c:pt>
                <c:pt idx="31">
                  <c:v>-2.1907427032175519E-2</c:v>
                </c:pt>
                <c:pt idx="32">
                  <c:v>3.0120880892930302E-2</c:v>
                </c:pt>
                <c:pt idx="33">
                  <c:v>-0.37487309511882927</c:v>
                </c:pt>
                <c:pt idx="34">
                  <c:v>-0.32348935506743004</c:v>
                </c:pt>
                <c:pt idx="35">
                  <c:v>0.11937210104709095</c:v>
                </c:pt>
                <c:pt idx="36">
                  <c:v>0.16001127322474673</c:v>
                </c:pt>
                <c:pt idx="37">
                  <c:v>8.3928161465550488E-2</c:v>
                </c:pt>
                <c:pt idx="38">
                  <c:v>3.4522765769494868E-2</c:v>
                </c:pt>
                <c:pt idx="39">
                  <c:v>-0.21950491386343174</c:v>
                </c:pt>
                <c:pt idx="40">
                  <c:v>-0.55025487743321833</c:v>
                </c:pt>
                <c:pt idx="41">
                  <c:v>-0.28322712493986302</c:v>
                </c:pt>
                <c:pt idx="42">
                  <c:v>-3.042165638336769E-2</c:v>
                </c:pt>
                <c:pt idx="43">
                  <c:v>-0.20323847176373988</c:v>
                </c:pt>
                <c:pt idx="44">
                  <c:v>-3.0377571080968835E-2</c:v>
                </c:pt>
                <c:pt idx="45">
                  <c:v>-0.65143895433506316</c:v>
                </c:pt>
                <c:pt idx="46">
                  <c:v>-0.76582262152601288</c:v>
                </c:pt>
                <c:pt idx="47">
                  <c:v>-1.1591285726538345</c:v>
                </c:pt>
                <c:pt idx="48">
                  <c:v>-1.4503568077185065</c:v>
                </c:pt>
                <c:pt idx="49">
                  <c:v>-1.472307326720049</c:v>
                </c:pt>
                <c:pt idx="50">
                  <c:v>-1.3445801296584534</c:v>
                </c:pt>
                <c:pt idx="51">
                  <c:v>-0.89337521653371255</c:v>
                </c:pt>
                <c:pt idx="52">
                  <c:v>-0.65379258734583345</c:v>
                </c:pt>
                <c:pt idx="53">
                  <c:v>-0.29973224209482652</c:v>
                </c:pt>
                <c:pt idx="54">
                  <c:v>0.53700581921932411</c:v>
                </c:pt>
                <c:pt idx="55">
                  <c:v>0.81992159659661468</c:v>
                </c:pt>
                <c:pt idx="56">
                  <c:v>1.325215090037041</c:v>
                </c:pt>
                <c:pt idx="57">
                  <c:v>1.1602862995406085</c:v>
                </c:pt>
                <c:pt idx="58">
                  <c:v>0.73553522510731995</c:v>
                </c:pt>
                <c:pt idx="59">
                  <c:v>1.4054618667371628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8-4C7E-B39E-AD8223703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47616"/>
        <c:axId val="199649536"/>
      </c:scatterChart>
      <c:valAx>
        <c:axId val="19964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49536"/>
        <c:crosses val="autoZero"/>
        <c:crossBetween val="midCat"/>
      </c:valAx>
      <c:valAx>
        <c:axId val="199649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47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остатков</a:t>
            </a:r>
          </a:p>
        </c:rich>
      </c:tx>
      <c:layout>
        <c:manualLayout>
          <c:xMode val="edge"/>
          <c:yMode val="edge"/>
          <c:x val="0.25635710267006528"/>
          <c:y val="3.9603960396039604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xVal>
          <c:yVal>
            <c:numRef>
              <c:f>'лаба 2'!$K$26:$K$85</c:f>
              <c:numCache>
                <c:formatCode>General</c:formatCode>
                <c:ptCount val="60"/>
                <c:pt idx="0">
                  <c:v>-0.69963780539398357</c:v>
                </c:pt>
                <c:pt idx="1">
                  <c:v>-0.1898186954261547</c:v>
                </c:pt>
                <c:pt idx="2">
                  <c:v>-0.36392186939520599</c:v>
                </c:pt>
                <c:pt idx="3">
                  <c:v>-0.45664732730109847</c:v>
                </c:pt>
                <c:pt idx="4">
                  <c:v>0.57120493085613333</c:v>
                </c:pt>
                <c:pt idx="5">
                  <c:v>-4.6565094923487038E-2</c:v>
                </c:pt>
                <c:pt idx="6">
                  <c:v>0.13444259536002789</c:v>
                </c:pt>
                <c:pt idx="7">
                  <c:v>-0.20497199829332402</c:v>
                </c:pt>
                <c:pt idx="8">
                  <c:v>-0.29850887588353459</c:v>
                </c:pt>
                <c:pt idx="9">
                  <c:v>-0.12156803741060429</c:v>
                </c:pt>
                <c:pt idx="10">
                  <c:v>9.9450517125461602E-2</c:v>
                </c:pt>
                <c:pt idx="11">
                  <c:v>-0.46925321227533345</c:v>
                </c:pt>
                <c:pt idx="12">
                  <c:v>-0.1859792256129893</c:v>
                </c:pt>
                <c:pt idx="13">
                  <c:v>4.3272477112495267E-2</c:v>
                </c:pt>
                <c:pt idx="14">
                  <c:v>0.27470189590111715</c:v>
                </c:pt>
                <c:pt idx="15">
                  <c:v>0.35350903075286766</c:v>
                </c:pt>
                <c:pt idx="16">
                  <c:v>0.5886938816677727</c:v>
                </c:pt>
                <c:pt idx="17">
                  <c:v>0.10415644864580287</c:v>
                </c:pt>
                <c:pt idx="18">
                  <c:v>-0.16300326831301959</c:v>
                </c:pt>
                <c:pt idx="19">
                  <c:v>1.3414730791296847E-2</c:v>
                </c:pt>
                <c:pt idx="20">
                  <c:v>-5.8789554041254632E-2</c:v>
                </c:pt>
                <c:pt idx="21">
                  <c:v>0.11658387718932772</c:v>
                </c:pt>
                <c:pt idx="22">
                  <c:v>0.25923502448305413</c:v>
                </c:pt>
                <c:pt idx="23">
                  <c:v>9.3363887839927884E-2</c:v>
                </c:pt>
                <c:pt idx="24">
                  <c:v>0.59217046725992617</c:v>
                </c:pt>
                <c:pt idx="25">
                  <c:v>1.0059547627430661</c:v>
                </c:pt>
                <c:pt idx="26">
                  <c:v>1.1347167742893447</c:v>
                </c:pt>
                <c:pt idx="27">
                  <c:v>1.5027565018987659</c:v>
                </c:pt>
                <c:pt idx="28">
                  <c:v>0.48207394557132233</c:v>
                </c:pt>
                <c:pt idx="29">
                  <c:v>1.8691053070156727E-3</c:v>
                </c:pt>
                <c:pt idx="30">
                  <c:v>0.20354198110585031</c:v>
                </c:pt>
                <c:pt idx="31">
                  <c:v>-2.1907427032175519E-2</c:v>
                </c:pt>
                <c:pt idx="32">
                  <c:v>3.0120880892930302E-2</c:v>
                </c:pt>
                <c:pt idx="33">
                  <c:v>-0.37487309511882927</c:v>
                </c:pt>
                <c:pt idx="34">
                  <c:v>-0.32348935506743004</c:v>
                </c:pt>
                <c:pt idx="35">
                  <c:v>0.11937210104709095</c:v>
                </c:pt>
                <c:pt idx="36">
                  <c:v>0.16001127322474673</c:v>
                </c:pt>
                <c:pt idx="37">
                  <c:v>8.3928161465550488E-2</c:v>
                </c:pt>
                <c:pt idx="38">
                  <c:v>3.4522765769494868E-2</c:v>
                </c:pt>
                <c:pt idx="39">
                  <c:v>-0.21950491386343174</c:v>
                </c:pt>
                <c:pt idx="40">
                  <c:v>-0.55025487743321833</c:v>
                </c:pt>
                <c:pt idx="41">
                  <c:v>-0.28322712493986302</c:v>
                </c:pt>
                <c:pt idx="42">
                  <c:v>-3.042165638336769E-2</c:v>
                </c:pt>
                <c:pt idx="43">
                  <c:v>-0.20323847176373988</c:v>
                </c:pt>
                <c:pt idx="44">
                  <c:v>-3.0377571080968835E-2</c:v>
                </c:pt>
                <c:pt idx="45">
                  <c:v>-0.65143895433506316</c:v>
                </c:pt>
                <c:pt idx="46">
                  <c:v>-0.76582262152601288</c:v>
                </c:pt>
                <c:pt idx="47">
                  <c:v>-1.1591285726538345</c:v>
                </c:pt>
                <c:pt idx="48">
                  <c:v>-1.4503568077185065</c:v>
                </c:pt>
                <c:pt idx="49">
                  <c:v>-1.472307326720049</c:v>
                </c:pt>
                <c:pt idx="50">
                  <c:v>-1.3445801296584534</c:v>
                </c:pt>
                <c:pt idx="51">
                  <c:v>-0.89337521653371255</c:v>
                </c:pt>
                <c:pt idx="52">
                  <c:v>-0.65379258734583345</c:v>
                </c:pt>
                <c:pt idx="53">
                  <c:v>-0.29973224209482652</c:v>
                </c:pt>
                <c:pt idx="54">
                  <c:v>0.53700581921932411</c:v>
                </c:pt>
                <c:pt idx="55">
                  <c:v>0.81992159659661468</c:v>
                </c:pt>
                <c:pt idx="56">
                  <c:v>1.325215090037041</c:v>
                </c:pt>
                <c:pt idx="57">
                  <c:v>1.1602862995406085</c:v>
                </c:pt>
                <c:pt idx="58">
                  <c:v>0.73553522510731995</c:v>
                </c:pt>
                <c:pt idx="59">
                  <c:v>1.4054618667371628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F-4535-BD8C-FDD58D2BF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77824"/>
        <c:axId val="195166208"/>
      </c:scatterChart>
      <c:valAx>
        <c:axId val="19967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166208"/>
        <c:crosses val="autoZero"/>
        <c:crossBetween val="midCat"/>
      </c:valAx>
      <c:valAx>
        <c:axId val="195166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77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invertIfNegative val="0"/>
          <c:cat>
            <c:numRef>
              <c:f>'лаба 2'!$A$2:$A$61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D-482B-8793-F602A4617922}"/>
            </c:ext>
          </c:extLst>
        </c:ser>
        <c:ser>
          <c:idx val="1"/>
          <c:order val="1"/>
          <c:tx>
            <c:v>Предсказанное Y</c:v>
          </c:tx>
          <c:invertIfNegative val="0"/>
          <c:cat>
            <c:numRef>
              <c:f>'лаба 2'!$A$2:$A$61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'лаба 2'!$J$26:$J$85</c:f>
              <c:numCache>
                <c:formatCode>General</c:formatCode>
                <c:ptCount val="60"/>
                <c:pt idx="0">
                  <c:v>59.239337805393987</c:v>
                </c:pt>
                <c:pt idx="1">
                  <c:v>59.138318695426157</c:v>
                </c:pt>
                <c:pt idx="2">
                  <c:v>59.042121869395203</c:v>
                </c:pt>
                <c:pt idx="3">
                  <c:v>58.950747327301102</c:v>
                </c:pt>
                <c:pt idx="4">
                  <c:v>58.864195069143868</c:v>
                </c:pt>
                <c:pt idx="5">
                  <c:v>58.782465094923488</c:v>
                </c:pt>
                <c:pt idx="6">
                  <c:v>58.705557404639976</c:v>
                </c:pt>
                <c:pt idx="7">
                  <c:v>58.633471998293324</c:v>
                </c:pt>
                <c:pt idx="8">
                  <c:v>58.566208875883532</c:v>
                </c:pt>
                <c:pt idx="9">
                  <c:v>58.503768037410602</c:v>
                </c:pt>
                <c:pt idx="10">
                  <c:v>58.446149482874539</c:v>
                </c:pt>
                <c:pt idx="11">
                  <c:v>58.393353212275336</c:v>
                </c:pt>
                <c:pt idx="12">
                  <c:v>58.345379225612987</c:v>
                </c:pt>
                <c:pt idx="13">
                  <c:v>58.302227522887506</c:v>
                </c:pt>
                <c:pt idx="14">
                  <c:v>58.263898104098885</c:v>
                </c:pt>
                <c:pt idx="15">
                  <c:v>58.230390969247132</c:v>
                </c:pt>
                <c:pt idx="16">
                  <c:v>58.201706118332226</c:v>
                </c:pt>
                <c:pt idx="17">
                  <c:v>58.177843551354194</c:v>
                </c:pt>
                <c:pt idx="18">
                  <c:v>58.158803268313022</c:v>
                </c:pt>
                <c:pt idx="19">
                  <c:v>58.144585269208704</c:v>
                </c:pt>
                <c:pt idx="20">
                  <c:v>58.135189554041254</c:v>
                </c:pt>
                <c:pt idx="21">
                  <c:v>58.130616122810672</c:v>
                </c:pt>
                <c:pt idx="22">
                  <c:v>58.130864975516943</c:v>
                </c:pt>
                <c:pt idx="23">
                  <c:v>58.135936112160074</c:v>
                </c:pt>
                <c:pt idx="24">
                  <c:v>58.145829532740073</c:v>
                </c:pt>
                <c:pt idx="25">
                  <c:v>58.160545237256933</c:v>
                </c:pt>
                <c:pt idx="26">
                  <c:v>58.180083225710653</c:v>
                </c:pt>
                <c:pt idx="27">
                  <c:v>58.204443498101234</c:v>
                </c:pt>
                <c:pt idx="28">
                  <c:v>58.233626054428676</c:v>
                </c:pt>
                <c:pt idx="29">
                  <c:v>58.267630894692985</c:v>
                </c:pt>
                <c:pt idx="30">
                  <c:v>58.306458018894148</c:v>
                </c:pt>
                <c:pt idx="31">
                  <c:v>58.350107427032178</c:v>
                </c:pt>
                <c:pt idx="32">
                  <c:v>58.398579119107069</c:v>
                </c:pt>
                <c:pt idx="33">
                  <c:v>58.451873095118827</c:v>
                </c:pt>
                <c:pt idx="34">
                  <c:v>58.509989355067432</c:v>
                </c:pt>
                <c:pt idx="35">
                  <c:v>58.572927898952912</c:v>
                </c:pt>
                <c:pt idx="36">
                  <c:v>58.640688726775252</c:v>
                </c:pt>
                <c:pt idx="37">
                  <c:v>58.713271838534446</c:v>
                </c:pt>
                <c:pt idx="38">
                  <c:v>58.790677234230508</c:v>
                </c:pt>
                <c:pt idx="39">
                  <c:v>58.872904913863429</c:v>
                </c:pt>
                <c:pt idx="40">
                  <c:v>58.959954877433219</c:v>
                </c:pt>
                <c:pt idx="41">
                  <c:v>59.051827124939862</c:v>
                </c:pt>
                <c:pt idx="42">
                  <c:v>59.148521656383366</c:v>
                </c:pt>
                <c:pt idx="43">
                  <c:v>59.250038471763737</c:v>
                </c:pt>
                <c:pt idx="44">
                  <c:v>59.356377571080969</c:v>
                </c:pt>
                <c:pt idx="45">
                  <c:v>59.467538954335062</c:v>
                </c:pt>
                <c:pt idx="46">
                  <c:v>59.583522621526015</c:v>
                </c:pt>
                <c:pt idx="47">
                  <c:v>59.704328572653836</c:v>
                </c:pt>
                <c:pt idx="48">
                  <c:v>59.82995680771851</c:v>
                </c:pt>
                <c:pt idx="49">
                  <c:v>59.960407326720052</c:v>
                </c:pt>
                <c:pt idx="50">
                  <c:v>60.095680129658454</c:v>
                </c:pt>
                <c:pt idx="51">
                  <c:v>60.23577521653371</c:v>
                </c:pt>
                <c:pt idx="52">
                  <c:v>60.380692587345834</c:v>
                </c:pt>
                <c:pt idx="53">
                  <c:v>60.530432242094825</c:v>
                </c:pt>
                <c:pt idx="54">
                  <c:v>60.684994180780677</c:v>
                </c:pt>
                <c:pt idx="55">
                  <c:v>60.844378403403383</c:v>
                </c:pt>
                <c:pt idx="56">
                  <c:v>61.008584909962956</c:v>
                </c:pt>
                <c:pt idx="57">
                  <c:v>61.177613700459389</c:v>
                </c:pt>
                <c:pt idx="58">
                  <c:v>61.351464774892683</c:v>
                </c:pt>
                <c:pt idx="59">
                  <c:v>61.530138133262838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D-482B-8793-F602A4617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203456"/>
        <c:axId val="195205376"/>
      </c:barChart>
      <c:catAx>
        <c:axId val="19520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205376"/>
        <c:crosses val="autoZero"/>
        <c:auto val="1"/>
        <c:lblAlgn val="ctr"/>
        <c:lblOffset val="100"/>
        <c:noMultiLvlLbl val="0"/>
      </c:catAx>
      <c:valAx>
        <c:axId val="195205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203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8-4F7E-8144-A0F33E7E47A7}"/>
            </c:ext>
          </c:extLst>
        </c:ser>
        <c:ser>
          <c:idx val="1"/>
          <c:order val="1"/>
          <c:tx>
            <c:v>Предсказанное Y</c:v>
          </c:tx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2'!$J$26:$J$85</c:f>
              <c:numCache>
                <c:formatCode>General</c:formatCode>
                <c:ptCount val="60"/>
                <c:pt idx="0">
                  <c:v>59.239337805393987</c:v>
                </c:pt>
                <c:pt idx="1">
                  <c:v>59.138318695426157</c:v>
                </c:pt>
                <c:pt idx="2">
                  <c:v>59.042121869395203</c:v>
                </c:pt>
                <c:pt idx="3">
                  <c:v>58.950747327301102</c:v>
                </c:pt>
                <c:pt idx="4">
                  <c:v>58.864195069143868</c:v>
                </c:pt>
                <c:pt idx="5">
                  <c:v>58.782465094923488</c:v>
                </c:pt>
                <c:pt idx="6">
                  <c:v>58.705557404639976</c:v>
                </c:pt>
                <c:pt idx="7">
                  <c:v>58.633471998293324</c:v>
                </c:pt>
                <c:pt idx="8">
                  <c:v>58.566208875883532</c:v>
                </c:pt>
                <c:pt idx="9">
                  <c:v>58.503768037410602</c:v>
                </c:pt>
                <c:pt idx="10">
                  <c:v>58.446149482874539</c:v>
                </c:pt>
                <c:pt idx="11">
                  <c:v>58.393353212275336</c:v>
                </c:pt>
                <c:pt idx="12">
                  <c:v>58.345379225612987</c:v>
                </c:pt>
                <c:pt idx="13">
                  <c:v>58.302227522887506</c:v>
                </c:pt>
                <c:pt idx="14">
                  <c:v>58.263898104098885</c:v>
                </c:pt>
                <c:pt idx="15">
                  <c:v>58.230390969247132</c:v>
                </c:pt>
                <c:pt idx="16">
                  <c:v>58.201706118332226</c:v>
                </c:pt>
                <c:pt idx="17">
                  <c:v>58.177843551354194</c:v>
                </c:pt>
                <c:pt idx="18">
                  <c:v>58.158803268313022</c:v>
                </c:pt>
                <c:pt idx="19">
                  <c:v>58.144585269208704</c:v>
                </c:pt>
                <c:pt idx="20">
                  <c:v>58.135189554041254</c:v>
                </c:pt>
                <c:pt idx="21">
                  <c:v>58.130616122810672</c:v>
                </c:pt>
                <c:pt idx="22">
                  <c:v>58.130864975516943</c:v>
                </c:pt>
                <c:pt idx="23">
                  <c:v>58.135936112160074</c:v>
                </c:pt>
                <c:pt idx="24">
                  <c:v>58.145829532740073</c:v>
                </c:pt>
                <c:pt idx="25">
                  <c:v>58.160545237256933</c:v>
                </c:pt>
                <c:pt idx="26">
                  <c:v>58.180083225710653</c:v>
                </c:pt>
                <c:pt idx="27">
                  <c:v>58.204443498101234</c:v>
                </c:pt>
                <c:pt idx="28">
                  <c:v>58.233626054428676</c:v>
                </c:pt>
                <c:pt idx="29">
                  <c:v>58.267630894692985</c:v>
                </c:pt>
                <c:pt idx="30">
                  <c:v>58.306458018894148</c:v>
                </c:pt>
                <c:pt idx="31">
                  <c:v>58.350107427032178</c:v>
                </c:pt>
                <c:pt idx="32">
                  <c:v>58.398579119107069</c:v>
                </c:pt>
                <c:pt idx="33">
                  <c:v>58.451873095118827</c:v>
                </c:pt>
                <c:pt idx="34">
                  <c:v>58.509989355067432</c:v>
                </c:pt>
                <c:pt idx="35">
                  <c:v>58.572927898952912</c:v>
                </c:pt>
                <c:pt idx="36">
                  <c:v>58.640688726775252</c:v>
                </c:pt>
                <c:pt idx="37">
                  <c:v>58.713271838534446</c:v>
                </c:pt>
                <c:pt idx="38">
                  <c:v>58.790677234230508</c:v>
                </c:pt>
                <c:pt idx="39">
                  <c:v>58.872904913863429</c:v>
                </c:pt>
                <c:pt idx="40">
                  <c:v>58.959954877433219</c:v>
                </c:pt>
                <c:pt idx="41">
                  <c:v>59.051827124939862</c:v>
                </c:pt>
                <c:pt idx="42">
                  <c:v>59.148521656383366</c:v>
                </c:pt>
                <c:pt idx="43">
                  <c:v>59.250038471763737</c:v>
                </c:pt>
                <c:pt idx="44">
                  <c:v>59.356377571080969</c:v>
                </c:pt>
                <c:pt idx="45">
                  <c:v>59.467538954335062</c:v>
                </c:pt>
                <c:pt idx="46">
                  <c:v>59.583522621526015</c:v>
                </c:pt>
                <c:pt idx="47">
                  <c:v>59.704328572653836</c:v>
                </c:pt>
                <c:pt idx="48">
                  <c:v>59.82995680771851</c:v>
                </c:pt>
                <c:pt idx="49">
                  <c:v>59.960407326720052</c:v>
                </c:pt>
                <c:pt idx="50">
                  <c:v>60.095680129658454</c:v>
                </c:pt>
                <c:pt idx="51">
                  <c:v>60.23577521653371</c:v>
                </c:pt>
                <c:pt idx="52">
                  <c:v>60.380692587345834</c:v>
                </c:pt>
                <c:pt idx="53">
                  <c:v>60.530432242094825</c:v>
                </c:pt>
                <c:pt idx="54">
                  <c:v>60.684994180780677</c:v>
                </c:pt>
                <c:pt idx="55">
                  <c:v>60.844378403403383</c:v>
                </c:pt>
                <c:pt idx="56">
                  <c:v>61.008584909962956</c:v>
                </c:pt>
                <c:pt idx="57">
                  <c:v>61.177613700459389</c:v>
                </c:pt>
                <c:pt idx="58">
                  <c:v>61.351464774892683</c:v>
                </c:pt>
                <c:pt idx="59">
                  <c:v>61.530138133262838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8-4F7E-8144-A0F33E7E4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230720"/>
        <c:axId val="195302528"/>
      </c:barChart>
      <c:catAx>
        <c:axId val="19523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302528"/>
        <c:crosses val="autoZero"/>
        <c:auto val="1"/>
        <c:lblAlgn val="ctr"/>
        <c:lblOffset val="100"/>
        <c:noMultiLvlLbl val="0"/>
      </c:catAx>
      <c:valAx>
        <c:axId val="195302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230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b</a:t>
            </a:r>
            <a:r>
              <a:rPr lang="ru-RU"/>
              <a:t> . График остатков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'лаба 2'!$U$23:$U$82</c:f>
              <c:numCache>
                <c:formatCode>General</c:formatCode>
                <c:ptCount val="60"/>
                <c:pt idx="0">
                  <c:v>-0.69967187722487978</c:v>
                </c:pt>
                <c:pt idx="1">
                  <c:v>-0.18988274136503946</c:v>
                </c:pt>
                <c:pt idx="2">
                  <c:v>-0.36401456449516445</c:v>
                </c:pt>
                <c:pt idx="3">
                  <c:v>-0.45676734661524421</c:v>
                </c:pt>
                <c:pt idx="4">
                  <c:v>0.57105891227470096</c:v>
                </c:pt>
                <c:pt idx="5">
                  <c:v>-4.673578782533383E-2</c:v>
                </c:pt>
                <c:pt idx="6">
                  <c:v>0.13424855308468153</c:v>
                </c:pt>
                <c:pt idx="7">
                  <c:v>-0.20518806499527642</c:v>
                </c:pt>
                <c:pt idx="8">
                  <c:v>-0.2987456420652066</c:v>
                </c:pt>
                <c:pt idx="9">
                  <c:v>-0.12182417812510238</c:v>
                </c:pt>
                <c:pt idx="10">
                  <c:v>9.917632682504518E-2</c:v>
                </c:pt>
                <c:pt idx="11">
                  <c:v>-0.46954412721478178</c:v>
                </c:pt>
                <c:pt idx="12">
                  <c:v>-0.186285540244576</c:v>
                </c:pt>
                <c:pt idx="13">
                  <c:v>4.2952087735656619E-2</c:v>
                </c:pt>
                <c:pt idx="14">
                  <c:v>0.2743687567259343</c:v>
                </c:pt>
                <c:pt idx="15">
                  <c:v>0.35316446672623414</c:v>
                </c:pt>
                <c:pt idx="16">
                  <c:v>0.58833921773657494</c:v>
                </c:pt>
                <c:pt idx="17">
                  <c:v>0.1037930097569344</c:v>
                </c:pt>
                <c:pt idx="18">
                  <c:v>-0.16337415721265813</c:v>
                </c:pt>
                <c:pt idx="19">
                  <c:v>1.3037716827774659E-2</c:v>
                </c:pt>
                <c:pt idx="20">
                  <c:v>-5.9171368121752721E-2</c:v>
                </c:pt>
                <c:pt idx="21">
                  <c:v>0.11619858793874016</c:v>
                </c:pt>
                <c:pt idx="22">
                  <c:v>0.25884758500927063</c:v>
                </c:pt>
                <c:pt idx="23">
                  <c:v>9.2975623089841974E-2</c:v>
                </c:pt>
                <c:pt idx="24">
                  <c:v>0.59178270218043849</c:v>
                </c:pt>
                <c:pt idx="25">
                  <c:v>1.005568822281063</c:v>
                </c:pt>
                <c:pt idx="26">
                  <c:v>1.134333983391727</c:v>
                </c:pt>
                <c:pt idx="27">
                  <c:v>1.502378185512427</c:v>
                </c:pt>
                <c:pt idx="28">
                  <c:v>0.48170142864314869</c:v>
                </c:pt>
                <c:pt idx="29">
                  <c:v>1.5037127839150344E-3</c:v>
                </c:pt>
                <c:pt idx="30">
                  <c:v>0.2031850379347091</c:v>
                </c:pt>
                <c:pt idx="31">
                  <c:v>-2.2254595904456664E-2</c:v>
                </c:pt>
                <c:pt idx="32">
                  <c:v>2.9784811266402755E-2</c:v>
                </c:pt>
                <c:pt idx="33">
                  <c:v>-0.37519674055271679</c:v>
                </c:pt>
                <c:pt idx="34">
                  <c:v>-0.323799251361784</c:v>
                </c:pt>
                <c:pt idx="35">
                  <c:v>0.11907727883917829</c:v>
                </c:pt>
                <c:pt idx="36">
                  <c:v>0.1597328500501547</c:v>
                </c:pt>
                <c:pt idx="37">
                  <c:v>8.3667462271179716E-2</c:v>
                </c:pt>
                <c:pt idx="38">
                  <c:v>3.428111550223889E-2</c:v>
                </c:pt>
                <c:pt idx="39">
                  <c:v>-0.21972619025667228</c:v>
                </c:pt>
                <c:pt idx="40">
                  <c:v>-0.55045445500555701</c:v>
                </c:pt>
                <c:pt idx="41">
                  <c:v>-0.2834036787443992</c:v>
                </c:pt>
                <c:pt idx="42">
                  <c:v>-3.0573861473214947E-2</c:v>
                </c:pt>
                <c:pt idx="43">
                  <c:v>-0.20336500319199047</c:v>
                </c:pt>
                <c:pt idx="44">
                  <c:v>-3.047710390074343E-2</c:v>
                </c:pt>
                <c:pt idx="45">
                  <c:v>-0.65151016359946112</c:v>
                </c:pt>
                <c:pt idx="46">
                  <c:v>-0.76586418228814068</c:v>
                </c:pt>
                <c:pt idx="47">
                  <c:v>-1.1591391599667844</c:v>
                </c:pt>
                <c:pt idx="48">
                  <c:v>-1.4503350966354063</c:v>
                </c:pt>
                <c:pt idx="49">
                  <c:v>-1.472251992293991</c:v>
                </c:pt>
                <c:pt idx="50">
                  <c:v>-1.3444898469425439</c:v>
                </c:pt>
                <c:pt idx="51">
                  <c:v>-0.89324866058106522</c:v>
                </c:pt>
                <c:pt idx="52">
                  <c:v>-0.65362843320955477</c:v>
                </c:pt>
                <c:pt idx="53">
                  <c:v>-0.29952916482800873</c:v>
                </c:pt>
                <c:pt idx="54">
                  <c:v>0.53724914456357453</c:v>
                </c:pt>
                <c:pt idx="55">
                  <c:v>0.82020649496518416</c:v>
                </c:pt>
                <c:pt idx="56">
                  <c:v>1.325542886376823</c:v>
                </c:pt>
                <c:pt idx="57">
                  <c:v>1.1606583187985038</c:v>
                </c:pt>
                <c:pt idx="58">
                  <c:v>0.73595279223022203</c:v>
                </c:pt>
                <c:pt idx="59">
                  <c:v>1.405926306671951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BE-4811-855C-AF5CACF5D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62176"/>
        <c:axId val="199829376"/>
      </c:scatterChart>
      <c:valAx>
        <c:axId val="19536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</a:t>
                </a:r>
                <a:r>
                  <a:rPr lang="en-US"/>
                  <a:t> 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29376"/>
        <c:crosses val="autoZero"/>
        <c:crossBetween val="midCat"/>
      </c:valAx>
      <c:valAx>
        <c:axId val="1998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36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c</a:t>
            </a:r>
            <a:r>
              <a:rPr lang="ru-RU"/>
              <a:t> . График остатков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xVal>
          <c:yVal>
            <c:numRef>
              <c:f>'лаба 2'!$U$23:$U$82</c:f>
              <c:numCache>
                <c:formatCode>General</c:formatCode>
                <c:ptCount val="60"/>
                <c:pt idx="0">
                  <c:v>-0.69967187722487978</c:v>
                </c:pt>
                <c:pt idx="1">
                  <c:v>-0.18988274136503946</c:v>
                </c:pt>
                <c:pt idx="2">
                  <c:v>-0.36401456449516445</c:v>
                </c:pt>
                <c:pt idx="3">
                  <c:v>-0.45676734661524421</c:v>
                </c:pt>
                <c:pt idx="4">
                  <c:v>0.57105891227470096</c:v>
                </c:pt>
                <c:pt idx="5">
                  <c:v>-4.673578782533383E-2</c:v>
                </c:pt>
                <c:pt idx="6">
                  <c:v>0.13424855308468153</c:v>
                </c:pt>
                <c:pt idx="7">
                  <c:v>-0.20518806499527642</c:v>
                </c:pt>
                <c:pt idx="8">
                  <c:v>-0.2987456420652066</c:v>
                </c:pt>
                <c:pt idx="9">
                  <c:v>-0.12182417812510238</c:v>
                </c:pt>
                <c:pt idx="10">
                  <c:v>9.917632682504518E-2</c:v>
                </c:pt>
                <c:pt idx="11">
                  <c:v>-0.46954412721478178</c:v>
                </c:pt>
                <c:pt idx="12">
                  <c:v>-0.186285540244576</c:v>
                </c:pt>
                <c:pt idx="13">
                  <c:v>4.2952087735656619E-2</c:v>
                </c:pt>
                <c:pt idx="14">
                  <c:v>0.2743687567259343</c:v>
                </c:pt>
                <c:pt idx="15">
                  <c:v>0.35316446672623414</c:v>
                </c:pt>
                <c:pt idx="16">
                  <c:v>0.58833921773657494</c:v>
                </c:pt>
                <c:pt idx="17">
                  <c:v>0.1037930097569344</c:v>
                </c:pt>
                <c:pt idx="18">
                  <c:v>-0.16337415721265813</c:v>
                </c:pt>
                <c:pt idx="19">
                  <c:v>1.3037716827774659E-2</c:v>
                </c:pt>
                <c:pt idx="20">
                  <c:v>-5.9171368121752721E-2</c:v>
                </c:pt>
                <c:pt idx="21">
                  <c:v>0.11619858793874016</c:v>
                </c:pt>
                <c:pt idx="22">
                  <c:v>0.25884758500927063</c:v>
                </c:pt>
                <c:pt idx="23">
                  <c:v>9.2975623089841974E-2</c:v>
                </c:pt>
                <c:pt idx="24">
                  <c:v>0.59178270218043849</c:v>
                </c:pt>
                <c:pt idx="25">
                  <c:v>1.005568822281063</c:v>
                </c:pt>
                <c:pt idx="26">
                  <c:v>1.134333983391727</c:v>
                </c:pt>
                <c:pt idx="27">
                  <c:v>1.502378185512427</c:v>
                </c:pt>
                <c:pt idx="28">
                  <c:v>0.48170142864314869</c:v>
                </c:pt>
                <c:pt idx="29">
                  <c:v>1.5037127839150344E-3</c:v>
                </c:pt>
                <c:pt idx="30">
                  <c:v>0.2031850379347091</c:v>
                </c:pt>
                <c:pt idx="31">
                  <c:v>-2.2254595904456664E-2</c:v>
                </c:pt>
                <c:pt idx="32">
                  <c:v>2.9784811266402755E-2</c:v>
                </c:pt>
                <c:pt idx="33">
                  <c:v>-0.37519674055271679</c:v>
                </c:pt>
                <c:pt idx="34">
                  <c:v>-0.323799251361784</c:v>
                </c:pt>
                <c:pt idx="35">
                  <c:v>0.11907727883917829</c:v>
                </c:pt>
                <c:pt idx="36">
                  <c:v>0.1597328500501547</c:v>
                </c:pt>
                <c:pt idx="37">
                  <c:v>8.3667462271179716E-2</c:v>
                </c:pt>
                <c:pt idx="38">
                  <c:v>3.428111550223889E-2</c:v>
                </c:pt>
                <c:pt idx="39">
                  <c:v>-0.21972619025667228</c:v>
                </c:pt>
                <c:pt idx="40">
                  <c:v>-0.55045445500555701</c:v>
                </c:pt>
                <c:pt idx="41">
                  <c:v>-0.2834036787443992</c:v>
                </c:pt>
                <c:pt idx="42">
                  <c:v>-3.0573861473214947E-2</c:v>
                </c:pt>
                <c:pt idx="43">
                  <c:v>-0.20336500319199047</c:v>
                </c:pt>
                <c:pt idx="44">
                  <c:v>-3.047710390074343E-2</c:v>
                </c:pt>
                <c:pt idx="45">
                  <c:v>-0.65151016359946112</c:v>
                </c:pt>
                <c:pt idx="46">
                  <c:v>-0.76586418228814068</c:v>
                </c:pt>
                <c:pt idx="47">
                  <c:v>-1.1591391599667844</c:v>
                </c:pt>
                <c:pt idx="48">
                  <c:v>-1.4503350966354063</c:v>
                </c:pt>
                <c:pt idx="49">
                  <c:v>-1.472251992293991</c:v>
                </c:pt>
                <c:pt idx="50">
                  <c:v>-1.3444898469425439</c:v>
                </c:pt>
                <c:pt idx="51">
                  <c:v>-0.89324866058106522</c:v>
                </c:pt>
                <c:pt idx="52">
                  <c:v>-0.65362843320955477</c:v>
                </c:pt>
                <c:pt idx="53">
                  <c:v>-0.29952916482800873</c:v>
                </c:pt>
                <c:pt idx="54">
                  <c:v>0.53724914456357453</c:v>
                </c:pt>
                <c:pt idx="55">
                  <c:v>0.82020649496518416</c:v>
                </c:pt>
                <c:pt idx="56">
                  <c:v>1.325542886376823</c:v>
                </c:pt>
                <c:pt idx="57">
                  <c:v>1.1606583187985038</c:v>
                </c:pt>
                <c:pt idx="58">
                  <c:v>0.73595279223022203</c:v>
                </c:pt>
                <c:pt idx="59">
                  <c:v>1.405926306671951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97-4C58-9E59-B78F108D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61376"/>
        <c:axId val="199863680"/>
      </c:scatterChart>
      <c:valAx>
        <c:axId val="19986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</a:t>
                </a:r>
                <a:r>
                  <a:rPr lang="en-US"/>
                  <a:t>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63680"/>
        <c:crosses val="autoZero"/>
        <c:crossBetween val="midCat"/>
      </c:valAx>
      <c:valAx>
        <c:axId val="1998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6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b. </a:t>
            </a:r>
            <a:r>
              <a:rPr lang="ru-RU"/>
              <a:t>График подбора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9-4509-89BE-5CD77C2DE7CB}"/>
            </c:ext>
          </c:extLst>
        </c:ser>
        <c:ser>
          <c:idx val="1"/>
          <c:order val="1"/>
          <c:tx>
            <c:strRef>
              <c:f>'лаба 2'!$T$22</c:f>
              <c:strCache>
                <c:ptCount val="1"/>
                <c:pt idx="0">
                  <c:v>Предсказанное 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'лаба 2'!$T$23:$T$82</c:f>
              <c:numCache>
                <c:formatCode>General</c:formatCode>
                <c:ptCount val="60"/>
                <c:pt idx="0">
                  <c:v>59.239371877224883</c:v>
                </c:pt>
                <c:pt idx="1">
                  <c:v>59.138382741365042</c:v>
                </c:pt>
                <c:pt idx="2">
                  <c:v>59.042214564495161</c:v>
                </c:pt>
                <c:pt idx="3">
                  <c:v>58.950867346615247</c:v>
                </c:pt>
                <c:pt idx="4">
                  <c:v>58.8643410877253</c:v>
                </c:pt>
                <c:pt idx="5">
                  <c:v>58.782635787825335</c:v>
                </c:pt>
                <c:pt idx="6">
                  <c:v>58.705751446915322</c:v>
                </c:pt>
                <c:pt idx="7">
                  <c:v>58.633688064995276</c:v>
                </c:pt>
                <c:pt idx="8">
                  <c:v>58.566445642065204</c:v>
                </c:pt>
                <c:pt idx="9">
                  <c:v>58.5040241781251</c:v>
                </c:pt>
                <c:pt idx="10">
                  <c:v>58.446423673174955</c:v>
                </c:pt>
                <c:pt idx="11">
                  <c:v>58.393644127214785</c:v>
                </c:pt>
                <c:pt idx="12">
                  <c:v>58.345685540244574</c:v>
                </c:pt>
                <c:pt idx="13">
                  <c:v>58.302547912264345</c:v>
                </c:pt>
                <c:pt idx="14">
                  <c:v>58.264231243274068</c:v>
                </c:pt>
                <c:pt idx="15">
                  <c:v>58.230735533273766</c:v>
                </c:pt>
                <c:pt idx="16">
                  <c:v>58.202060782263423</c:v>
                </c:pt>
                <c:pt idx="17">
                  <c:v>58.178206990243062</c:v>
                </c:pt>
                <c:pt idx="18">
                  <c:v>58.159174157212661</c:v>
                </c:pt>
                <c:pt idx="19">
                  <c:v>58.144962283172227</c:v>
                </c:pt>
                <c:pt idx="20">
                  <c:v>58.135571368121752</c:v>
                </c:pt>
                <c:pt idx="21">
                  <c:v>58.131001412061259</c:v>
                </c:pt>
                <c:pt idx="22">
                  <c:v>58.131252414990726</c:v>
                </c:pt>
                <c:pt idx="23">
                  <c:v>58.13632437691016</c:v>
                </c:pt>
                <c:pt idx="24">
                  <c:v>58.146217297819561</c:v>
                </c:pt>
                <c:pt idx="25">
                  <c:v>58.160931177718936</c:v>
                </c:pt>
                <c:pt idx="26">
                  <c:v>58.180466016608271</c:v>
                </c:pt>
                <c:pt idx="27">
                  <c:v>58.204821814487573</c:v>
                </c:pt>
                <c:pt idx="28">
                  <c:v>58.23399857135685</c:v>
                </c:pt>
                <c:pt idx="29">
                  <c:v>58.267996287216086</c:v>
                </c:pt>
                <c:pt idx="30">
                  <c:v>58.306814962065289</c:v>
                </c:pt>
                <c:pt idx="31">
                  <c:v>58.350454595904459</c:v>
                </c:pt>
                <c:pt idx="32">
                  <c:v>58.398915188733596</c:v>
                </c:pt>
                <c:pt idx="33">
                  <c:v>58.452196740552715</c:v>
                </c:pt>
                <c:pt idx="34">
                  <c:v>58.510299251361786</c:v>
                </c:pt>
                <c:pt idx="35">
                  <c:v>58.573222721160825</c:v>
                </c:pt>
                <c:pt idx="36">
                  <c:v>58.640967149949844</c:v>
                </c:pt>
                <c:pt idx="37">
                  <c:v>58.713532537728817</c:v>
                </c:pt>
                <c:pt idx="38">
                  <c:v>58.790918884497763</c:v>
                </c:pt>
                <c:pt idx="39">
                  <c:v>58.87312619025667</c:v>
                </c:pt>
                <c:pt idx="40">
                  <c:v>58.960154455005558</c:v>
                </c:pt>
                <c:pt idx="41">
                  <c:v>59.052003678744398</c:v>
                </c:pt>
                <c:pt idx="42">
                  <c:v>59.148673861473213</c:v>
                </c:pt>
                <c:pt idx="43">
                  <c:v>59.250165003191988</c:v>
                </c:pt>
                <c:pt idx="44">
                  <c:v>59.356477103900744</c:v>
                </c:pt>
                <c:pt idx="45">
                  <c:v>59.46761016359946</c:v>
                </c:pt>
                <c:pt idx="46">
                  <c:v>59.583564182288143</c:v>
                </c:pt>
                <c:pt idx="47">
                  <c:v>59.704339159966786</c:v>
                </c:pt>
                <c:pt idx="48">
                  <c:v>59.82993509663541</c:v>
                </c:pt>
                <c:pt idx="49">
                  <c:v>59.960351992293994</c:v>
                </c:pt>
                <c:pt idx="50">
                  <c:v>60.095589846942545</c:v>
                </c:pt>
                <c:pt idx="51">
                  <c:v>60.235648660581063</c:v>
                </c:pt>
                <c:pt idx="52">
                  <c:v>60.380528433209555</c:v>
                </c:pt>
                <c:pt idx="53">
                  <c:v>60.530229164828008</c:v>
                </c:pt>
                <c:pt idx="54">
                  <c:v>60.684750855436427</c:v>
                </c:pt>
                <c:pt idx="55">
                  <c:v>60.844093505034813</c:v>
                </c:pt>
                <c:pt idx="56">
                  <c:v>61.008257113623173</c:v>
                </c:pt>
                <c:pt idx="57">
                  <c:v>61.177241681201494</c:v>
                </c:pt>
                <c:pt idx="58">
                  <c:v>61.351047207769781</c:v>
                </c:pt>
                <c:pt idx="59">
                  <c:v>61.52967369332805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9-4509-89BE-5CD77C2DE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29152"/>
        <c:axId val="199731072"/>
      </c:barChart>
      <c:catAx>
        <c:axId val="19972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 </a:t>
                </a:r>
                <a:r>
                  <a:rPr lang="en-US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731072"/>
        <c:crosses val="autoZero"/>
        <c:auto val="1"/>
        <c:lblAlgn val="ctr"/>
        <c:lblOffset val="100"/>
        <c:noMultiLvlLbl val="0"/>
      </c:catAx>
      <c:valAx>
        <c:axId val="1997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72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c. </a:t>
            </a:r>
            <a:r>
              <a:rPr lang="ru-RU"/>
              <a:t>График подбора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0-4D65-BE0B-4129A7123876}"/>
            </c:ext>
          </c:extLst>
        </c:ser>
        <c:ser>
          <c:idx val="1"/>
          <c:order val="1"/>
          <c:tx>
            <c:strRef>
              <c:f>'лаба 2'!$T$22</c:f>
              <c:strCache>
                <c:ptCount val="1"/>
                <c:pt idx="0">
                  <c:v>Предсказанное 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2'!$T$23:$T$82</c:f>
              <c:numCache>
                <c:formatCode>General</c:formatCode>
                <c:ptCount val="60"/>
                <c:pt idx="0">
                  <c:v>59.239371877224883</c:v>
                </c:pt>
                <c:pt idx="1">
                  <c:v>59.138382741365042</c:v>
                </c:pt>
                <c:pt idx="2">
                  <c:v>59.042214564495161</c:v>
                </c:pt>
                <c:pt idx="3">
                  <c:v>58.950867346615247</c:v>
                </c:pt>
                <c:pt idx="4">
                  <c:v>58.8643410877253</c:v>
                </c:pt>
                <c:pt idx="5">
                  <c:v>58.782635787825335</c:v>
                </c:pt>
                <c:pt idx="6">
                  <c:v>58.705751446915322</c:v>
                </c:pt>
                <c:pt idx="7">
                  <c:v>58.633688064995276</c:v>
                </c:pt>
                <c:pt idx="8">
                  <c:v>58.566445642065204</c:v>
                </c:pt>
                <c:pt idx="9">
                  <c:v>58.5040241781251</c:v>
                </c:pt>
                <c:pt idx="10">
                  <c:v>58.446423673174955</c:v>
                </c:pt>
                <c:pt idx="11">
                  <c:v>58.393644127214785</c:v>
                </c:pt>
                <c:pt idx="12">
                  <c:v>58.345685540244574</c:v>
                </c:pt>
                <c:pt idx="13">
                  <c:v>58.302547912264345</c:v>
                </c:pt>
                <c:pt idx="14">
                  <c:v>58.264231243274068</c:v>
                </c:pt>
                <c:pt idx="15">
                  <c:v>58.230735533273766</c:v>
                </c:pt>
                <c:pt idx="16">
                  <c:v>58.202060782263423</c:v>
                </c:pt>
                <c:pt idx="17">
                  <c:v>58.178206990243062</c:v>
                </c:pt>
                <c:pt idx="18">
                  <c:v>58.159174157212661</c:v>
                </c:pt>
                <c:pt idx="19">
                  <c:v>58.144962283172227</c:v>
                </c:pt>
                <c:pt idx="20">
                  <c:v>58.135571368121752</c:v>
                </c:pt>
                <c:pt idx="21">
                  <c:v>58.131001412061259</c:v>
                </c:pt>
                <c:pt idx="22">
                  <c:v>58.131252414990726</c:v>
                </c:pt>
                <c:pt idx="23">
                  <c:v>58.13632437691016</c:v>
                </c:pt>
                <c:pt idx="24">
                  <c:v>58.146217297819561</c:v>
                </c:pt>
                <c:pt idx="25">
                  <c:v>58.160931177718936</c:v>
                </c:pt>
                <c:pt idx="26">
                  <c:v>58.180466016608271</c:v>
                </c:pt>
                <c:pt idx="27">
                  <c:v>58.204821814487573</c:v>
                </c:pt>
                <c:pt idx="28">
                  <c:v>58.23399857135685</c:v>
                </c:pt>
                <c:pt idx="29">
                  <c:v>58.267996287216086</c:v>
                </c:pt>
                <c:pt idx="30">
                  <c:v>58.306814962065289</c:v>
                </c:pt>
                <c:pt idx="31">
                  <c:v>58.350454595904459</c:v>
                </c:pt>
                <c:pt idx="32">
                  <c:v>58.398915188733596</c:v>
                </c:pt>
                <c:pt idx="33">
                  <c:v>58.452196740552715</c:v>
                </c:pt>
                <c:pt idx="34">
                  <c:v>58.510299251361786</c:v>
                </c:pt>
                <c:pt idx="35">
                  <c:v>58.573222721160825</c:v>
                </c:pt>
                <c:pt idx="36">
                  <c:v>58.640967149949844</c:v>
                </c:pt>
                <c:pt idx="37">
                  <c:v>58.713532537728817</c:v>
                </c:pt>
                <c:pt idx="38">
                  <c:v>58.790918884497763</c:v>
                </c:pt>
                <c:pt idx="39">
                  <c:v>58.87312619025667</c:v>
                </c:pt>
                <c:pt idx="40">
                  <c:v>58.960154455005558</c:v>
                </c:pt>
                <c:pt idx="41">
                  <c:v>59.052003678744398</c:v>
                </c:pt>
                <c:pt idx="42">
                  <c:v>59.148673861473213</c:v>
                </c:pt>
                <c:pt idx="43">
                  <c:v>59.250165003191988</c:v>
                </c:pt>
                <c:pt idx="44">
                  <c:v>59.356477103900744</c:v>
                </c:pt>
                <c:pt idx="45">
                  <c:v>59.46761016359946</c:v>
                </c:pt>
                <c:pt idx="46">
                  <c:v>59.583564182288143</c:v>
                </c:pt>
                <c:pt idx="47">
                  <c:v>59.704339159966786</c:v>
                </c:pt>
                <c:pt idx="48">
                  <c:v>59.82993509663541</c:v>
                </c:pt>
                <c:pt idx="49">
                  <c:v>59.960351992293994</c:v>
                </c:pt>
                <c:pt idx="50">
                  <c:v>60.095589846942545</c:v>
                </c:pt>
                <c:pt idx="51">
                  <c:v>60.235648660581063</c:v>
                </c:pt>
                <c:pt idx="52">
                  <c:v>60.380528433209555</c:v>
                </c:pt>
                <c:pt idx="53">
                  <c:v>60.530229164828008</c:v>
                </c:pt>
                <c:pt idx="54">
                  <c:v>60.684750855436427</c:v>
                </c:pt>
                <c:pt idx="55">
                  <c:v>60.844093505034813</c:v>
                </c:pt>
                <c:pt idx="56">
                  <c:v>61.008257113623173</c:v>
                </c:pt>
                <c:pt idx="57">
                  <c:v>61.177241681201494</c:v>
                </c:pt>
                <c:pt idx="58">
                  <c:v>61.351047207769781</c:v>
                </c:pt>
                <c:pt idx="59">
                  <c:v>61.52967369332805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0-4D65-BE0B-4129A7123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907968"/>
        <c:axId val="199914240"/>
      </c:barChart>
      <c:catAx>
        <c:axId val="1999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 </a:t>
                </a: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14240"/>
        <c:crosses val="autoZero"/>
        <c:auto val="1"/>
        <c:lblAlgn val="ctr"/>
        <c:lblOffset val="100"/>
        <c:noMultiLvlLbl val="0"/>
      </c:catAx>
      <c:valAx>
        <c:axId val="1999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0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частот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'лаба 3'!$H$2:$H$16</c:f>
              <c:numCache>
                <c:formatCode>General</c:formatCode>
                <c:ptCount val="15"/>
                <c:pt idx="0">
                  <c:v>-1.472307326720049</c:v>
                </c:pt>
                <c:pt idx="1">
                  <c:v>-1.2598027675329908</c:v>
                </c:pt>
                <c:pt idx="2">
                  <c:v>-1.0472982083459326</c:v>
                </c:pt>
                <c:pt idx="3">
                  <c:v>-0.83479364915887433</c:v>
                </c:pt>
                <c:pt idx="4">
                  <c:v>-0.62228908997181609</c:v>
                </c:pt>
                <c:pt idx="5">
                  <c:v>-0.40978453078475785</c:v>
                </c:pt>
                <c:pt idx="6">
                  <c:v>-0.19727997159769964</c:v>
                </c:pt>
                <c:pt idx="7">
                  <c:v>1.5224587589358574E-2</c:v>
                </c:pt>
                <c:pt idx="8">
                  <c:v>0.22772914677641679</c:v>
                </c:pt>
                <c:pt idx="9">
                  <c:v>0.440233705963475</c:v>
                </c:pt>
                <c:pt idx="10">
                  <c:v>0.65273826515053324</c:v>
                </c:pt>
                <c:pt idx="11">
                  <c:v>0.86524282433759148</c:v>
                </c:pt>
                <c:pt idx="12">
                  <c:v>1.0777473835246496</c:v>
                </c:pt>
                <c:pt idx="13">
                  <c:v>1.2902519427117078</c:v>
                </c:pt>
                <c:pt idx="14">
                  <c:v>1.5027565018987661</c:v>
                </c:pt>
              </c:numCache>
            </c:numRef>
          </c:cat>
          <c:val>
            <c:numRef>
              <c:f>'лаба 3'!$I$2:$I$16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7-4329-AC49-9F882E9EA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24352"/>
        <c:axId val="200016256"/>
      </c:lineChart>
      <c:catAx>
        <c:axId val="19992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016256"/>
        <c:crosses val="autoZero"/>
        <c:auto val="1"/>
        <c:lblAlgn val="ctr"/>
        <c:lblOffset val="100"/>
        <c:noMultiLvlLbl val="0"/>
      </c:catAx>
      <c:valAx>
        <c:axId val="20001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924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Практическая частота</c:v>
          </c:tx>
          <c:val>
            <c:numRef>
              <c:f>'лаба 3'!$I$2:$I$16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E9-4C6D-8B47-573A01F9242A}"/>
            </c:ext>
          </c:extLst>
        </c:ser>
        <c:ser>
          <c:idx val="1"/>
          <c:order val="1"/>
          <c:tx>
            <c:strRef>
              <c:f>'лаба 3'!$Q$1</c:f>
              <c:strCache>
                <c:ptCount val="1"/>
                <c:pt idx="0">
                  <c:v>Теоретическая частота</c:v>
                </c:pt>
              </c:strCache>
            </c:strRef>
          </c:tx>
          <c:val>
            <c:numRef>
              <c:f>'лаба 3'!$Q$2:$Q$16</c:f>
              <c:numCache>
                <c:formatCode>General</c:formatCode>
                <c:ptCount val="15"/>
                <c:pt idx="0">
                  <c:v>0</c:v>
                </c:pt>
                <c:pt idx="1">
                  <c:v>0.83964972768226043</c:v>
                </c:pt>
                <c:pt idx="2">
                  <c:v>1.5964131274375442</c:v>
                </c:pt>
                <c:pt idx="3">
                  <c:v>2.7234695884217408</c:v>
                </c:pt>
                <c:pt idx="4">
                  <c:v>4.1689805661307231</c:v>
                </c:pt>
                <c:pt idx="5">
                  <c:v>5.7262105401919374</c:v>
                </c:pt>
                <c:pt idx="6">
                  <c:v>7.0572394675727104</c:v>
                </c:pt>
                <c:pt idx="7">
                  <c:v>7.8042737963126649</c:v>
                </c:pt>
                <c:pt idx="8">
                  <c:v>7.7439090052179056</c:v>
                </c:pt>
                <c:pt idx="9">
                  <c:v>6.8947430518545678</c:v>
                </c:pt>
                <c:pt idx="10">
                  <c:v>5.5081534593993791</c:v>
                </c:pt>
                <c:pt idx="11">
                  <c:v>3.9484266790941875</c:v>
                </c:pt>
                <c:pt idx="12">
                  <c:v>2.5396403871114255</c:v>
                </c:pt>
                <c:pt idx="13">
                  <c:v>1.4657181741615144</c:v>
                </c:pt>
                <c:pt idx="14">
                  <c:v>0.75902979098229506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E9-4C6D-8B47-573A01F92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40832"/>
        <c:axId val="200042368"/>
      </c:lineChart>
      <c:catAx>
        <c:axId val="20004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0042368"/>
        <c:crosses val="autoZero"/>
        <c:auto val="1"/>
        <c:lblAlgn val="ctr"/>
        <c:lblOffset val="100"/>
        <c:noMultiLvlLbl val="0"/>
      </c:catAx>
      <c:valAx>
        <c:axId val="20004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040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5</xdr:row>
      <xdr:rowOff>133350</xdr:rowOff>
    </xdr:from>
    <xdr:to>
      <xdr:col>30</xdr:col>
      <xdr:colOff>409575</xdr:colOff>
      <xdr:row>45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52</xdr:row>
      <xdr:rowOff>0</xdr:rowOff>
    </xdr:from>
    <xdr:to>
      <xdr:col>32</xdr:col>
      <xdr:colOff>447675</xdr:colOff>
      <xdr:row>91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523874</xdr:colOff>
      <xdr:row>21</xdr:row>
      <xdr:rowOff>39289</xdr:rowOff>
    </xdr:from>
    <xdr:to>
      <xdr:col>28</xdr:col>
      <xdr:colOff>464343</xdr:colOff>
      <xdr:row>52</xdr:row>
      <xdr:rowOff>142874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126</xdr:row>
      <xdr:rowOff>90487</xdr:rowOff>
    </xdr:from>
    <xdr:to>
      <xdr:col>8</xdr:col>
      <xdr:colOff>1047750</xdr:colOff>
      <xdr:row>137</xdr:row>
      <xdr:rowOff>128587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138</xdr:row>
      <xdr:rowOff>45244</xdr:rowOff>
    </xdr:from>
    <xdr:to>
      <xdr:col>8</xdr:col>
      <xdr:colOff>1359694</xdr:colOff>
      <xdr:row>148</xdr:row>
      <xdr:rowOff>64294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148</xdr:row>
      <xdr:rowOff>185739</xdr:rowOff>
    </xdr:from>
    <xdr:to>
      <xdr:col>8</xdr:col>
      <xdr:colOff>1242219</xdr:colOff>
      <xdr:row>170</xdr:row>
      <xdr:rowOff>23813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170</xdr:row>
      <xdr:rowOff>122236</xdr:rowOff>
    </xdr:from>
    <xdr:to>
      <xdr:col>8</xdr:col>
      <xdr:colOff>1242219</xdr:colOff>
      <xdr:row>191</xdr:row>
      <xdr:rowOff>119061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27</xdr:col>
      <xdr:colOff>105039</xdr:colOff>
      <xdr:row>21</xdr:row>
      <xdr:rowOff>23812</xdr:rowOff>
    </xdr:from>
    <xdr:ext cx="668867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5191508" y="4595812"/>
          <a:ext cx="668867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ru-RU" sz="1100" i="0">
              <a:latin typeface="Cambria Math" panose="02040503050406030204" pitchFamily="18" charset="0"/>
            </a:rPr>
            <a:t>〖</a:t>
          </a:r>
          <a:r>
            <a:rPr lang="en-US" sz="1100" b="0" i="0">
              <a:latin typeface="Cambria Math" panose="02040503050406030204" pitchFamily="18" charset="0"/>
            </a:rPr>
            <a:t>𝑆𝑢</a:t>
          </a:r>
          <a:r>
            <a:rPr lang="ru-RU" sz="1100" b="0" i="0">
              <a:latin typeface="Cambria Math" panose="02040503050406030204" pitchFamily="18" charset="0"/>
            </a:rPr>
            <a:t>〗^</a:t>
          </a:r>
          <a:r>
            <a:rPr lang="en-US" sz="1100" b="0" i="0">
              <a:latin typeface="Cambria Math" panose="02040503050406030204" pitchFamily="18" charset="0"/>
            </a:rPr>
            <a:t>2=</a:t>
          </a:r>
          <a:endParaRPr lang="en-US" sz="1100" b="0"/>
        </a:p>
      </xdr:txBody>
    </xdr:sp>
    <xdr:clientData/>
  </xdr:oneCellAnchor>
  <xdr:oneCellAnchor>
    <xdr:from>
      <xdr:col>29</xdr:col>
      <xdr:colOff>156633</xdr:colOff>
      <xdr:row>20</xdr:row>
      <xdr:rowOff>178594</xdr:rowOff>
    </xdr:from>
    <xdr:ext cx="569649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6457539" y="4560094"/>
          <a:ext cx="56964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〖</a:t>
          </a:r>
          <a:r>
            <a:rPr lang="ru-RU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𝜎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〗^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2=</a:t>
          </a:r>
          <a:endParaRPr lang="ru-RU" sz="1100"/>
        </a:p>
      </xdr:txBody>
    </xdr:sp>
    <xdr:clientData/>
  </xdr:oneCellAnchor>
  <xdr:oneCellAnchor>
    <xdr:from>
      <xdr:col>27</xdr:col>
      <xdr:colOff>135467</xdr:colOff>
      <xdr:row>22</xdr:row>
      <xdr:rowOff>11906</xdr:rowOff>
    </xdr:from>
    <xdr:ext cx="697970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5221936" y="4774406"/>
          <a:ext cx="69797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</a:rPr>
            <a:t>〖</a:t>
          </a:r>
          <a:r>
            <a:rPr lang="en-US" sz="1100" b="0" i="0">
              <a:latin typeface="Cambria Math" panose="02040503050406030204" pitchFamily="18" charset="0"/>
            </a:rPr>
            <a:t>(𝑡 ̅)〗^</a:t>
          </a:r>
          <a:r>
            <a:rPr lang="en-US" sz="1100" i="0">
              <a:latin typeface="Cambria Math" panose="02040503050406030204" pitchFamily="18" charset="0"/>
            </a:rPr>
            <a:t>2</a:t>
          </a:r>
          <a:r>
            <a:rPr lang="en-US" sz="1100" b="0" i="0">
              <a:latin typeface="Cambria Math" panose="02040503050406030204" pitchFamily="18" charset="0"/>
            </a:rPr>
            <a:t>=</a:t>
          </a:r>
          <a:endParaRPr lang="ru-RU" sz="1100"/>
        </a:p>
      </xdr:txBody>
    </xdr:sp>
    <xdr:clientData/>
  </xdr:oneCellAnchor>
  <xdr:oneCellAnchor>
    <xdr:from>
      <xdr:col>29</xdr:col>
      <xdr:colOff>146050</xdr:colOff>
      <xdr:row>22</xdr:row>
      <xdr:rowOff>47625</xdr:rowOff>
    </xdr:from>
    <xdr:ext cx="604044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26446956" y="4810125"/>
          <a:ext cx="60404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</a:rPr>
            <a:t>〖</a:t>
          </a:r>
          <a:r>
            <a:rPr lang="en-US" sz="1100" i="0">
              <a:latin typeface="Cambria Math" panose="02040503050406030204" pitchFamily="18" charset="0"/>
              <a:ea typeface="Cambria Math" panose="02040503050406030204" pitchFamily="18" charset="0"/>
            </a:rPr>
            <a:t>𝜎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𝑡〗^</a:t>
          </a:r>
          <a:r>
            <a:rPr lang="en-US" sz="1100" i="0">
              <a:latin typeface="Cambria Math" panose="02040503050406030204" pitchFamily="18" charset="0"/>
            </a:rPr>
            <a:t>2</a:t>
          </a:r>
          <a:r>
            <a:rPr lang="en-US" sz="1100" b="0" i="0">
              <a:latin typeface="Cambria Math" panose="02040503050406030204" pitchFamily="18" charset="0"/>
            </a:rPr>
            <a:t>=</a:t>
          </a:r>
          <a:endParaRPr lang="ru-RU" sz="1100"/>
        </a:p>
      </xdr:txBody>
    </xdr:sp>
    <xdr:clientData/>
  </xdr:oneCellAnchor>
  <xdr:twoCellAnchor>
    <xdr:from>
      <xdr:col>0</xdr:col>
      <xdr:colOff>7937</xdr:colOff>
      <xdr:row>112</xdr:row>
      <xdr:rowOff>45242</xdr:rowOff>
    </xdr:from>
    <xdr:to>
      <xdr:col>8</xdr:col>
      <xdr:colOff>1047750</xdr:colOff>
      <xdr:row>126</xdr:row>
      <xdr:rowOff>27780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97</xdr:row>
      <xdr:rowOff>174625</xdr:rowOff>
    </xdr:from>
    <xdr:to>
      <xdr:col>8</xdr:col>
      <xdr:colOff>1023937</xdr:colOff>
      <xdr:row>111</xdr:row>
      <xdr:rowOff>157163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1444625</xdr:colOff>
      <xdr:row>114</xdr:row>
      <xdr:rowOff>96836</xdr:rowOff>
    </xdr:from>
    <xdr:to>
      <xdr:col>25</xdr:col>
      <xdr:colOff>476250</xdr:colOff>
      <xdr:row>135</xdr:row>
      <xdr:rowOff>111125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1428750</xdr:colOff>
      <xdr:row>135</xdr:row>
      <xdr:rowOff>174625</xdr:rowOff>
    </xdr:from>
    <xdr:to>
      <xdr:col>25</xdr:col>
      <xdr:colOff>460375</xdr:colOff>
      <xdr:row>156</xdr:row>
      <xdr:rowOff>188914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23</xdr:row>
      <xdr:rowOff>19050</xdr:rowOff>
    </xdr:from>
    <xdr:to>
      <xdr:col>16</xdr:col>
      <xdr:colOff>619125</xdr:colOff>
      <xdr:row>37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438149</xdr:colOff>
      <xdr:row>41</xdr:row>
      <xdr:rowOff>104775</xdr:rowOff>
    </xdr:from>
    <xdr:to>
      <xdr:col>21</xdr:col>
      <xdr:colOff>542925</xdr:colOff>
      <xdr:row>68</xdr:row>
      <xdr:rowOff>104775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7</xdr:row>
          <xdr:rowOff>19050</xdr:rowOff>
        </xdr:from>
        <xdr:to>
          <xdr:col>6</xdr:col>
          <xdr:colOff>609600</xdr:colOff>
          <xdr:row>8</xdr:row>
          <xdr:rowOff>114300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5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opLeftCell="A36" workbookViewId="0">
      <selection activeCell="D4" sqref="D4"/>
    </sheetView>
  </sheetViews>
  <sheetFormatPr defaultRowHeight="15" x14ac:dyDescent="0.25"/>
  <cols>
    <col min="1" max="2" width="11" customWidth="1"/>
    <col min="3" max="3" width="17.5703125" customWidth="1"/>
    <col min="4" max="4" width="9.140625" customWidth="1"/>
    <col min="5" max="5" width="11.140625" customWidth="1"/>
  </cols>
  <sheetData>
    <row r="1" spans="1:4" s="3" customFormat="1" x14ac:dyDescent="0.25">
      <c r="A1" s="3" t="s">
        <v>1</v>
      </c>
      <c r="B1" s="3" t="s">
        <v>0</v>
      </c>
      <c r="C1" s="3" t="s">
        <v>2</v>
      </c>
    </row>
    <row r="2" spans="1:4" x14ac:dyDescent="0.25">
      <c r="A2" s="1">
        <v>43379</v>
      </c>
      <c r="B2" s="4">
        <v>1</v>
      </c>
      <c r="C2" s="2">
        <v>58.539700000000003</v>
      </c>
      <c r="D2" s="19"/>
    </row>
    <row r="3" spans="1:4" x14ac:dyDescent="0.25">
      <c r="A3" s="1">
        <v>43382</v>
      </c>
      <c r="B3" s="4">
        <v>2</v>
      </c>
      <c r="C3" s="2">
        <v>58.948500000000003</v>
      </c>
      <c r="D3" s="19"/>
    </row>
    <row r="4" spans="1:4" x14ac:dyDescent="0.25">
      <c r="A4" s="1">
        <v>43383</v>
      </c>
      <c r="B4" s="4">
        <v>3</v>
      </c>
      <c r="C4" s="2">
        <v>58.678199999999997</v>
      </c>
      <c r="D4" s="19"/>
    </row>
    <row r="5" spans="1:4" x14ac:dyDescent="0.25">
      <c r="A5" s="1">
        <v>43384</v>
      </c>
      <c r="B5" s="4">
        <v>4</v>
      </c>
      <c r="C5" s="2">
        <v>58.494100000000003</v>
      </c>
      <c r="D5" s="19"/>
    </row>
    <row r="6" spans="1:4" x14ac:dyDescent="0.25">
      <c r="A6" s="1">
        <v>43385</v>
      </c>
      <c r="B6" s="4">
        <v>5</v>
      </c>
      <c r="C6" s="2">
        <v>59.435400000000001</v>
      </c>
      <c r="D6" s="19"/>
    </row>
    <row r="7" spans="1:4" x14ac:dyDescent="0.25">
      <c r="A7" s="1">
        <v>43386</v>
      </c>
      <c r="B7" s="4">
        <v>6</v>
      </c>
      <c r="C7" s="2">
        <v>58.735900000000001</v>
      </c>
      <c r="D7" s="19"/>
    </row>
    <row r="8" spans="1:4" x14ac:dyDescent="0.25">
      <c r="A8" s="1">
        <v>43389</v>
      </c>
      <c r="B8" s="4">
        <v>7</v>
      </c>
      <c r="C8" s="2">
        <v>58.84</v>
      </c>
      <c r="D8" s="19"/>
    </row>
    <row r="9" spans="1:4" x14ac:dyDescent="0.25">
      <c r="A9" s="1">
        <v>43390</v>
      </c>
      <c r="B9" s="4">
        <v>8</v>
      </c>
      <c r="C9" s="2">
        <v>58.4285</v>
      </c>
      <c r="D9" s="19"/>
    </row>
    <row r="10" spans="1:4" x14ac:dyDescent="0.25">
      <c r="A10" s="1">
        <v>43391</v>
      </c>
      <c r="B10" s="4">
        <v>9</v>
      </c>
      <c r="C10" s="2">
        <v>58.267699999999998</v>
      </c>
      <c r="D10" s="19"/>
    </row>
    <row r="11" spans="1:4" x14ac:dyDescent="0.25">
      <c r="A11" s="1">
        <v>43392</v>
      </c>
      <c r="B11" s="4">
        <v>10</v>
      </c>
      <c r="C11" s="2">
        <v>58.382199999999997</v>
      </c>
      <c r="D11" s="19"/>
    </row>
    <row r="12" spans="1:4" x14ac:dyDescent="0.25">
      <c r="A12" s="1">
        <v>43393</v>
      </c>
      <c r="B12" s="4">
        <v>11</v>
      </c>
      <c r="C12" s="2">
        <v>58.5456</v>
      </c>
      <c r="D12" s="19"/>
    </row>
    <row r="13" spans="1:4" x14ac:dyDescent="0.25">
      <c r="A13" s="1">
        <v>43396</v>
      </c>
      <c r="B13" s="4">
        <v>12</v>
      </c>
      <c r="C13" s="2">
        <v>57.924100000000003</v>
      </c>
      <c r="D13" s="19"/>
    </row>
    <row r="14" spans="1:4" x14ac:dyDescent="0.25">
      <c r="A14" s="1">
        <v>43397</v>
      </c>
      <c r="B14" s="4">
        <v>13</v>
      </c>
      <c r="C14" s="2">
        <v>58.159399999999998</v>
      </c>
      <c r="D14" s="19"/>
    </row>
    <row r="15" spans="1:4" x14ac:dyDescent="0.25">
      <c r="A15" s="1">
        <v>43398</v>
      </c>
      <c r="B15" s="4">
        <v>14</v>
      </c>
      <c r="C15" s="2">
        <v>58.345500000000001</v>
      </c>
      <c r="D15" s="19"/>
    </row>
    <row r="16" spans="1:4" x14ac:dyDescent="0.25">
      <c r="A16" s="1">
        <v>43399</v>
      </c>
      <c r="B16" s="4">
        <v>15</v>
      </c>
      <c r="C16" s="2">
        <v>58.538600000000002</v>
      </c>
      <c r="D16" s="19"/>
    </row>
    <row r="17" spans="1:4" x14ac:dyDescent="0.25">
      <c r="A17" s="1">
        <v>43400</v>
      </c>
      <c r="B17" s="4">
        <v>16</v>
      </c>
      <c r="C17" s="2">
        <v>58.5839</v>
      </c>
      <c r="D17" s="19"/>
    </row>
    <row r="18" spans="1:4" x14ac:dyDescent="0.25">
      <c r="A18" s="1">
        <v>43403</v>
      </c>
      <c r="B18" s="4">
        <v>17</v>
      </c>
      <c r="C18" s="2">
        <v>58.790399999999998</v>
      </c>
      <c r="D18" s="19"/>
    </row>
    <row r="19" spans="1:4" x14ac:dyDescent="0.25">
      <c r="A19" s="1">
        <v>43404</v>
      </c>
      <c r="B19" s="4">
        <v>18</v>
      </c>
      <c r="C19" s="2">
        <v>58.281999999999996</v>
      </c>
      <c r="D19" s="19"/>
    </row>
    <row r="20" spans="1:4" x14ac:dyDescent="0.25">
      <c r="A20" s="1">
        <v>43405</v>
      </c>
      <c r="B20" s="4">
        <v>19</v>
      </c>
      <c r="C20" s="2">
        <v>57.995800000000003</v>
      </c>
      <c r="D20" s="19"/>
    </row>
    <row r="21" spans="1:4" x14ac:dyDescent="0.25">
      <c r="A21" s="1">
        <v>43406</v>
      </c>
      <c r="B21" s="4">
        <v>20</v>
      </c>
      <c r="C21" s="2">
        <v>58.158000000000001</v>
      </c>
      <c r="D21" s="19"/>
    </row>
    <row r="22" spans="1:4" x14ac:dyDescent="0.25">
      <c r="A22" s="1">
        <v>43407</v>
      </c>
      <c r="B22" s="4">
        <v>21</v>
      </c>
      <c r="C22" s="2">
        <v>58.0764</v>
      </c>
      <c r="D22" s="19"/>
    </row>
    <row r="23" spans="1:4" x14ac:dyDescent="0.25">
      <c r="A23" s="1">
        <v>43411</v>
      </c>
      <c r="B23" s="4">
        <v>22</v>
      </c>
      <c r="C23" s="2">
        <v>58.247199999999999</v>
      </c>
      <c r="D23" s="19"/>
    </row>
    <row r="24" spans="1:4" x14ac:dyDescent="0.25">
      <c r="A24" s="1">
        <v>43412</v>
      </c>
      <c r="B24" s="4">
        <v>23</v>
      </c>
      <c r="C24" s="2">
        <v>58.390099999999997</v>
      </c>
      <c r="D24" s="19"/>
    </row>
    <row r="25" spans="1:4" x14ac:dyDescent="0.25">
      <c r="A25" s="1">
        <v>43413</v>
      </c>
      <c r="B25" s="4">
        <v>24</v>
      </c>
      <c r="C25" s="2">
        <v>58.229300000000002</v>
      </c>
      <c r="D25" s="19"/>
    </row>
    <row r="26" spans="1:4" x14ac:dyDescent="0.25">
      <c r="A26" s="1">
        <v>43414</v>
      </c>
      <c r="B26" s="4">
        <v>25</v>
      </c>
      <c r="C26" s="2">
        <v>58.738</v>
      </c>
      <c r="D26" s="19"/>
    </row>
    <row r="27" spans="1:4" x14ac:dyDescent="0.25">
      <c r="A27" s="1">
        <v>43417</v>
      </c>
      <c r="B27" s="4">
        <v>26</v>
      </c>
      <c r="C27" s="2">
        <v>59.166499999999999</v>
      </c>
      <c r="D27" s="19"/>
    </row>
    <row r="28" spans="1:4" x14ac:dyDescent="0.25">
      <c r="A28" s="1">
        <v>43418</v>
      </c>
      <c r="B28" s="4">
        <v>27</v>
      </c>
      <c r="C28" s="2">
        <v>59.314799999999998</v>
      </c>
      <c r="D28" s="19"/>
    </row>
    <row r="29" spans="1:4" x14ac:dyDescent="0.25">
      <c r="A29" s="1">
        <v>43419</v>
      </c>
      <c r="B29" s="4">
        <v>28</v>
      </c>
      <c r="C29" s="2">
        <v>59.7072</v>
      </c>
      <c r="D29" s="19"/>
    </row>
    <row r="30" spans="1:4" x14ac:dyDescent="0.25">
      <c r="A30" s="1">
        <v>43420</v>
      </c>
      <c r="B30" s="4">
        <v>29</v>
      </c>
      <c r="C30" s="2">
        <v>58.715699999999998</v>
      </c>
      <c r="D30" s="19"/>
    </row>
    <row r="31" spans="1:4" x14ac:dyDescent="0.25">
      <c r="A31" s="1">
        <v>43421</v>
      </c>
      <c r="B31" s="4">
        <v>30</v>
      </c>
      <c r="C31" s="2">
        <v>58.269500000000001</v>
      </c>
      <c r="D31" s="19"/>
    </row>
    <row r="32" spans="1:4" x14ac:dyDescent="0.25">
      <c r="A32" s="1">
        <v>43424</v>
      </c>
      <c r="B32" s="4">
        <v>31</v>
      </c>
      <c r="C32" s="2">
        <v>58.51</v>
      </c>
      <c r="D32" s="19"/>
    </row>
    <row r="33" spans="1:4" x14ac:dyDescent="0.25">
      <c r="A33" s="1">
        <v>43425</v>
      </c>
      <c r="B33" s="4">
        <v>32</v>
      </c>
      <c r="C33" s="2">
        <v>58.328200000000002</v>
      </c>
      <c r="D33" s="19"/>
    </row>
    <row r="34" spans="1:4" x14ac:dyDescent="0.25">
      <c r="A34" s="1">
        <v>43426</v>
      </c>
      <c r="B34" s="4">
        <v>33</v>
      </c>
      <c r="C34" s="2">
        <v>58.428699999999999</v>
      </c>
      <c r="D34" s="19"/>
    </row>
    <row r="35" spans="1:4" x14ac:dyDescent="0.25">
      <c r="A35" s="1">
        <v>43427</v>
      </c>
      <c r="B35" s="4">
        <v>34</v>
      </c>
      <c r="C35" s="2">
        <v>58.076999999999998</v>
      </c>
      <c r="D35" s="19"/>
    </row>
    <row r="36" spans="1:4" x14ac:dyDescent="0.25">
      <c r="A36" s="1">
        <v>43428</v>
      </c>
      <c r="B36" s="4">
        <v>35</v>
      </c>
      <c r="C36" s="2">
        <v>58.186500000000002</v>
      </c>
      <c r="D36" s="19"/>
    </row>
    <row r="37" spans="1:4" x14ac:dyDescent="0.25">
      <c r="A37" s="1">
        <v>43431</v>
      </c>
      <c r="B37" s="4">
        <v>36</v>
      </c>
      <c r="C37" s="2">
        <v>58.692300000000003</v>
      </c>
      <c r="D37" s="19"/>
    </row>
    <row r="38" spans="1:4" x14ac:dyDescent="0.25">
      <c r="A38" s="1">
        <v>43432</v>
      </c>
      <c r="B38" s="4">
        <v>37</v>
      </c>
      <c r="C38" s="2">
        <v>58.800699999999999</v>
      </c>
      <c r="D38" s="19"/>
    </row>
    <row r="39" spans="1:4" x14ac:dyDescent="0.25">
      <c r="A39" s="1">
        <v>43433</v>
      </c>
      <c r="B39" s="4">
        <v>38</v>
      </c>
      <c r="C39" s="2">
        <v>58.797199999999997</v>
      </c>
      <c r="D39" s="19"/>
    </row>
    <row r="40" spans="1:4" x14ac:dyDescent="0.25">
      <c r="A40" s="1">
        <v>43434</v>
      </c>
      <c r="B40" s="4">
        <v>39</v>
      </c>
      <c r="C40" s="2">
        <v>58.825200000000002</v>
      </c>
      <c r="D40" s="19"/>
    </row>
    <row r="41" spans="1:4" x14ac:dyDescent="0.25">
      <c r="A41" s="1">
        <v>43435</v>
      </c>
      <c r="B41" s="4">
        <v>40</v>
      </c>
      <c r="C41" s="2">
        <v>58.653399999999998</v>
      </c>
      <c r="D41" s="19"/>
    </row>
    <row r="42" spans="1:4" x14ac:dyDescent="0.25">
      <c r="A42" s="1">
        <v>43438</v>
      </c>
      <c r="B42" s="4">
        <v>41</v>
      </c>
      <c r="C42" s="2">
        <v>58.409700000000001</v>
      </c>
      <c r="D42" s="19"/>
    </row>
    <row r="43" spans="1:4" x14ac:dyDescent="0.25">
      <c r="A43" s="1">
        <v>43439</v>
      </c>
      <c r="B43" s="4">
        <v>42</v>
      </c>
      <c r="C43" s="2">
        <v>58.768599999999999</v>
      </c>
      <c r="D43" s="19"/>
    </row>
    <row r="44" spans="1:4" x14ac:dyDescent="0.25">
      <c r="A44" s="1">
        <v>43440</v>
      </c>
      <c r="B44" s="4">
        <v>43</v>
      </c>
      <c r="C44" s="2">
        <v>59.118099999999998</v>
      </c>
      <c r="D44" s="19"/>
    </row>
    <row r="45" spans="1:4" x14ac:dyDescent="0.25">
      <c r="A45" s="1">
        <v>43441</v>
      </c>
      <c r="B45" s="4">
        <v>44</v>
      </c>
      <c r="C45" s="2">
        <v>59.046799999999998</v>
      </c>
      <c r="D45" s="19"/>
    </row>
    <row r="46" spans="1:4" x14ac:dyDescent="0.25">
      <c r="A46" s="1">
        <v>43442</v>
      </c>
      <c r="B46" s="4">
        <v>45</v>
      </c>
      <c r="C46" s="2">
        <v>59.326000000000001</v>
      </c>
      <c r="D46" s="19"/>
    </row>
    <row r="47" spans="1:4" x14ac:dyDescent="0.25">
      <c r="A47" s="1">
        <v>43445</v>
      </c>
      <c r="B47" s="4">
        <v>46</v>
      </c>
      <c r="C47" s="2">
        <v>58.816099999999999</v>
      </c>
      <c r="D47" s="19"/>
    </row>
    <row r="48" spans="1:4" x14ac:dyDescent="0.25">
      <c r="A48" s="1">
        <v>43446</v>
      </c>
      <c r="B48" s="4">
        <v>47</v>
      </c>
      <c r="C48" s="2">
        <v>58.817700000000002</v>
      </c>
      <c r="D48" s="19"/>
    </row>
    <row r="49" spans="1:7" x14ac:dyDescent="0.25">
      <c r="A49" s="1">
        <v>43447</v>
      </c>
      <c r="B49" s="4">
        <v>48</v>
      </c>
      <c r="C49" s="2">
        <v>58.545200000000001</v>
      </c>
      <c r="D49" s="19"/>
    </row>
    <row r="50" spans="1:7" x14ac:dyDescent="0.25">
      <c r="A50" s="1">
        <v>43448</v>
      </c>
      <c r="B50" s="4">
        <v>49</v>
      </c>
      <c r="C50" s="2">
        <v>58.379600000000003</v>
      </c>
      <c r="D50" s="19"/>
    </row>
    <row r="51" spans="1:7" x14ac:dyDescent="0.25">
      <c r="A51" s="1">
        <v>43449</v>
      </c>
      <c r="B51" s="4">
        <v>50</v>
      </c>
      <c r="C51" s="2">
        <v>58.488100000000003</v>
      </c>
      <c r="D51" s="19"/>
    </row>
    <row r="52" spans="1:7" x14ac:dyDescent="0.25">
      <c r="A52" s="1">
        <v>43452</v>
      </c>
      <c r="B52" s="4">
        <v>51</v>
      </c>
      <c r="C52" s="2">
        <v>58.751100000000001</v>
      </c>
      <c r="D52" s="19"/>
    </row>
    <row r="53" spans="1:7" x14ac:dyDescent="0.25">
      <c r="A53" s="1">
        <v>43453</v>
      </c>
      <c r="B53" s="4">
        <v>52</v>
      </c>
      <c r="C53" s="2">
        <v>59.342399999999998</v>
      </c>
      <c r="D53" s="19"/>
    </row>
    <row r="54" spans="1:7" x14ac:dyDescent="0.25">
      <c r="A54" s="1">
        <v>43454</v>
      </c>
      <c r="B54" s="4">
        <v>53</v>
      </c>
      <c r="C54" s="2">
        <v>59.726900000000001</v>
      </c>
      <c r="D54" s="19"/>
    </row>
    <row r="55" spans="1:7" x14ac:dyDescent="0.25">
      <c r="A55" s="1">
        <v>43455</v>
      </c>
      <c r="B55" s="4">
        <v>54</v>
      </c>
      <c r="C55" s="2">
        <v>60.230699999999999</v>
      </c>
      <c r="D55" s="19"/>
    </row>
    <row r="56" spans="1:7" x14ac:dyDescent="0.25">
      <c r="A56" s="1">
        <v>43456</v>
      </c>
      <c r="B56" s="4">
        <v>55</v>
      </c>
      <c r="C56" s="2">
        <v>61.222000000000001</v>
      </c>
      <c r="D56" s="19"/>
    </row>
    <row r="57" spans="1:7" x14ac:dyDescent="0.25">
      <c r="A57" s="1">
        <v>43459</v>
      </c>
      <c r="B57" s="4">
        <v>56</v>
      </c>
      <c r="C57" s="2">
        <v>61.664299999999997</v>
      </c>
      <c r="D57" s="19"/>
    </row>
    <row r="58" spans="1:7" x14ac:dyDescent="0.25">
      <c r="A58" s="1">
        <v>43460</v>
      </c>
      <c r="B58" s="4">
        <v>57</v>
      </c>
      <c r="C58" s="2">
        <v>62.333799999999997</v>
      </c>
      <c r="D58" s="19"/>
    </row>
    <row r="59" spans="1:7" x14ac:dyDescent="0.25">
      <c r="A59" s="1">
        <v>43461</v>
      </c>
      <c r="B59" s="4">
        <v>58</v>
      </c>
      <c r="C59" s="2">
        <v>62.337899999999998</v>
      </c>
      <c r="D59" s="19"/>
      <c r="E59" s="41"/>
      <c r="F59" s="41"/>
      <c r="G59" s="41"/>
    </row>
    <row r="60" spans="1:7" x14ac:dyDescent="0.25">
      <c r="A60" s="1">
        <v>43462</v>
      </c>
      <c r="B60" s="4">
        <v>59</v>
      </c>
      <c r="C60" s="2">
        <v>62.087000000000003</v>
      </c>
      <c r="D60" s="19"/>
      <c r="E60" s="117"/>
      <c r="F60" s="41"/>
      <c r="G60" s="41"/>
    </row>
    <row r="61" spans="1:7" x14ac:dyDescent="0.25">
      <c r="A61" s="1">
        <v>43463</v>
      </c>
      <c r="B61" s="4">
        <v>60</v>
      </c>
      <c r="C61" s="2">
        <v>62.935600000000001</v>
      </c>
      <c r="D61" s="19"/>
      <c r="E61" s="117">
        <v>43463</v>
      </c>
      <c r="F61" s="125">
        <v>62.935600000000001</v>
      </c>
      <c r="G61" s="41"/>
    </row>
    <row r="62" spans="1:7" x14ac:dyDescent="0.25">
      <c r="A62" s="116">
        <v>43464</v>
      </c>
      <c r="B62" s="103">
        <v>61</v>
      </c>
      <c r="C62" s="103">
        <v>62.997599999999998</v>
      </c>
      <c r="E62" s="117">
        <v>43464</v>
      </c>
      <c r="F62" s="41">
        <v>62.997599999999998</v>
      </c>
      <c r="G62" s="41"/>
    </row>
    <row r="63" spans="1:7" x14ac:dyDescent="0.25">
      <c r="A63" s="116">
        <v>43475</v>
      </c>
      <c r="B63" s="103">
        <v>72</v>
      </c>
      <c r="C63" s="103">
        <v>61.608699999999999</v>
      </c>
      <c r="E63" s="117">
        <v>43465</v>
      </c>
      <c r="F63" s="41">
        <v>62.997599999999998</v>
      </c>
      <c r="G63" s="41"/>
    </row>
    <row r="64" spans="1:7" x14ac:dyDescent="0.25">
      <c r="A64" s="116">
        <v>43476</v>
      </c>
      <c r="B64" s="103">
        <v>73</v>
      </c>
      <c r="C64" s="103">
        <v>61.953800000000001</v>
      </c>
      <c r="E64" s="117">
        <v>43466</v>
      </c>
      <c r="F64" s="41">
        <v>62.997599999999998</v>
      </c>
      <c r="G64" s="41"/>
    </row>
    <row r="65" spans="1:7" x14ac:dyDescent="0.25">
      <c r="A65" s="116">
        <v>43477</v>
      </c>
      <c r="B65" s="103">
        <v>74</v>
      </c>
      <c r="C65" s="103">
        <v>61.785400000000003</v>
      </c>
      <c r="E65" s="117">
        <v>43467</v>
      </c>
      <c r="F65" s="41">
        <v>62.997599999999998</v>
      </c>
      <c r="G65" s="41"/>
    </row>
    <row r="66" spans="1:7" x14ac:dyDescent="0.25">
      <c r="A66" s="116">
        <v>43480</v>
      </c>
      <c r="B66" s="103">
        <v>77</v>
      </c>
      <c r="C66" s="103">
        <v>62.125700000000002</v>
      </c>
      <c r="E66" s="117">
        <v>43468</v>
      </c>
      <c r="F66" s="41">
        <v>62.997599999999998</v>
      </c>
      <c r="G66" s="41"/>
    </row>
    <row r="67" spans="1:7" x14ac:dyDescent="0.25">
      <c r="A67" s="116">
        <v>43481</v>
      </c>
      <c r="B67" s="103">
        <v>78</v>
      </c>
      <c r="C67" s="103">
        <v>61.744199999999999</v>
      </c>
      <c r="E67" s="117">
        <v>43469</v>
      </c>
      <c r="F67" s="41">
        <v>62.997599999999998</v>
      </c>
      <c r="G67" s="41"/>
    </row>
    <row r="68" spans="1:7" x14ac:dyDescent="0.25">
      <c r="A68" s="116">
        <v>43482</v>
      </c>
      <c r="B68" s="103">
        <v>79</v>
      </c>
      <c r="C68" s="103">
        <v>61.483400000000003</v>
      </c>
      <c r="E68" s="117">
        <v>43470</v>
      </c>
      <c r="F68" s="41">
        <v>62.997599999999998</v>
      </c>
      <c r="G68" s="41"/>
    </row>
    <row r="69" spans="1:7" x14ac:dyDescent="0.25">
      <c r="A69" s="116">
        <v>43483</v>
      </c>
      <c r="B69" s="103">
        <v>80</v>
      </c>
      <c r="C69" s="103">
        <v>61.089300000000001</v>
      </c>
      <c r="E69" s="117">
        <v>43471</v>
      </c>
      <c r="F69" s="41">
        <v>62.997599999999998</v>
      </c>
      <c r="G69" s="41"/>
    </row>
    <row r="70" spans="1:7" x14ac:dyDescent="0.25">
      <c r="A70" s="116">
        <v>43484</v>
      </c>
      <c r="B70" s="103">
        <v>81</v>
      </c>
      <c r="C70" s="103">
        <v>60.6066</v>
      </c>
      <c r="E70" s="117">
        <v>43472</v>
      </c>
      <c r="F70" s="41">
        <v>62.997599999999998</v>
      </c>
      <c r="G70" s="41"/>
    </row>
    <row r="71" spans="1:7" x14ac:dyDescent="0.25">
      <c r="A71" s="116">
        <v>43487</v>
      </c>
      <c r="B71" s="103">
        <v>84</v>
      </c>
      <c r="C71" s="103">
        <v>60.525700000000001</v>
      </c>
      <c r="E71" s="117">
        <v>43473</v>
      </c>
      <c r="F71" s="41">
        <v>62.997599999999998</v>
      </c>
      <c r="G71" s="41"/>
    </row>
    <row r="72" spans="1:7" x14ac:dyDescent="0.25">
      <c r="A72" s="116">
        <v>43488</v>
      </c>
      <c r="B72" s="103">
        <v>85</v>
      </c>
      <c r="C72" s="103">
        <v>60.834499999999998</v>
      </c>
      <c r="E72" s="117">
        <v>43474</v>
      </c>
      <c r="F72" s="41">
        <v>62.997599999999998</v>
      </c>
      <c r="G72" s="41"/>
    </row>
    <row r="73" spans="1:7" x14ac:dyDescent="0.25">
      <c r="A73" s="1"/>
      <c r="E73" s="117"/>
      <c r="F73" s="41"/>
      <c r="G73" s="41"/>
    </row>
    <row r="74" spans="1:7" x14ac:dyDescent="0.25">
      <c r="A74" s="1"/>
      <c r="E74" s="117"/>
      <c r="F74" s="41"/>
      <c r="G74" s="41"/>
    </row>
    <row r="75" spans="1:7" x14ac:dyDescent="0.25">
      <c r="A75" s="1"/>
      <c r="E75" s="117"/>
      <c r="F75" s="41"/>
      <c r="G75" s="41"/>
    </row>
    <row r="76" spans="1:7" x14ac:dyDescent="0.25">
      <c r="A76" s="1"/>
      <c r="E76" s="117"/>
      <c r="F76" s="41"/>
      <c r="G76" s="41"/>
    </row>
    <row r="77" spans="1:7" x14ac:dyDescent="0.25">
      <c r="A77" s="1"/>
      <c r="E77" s="117"/>
      <c r="F77" s="41"/>
      <c r="G77" s="41"/>
    </row>
    <row r="78" spans="1:7" x14ac:dyDescent="0.25">
      <c r="A78" s="1"/>
      <c r="E78" s="117"/>
      <c r="F78" s="41"/>
      <c r="G78" s="41"/>
    </row>
    <row r="79" spans="1:7" x14ac:dyDescent="0.25">
      <c r="A79" s="1"/>
      <c r="E79" s="117"/>
      <c r="F79" s="41"/>
      <c r="G79" s="41"/>
    </row>
    <row r="80" spans="1:7" x14ac:dyDescent="0.25">
      <c r="E80" s="117"/>
      <c r="F80" s="41"/>
      <c r="G80" s="41"/>
    </row>
    <row r="81" spans="5:7" x14ac:dyDescent="0.25">
      <c r="E81" s="117"/>
      <c r="F81" s="41"/>
      <c r="G81" s="41"/>
    </row>
    <row r="82" spans="5:7" x14ac:dyDescent="0.25">
      <c r="E82" s="117"/>
      <c r="F82" s="41"/>
      <c r="G82" s="41"/>
    </row>
    <row r="83" spans="5:7" x14ac:dyDescent="0.25">
      <c r="E83" s="117"/>
      <c r="F83" s="41"/>
      <c r="G83" s="41"/>
    </row>
    <row r="84" spans="5:7" x14ac:dyDescent="0.25">
      <c r="E84" s="117"/>
      <c r="F84" s="41"/>
      <c r="G84" s="41"/>
    </row>
    <row r="85" spans="5:7" x14ac:dyDescent="0.25">
      <c r="E85" s="117"/>
      <c r="F85" s="41"/>
      <c r="G85" s="41"/>
    </row>
    <row r="86" spans="5:7" x14ac:dyDescent="0.25">
      <c r="E86" s="41"/>
      <c r="F86" s="41"/>
      <c r="G86" s="41"/>
    </row>
    <row r="87" spans="5:7" x14ac:dyDescent="0.25">
      <c r="E87" s="41"/>
      <c r="F87" s="41"/>
      <c r="G87" s="4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zoomScale="85" zoomScaleNormal="85" workbookViewId="0">
      <selection activeCell="B15" sqref="B15"/>
    </sheetView>
  </sheetViews>
  <sheetFormatPr defaultRowHeight="15" x14ac:dyDescent="0.25"/>
  <cols>
    <col min="1" max="1" width="24.5703125" customWidth="1"/>
    <col min="9" max="9" width="15.28515625" customWidth="1"/>
  </cols>
  <sheetData>
    <row r="1" spans="1:10" x14ac:dyDescent="0.25">
      <c r="A1" s="5" t="s">
        <v>3</v>
      </c>
      <c r="B1" s="5">
        <v>59.009583333333303</v>
      </c>
      <c r="F1" s="2">
        <v>57.924100000000003</v>
      </c>
      <c r="H1" s="8" t="s">
        <v>16</v>
      </c>
      <c r="I1" s="8" t="s">
        <v>21</v>
      </c>
      <c r="J1" s="8" t="s">
        <v>17</v>
      </c>
    </row>
    <row r="2" spans="1:10" x14ac:dyDescent="0.25">
      <c r="A2" s="5" t="s">
        <v>4</v>
      </c>
      <c r="B2" s="5">
        <v>0.14728319661980499</v>
      </c>
      <c r="F2" s="2">
        <v>57.995800000000003</v>
      </c>
      <c r="H2" s="6">
        <v>1</v>
      </c>
      <c r="I2" s="7">
        <f>F1</f>
        <v>57.924100000000003</v>
      </c>
      <c r="J2" s="6">
        <f t="array" ref="J2:J16">FREQUENCY(F1:F60,I2:I16)</f>
        <v>1</v>
      </c>
    </row>
    <row r="3" spans="1:10" x14ac:dyDescent="0.25">
      <c r="A3" s="5" t="s">
        <v>5</v>
      </c>
      <c r="B3" s="5">
        <v>58.685249999999996</v>
      </c>
      <c r="F3" s="2">
        <v>58.0764</v>
      </c>
      <c r="H3" s="6">
        <v>2</v>
      </c>
      <c r="I3" s="7">
        <f>I2+$B$16</f>
        <v>58.282064285714291</v>
      </c>
      <c r="J3" s="6">
        <v>11</v>
      </c>
    </row>
    <row r="4" spans="1:10" x14ac:dyDescent="0.25">
      <c r="A4" s="5" t="s">
        <v>6</v>
      </c>
      <c r="B4" s="5" t="e">
        <v>#N/A</v>
      </c>
      <c r="F4" s="2">
        <v>58.076999999999998</v>
      </c>
      <c r="H4" s="6">
        <v>3</v>
      </c>
      <c r="I4" s="7">
        <f t="shared" ref="I4:I16" si="0">I3+$B$16</f>
        <v>58.64002857142858</v>
      </c>
      <c r="J4" s="6">
        <v>16</v>
      </c>
    </row>
    <row r="5" spans="1:10" x14ac:dyDescent="0.25">
      <c r="A5" s="5" t="s">
        <v>7</v>
      </c>
      <c r="B5" s="5">
        <v>1.1408507353693913</v>
      </c>
      <c r="F5" s="2">
        <v>58.158000000000001</v>
      </c>
      <c r="H5" s="6">
        <v>4</v>
      </c>
      <c r="I5" s="7">
        <f t="shared" si="0"/>
        <v>58.997992857142869</v>
      </c>
      <c r="J5" s="6">
        <v>16</v>
      </c>
    </row>
    <row r="6" spans="1:10" x14ac:dyDescent="0.25">
      <c r="A6" s="5" t="s">
        <v>8</v>
      </c>
      <c r="B6" s="5">
        <v>1.301540400392881</v>
      </c>
      <c r="F6" s="2">
        <v>58.159399999999998</v>
      </c>
      <c r="H6" s="6">
        <v>5</v>
      </c>
      <c r="I6" s="7">
        <f t="shared" si="0"/>
        <v>59.355957142857157</v>
      </c>
      <c r="J6" s="6">
        <v>6</v>
      </c>
    </row>
    <row r="7" spans="1:10" x14ac:dyDescent="0.25">
      <c r="A7" s="5" t="s">
        <v>9</v>
      </c>
      <c r="B7" s="5">
        <v>4.1219686313312689</v>
      </c>
      <c r="F7" s="14">
        <v>58.186500000000002</v>
      </c>
      <c r="H7" s="6">
        <v>6</v>
      </c>
      <c r="I7" s="7">
        <f t="shared" si="0"/>
        <v>59.713921428571446</v>
      </c>
      <c r="J7" s="6">
        <v>2</v>
      </c>
    </row>
    <row r="8" spans="1:10" x14ac:dyDescent="0.25">
      <c r="A8" s="5" t="s">
        <v>10</v>
      </c>
      <c r="B8" s="5">
        <v>2.1792347699339567</v>
      </c>
      <c r="F8" s="2">
        <v>58.229300000000002</v>
      </c>
      <c r="H8" s="6">
        <v>7</v>
      </c>
      <c r="I8" s="7">
        <f t="shared" si="0"/>
        <v>60.071885714285735</v>
      </c>
      <c r="J8" s="6">
        <v>1</v>
      </c>
    </row>
    <row r="9" spans="1:10" x14ac:dyDescent="0.25">
      <c r="A9" s="5" t="s">
        <v>11</v>
      </c>
      <c r="B9" s="5">
        <v>5.0114999999999981</v>
      </c>
      <c r="F9" s="2">
        <v>58.247199999999999</v>
      </c>
      <c r="H9" s="6">
        <v>8</v>
      </c>
      <c r="I9" s="7">
        <f t="shared" si="0"/>
        <v>60.429850000000023</v>
      </c>
      <c r="J9" s="6">
        <v>1</v>
      </c>
    </row>
    <row r="10" spans="1:10" x14ac:dyDescent="0.25">
      <c r="A10" s="5" t="s">
        <v>12</v>
      </c>
      <c r="B10" s="5">
        <v>57.924100000000003</v>
      </c>
      <c r="C10" s="11"/>
      <c r="D10" s="9"/>
      <c r="F10" s="2">
        <v>58.267699999999998</v>
      </c>
      <c r="H10" s="6">
        <v>9</v>
      </c>
      <c r="I10" s="7">
        <f t="shared" si="0"/>
        <v>60.787814285714312</v>
      </c>
      <c r="J10" s="6">
        <v>0</v>
      </c>
    </row>
    <row r="11" spans="1:10" x14ac:dyDescent="0.25">
      <c r="A11" s="5" t="s">
        <v>13</v>
      </c>
      <c r="B11" s="5">
        <v>62.935600000000001</v>
      </c>
      <c r="C11" s="11"/>
      <c r="F11" s="2">
        <v>58.269500000000001</v>
      </c>
      <c r="H11" s="6">
        <v>10</v>
      </c>
      <c r="I11" s="7">
        <f t="shared" si="0"/>
        <v>61.1457785714286</v>
      </c>
      <c r="J11" s="6">
        <v>0</v>
      </c>
    </row>
    <row r="12" spans="1:10" x14ac:dyDescent="0.25">
      <c r="A12" s="5" t="s">
        <v>14</v>
      </c>
      <c r="B12" s="5">
        <v>3540.5750000000007</v>
      </c>
      <c r="F12" s="2">
        <v>58.281999999999996</v>
      </c>
      <c r="H12" s="6">
        <v>11</v>
      </c>
      <c r="I12" s="7">
        <f t="shared" si="0"/>
        <v>61.503742857142889</v>
      </c>
      <c r="J12" s="6">
        <v>1</v>
      </c>
    </row>
    <row r="13" spans="1:10" x14ac:dyDescent="0.25">
      <c r="A13" s="5" t="s">
        <v>15</v>
      </c>
      <c r="B13" s="5">
        <v>60</v>
      </c>
      <c r="F13" s="2">
        <v>58.328200000000002</v>
      </c>
      <c r="H13" s="6">
        <v>12</v>
      </c>
      <c r="I13" s="7">
        <f t="shared" si="0"/>
        <v>61.861707142857178</v>
      </c>
      <c r="J13" s="6">
        <v>1</v>
      </c>
    </row>
    <row r="14" spans="1:10" x14ac:dyDescent="0.25">
      <c r="D14" s="3"/>
      <c r="F14" s="2">
        <v>58.345500000000001</v>
      </c>
      <c r="H14" s="6">
        <v>13</v>
      </c>
      <c r="I14" s="7">
        <f t="shared" si="0"/>
        <v>62.219671428571466</v>
      </c>
      <c r="J14" s="6">
        <v>1</v>
      </c>
    </row>
    <row r="15" spans="1:10" x14ac:dyDescent="0.25">
      <c r="A15" s="12" t="s">
        <v>18</v>
      </c>
      <c r="B15">
        <f>(B5/B1)*100</f>
        <v>1.9333312843863926</v>
      </c>
      <c r="C15" s="10"/>
      <c r="F15" s="2">
        <v>58.379600000000003</v>
      </c>
      <c r="H15" s="6">
        <v>14</v>
      </c>
      <c r="I15" s="7">
        <f t="shared" si="0"/>
        <v>62.577635714285755</v>
      </c>
      <c r="J15" s="6">
        <v>2</v>
      </c>
    </row>
    <row r="16" spans="1:10" x14ac:dyDescent="0.25">
      <c r="A16" s="12" t="s">
        <v>19</v>
      </c>
      <c r="B16">
        <f>(B11-B10)/14</f>
        <v>0.35796428571428557</v>
      </c>
      <c r="C16" s="10"/>
      <c r="F16" s="2">
        <v>58.382199999999997</v>
      </c>
      <c r="H16" s="6">
        <v>15</v>
      </c>
      <c r="I16" s="7">
        <f t="shared" si="0"/>
        <v>62.935600000000044</v>
      </c>
      <c r="J16" s="6">
        <v>1</v>
      </c>
    </row>
    <row r="17" spans="1:12" x14ac:dyDescent="0.25">
      <c r="A17" s="12" t="s">
        <v>20</v>
      </c>
      <c r="B17">
        <f>1+3.22*LN(B13)</f>
        <v>14.183789490355164</v>
      </c>
      <c r="F17" s="2">
        <v>58.390099999999997</v>
      </c>
      <c r="H17" s="55"/>
      <c r="I17" s="13"/>
      <c r="J17" s="55"/>
      <c r="K17" s="55"/>
      <c r="L17" s="55"/>
    </row>
    <row r="18" spans="1:12" x14ac:dyDescent="0.25">
      <c r="F18" s="2">
        <v>58.409700000000001</v>
      </c>
      <c r="H18" s="55"/>
      <c r="I18" s="13"/>
      <c r="J18" s="55"/>
      <c r="K18" s="55"/>
      <c r="L18" s="55"/>
    </row>
    <row r="19" spans="1:12" x14ac:dyDescent="0.25">
      <c r="F19" s="2">
        <v>58.4285</v>
      </c>
      <c r="H19" s="55"/>
      <c r="I19" s="13"/>
      <c r="J19" s="55"/>
      <c r="K19" s="55"/>
      <c r="L19" s="55"/>
    </row>
    <row r="20" spans="1:12" x14ac:dyDescent="0.25">
      <c r="F20" s="2">
        <v>58.428699999999999</v>
      </c>
      <c r="H20" s="55"/>
      <c r="I20" s="13"/>
      <c r="J20" s="55"/>
      <c r="K20" s="55"/>
      <c r="L20" s="55"/>
    </row>
    <row r="21" spans="1:12" x14ac:dyDescent="0.25">
      <c r="F21" s="2">
        <v>58.488100000000003</v>
      </c>
      <c r="H21" s="55"/>
      <c r="I21" s="13"/>
      <c r="J21" s="55"/>
      <c r="K21" s="55"/>
      <c r="L21" s="55"/>
    </row>
    <row r="22" spans="1:12" x14ac:dyDescent="0.25">
      <c r="F22" s="2">
        <v>58.494100000000003</v>
      </c>
    </row>
    <row r="23" spans="1:12" x14ac:dyDescent="0.25">
      <c r="F23" s="2">
        <v>58.51</v>
      </c>
    </row>
    <row r="24" spans="1:12" x14ac:dyDescent="0.25">
      <c r="F24" s="2">
        <v>58.538600000000002</v>
      </c>
    </row>
    <row r="25" spans="1:12" x14ac:dyDescent="0.25">
      <c r="F25" s="2">
        <v>58.539700000000003</v>
      </c>
    </row>
    <row r="26" spans="1:12" x14ac:dyDescent="0.25">
      <c r="F26" s="2">
        <v>58.545200000000001</v>
      </c>
    </row>
    <row r="27" spans="1:12" x14ac:dyDescent="0.25">
      <c r="F27" s="2">
        <v>58.5456</v>
      </c>
    </row>
    <row r="28" spans="1:12" x14ac:dyDescent="0.25">
      <c r="F28" s="2">
        <v>58.5839</v>
      </c>
    </row>
    <row r="29" spans="1:12" x14ac:dyDescent="0.25">
      <c r="F29" s="2">
        <v>58.653399999999998</v>
      </c>
    </row>
    <row r="30" spans="1:12" x14ac:dyDescent="0.25">
      <c r="F30" s="2">
        <v>58.678199999999997</v>
      </c>
    </row>
    <row r="31" spans="1:12" x14ac:dyDescent="0.25">
      <c r="F31" s="2">
        <v>58.692300000000003</v>
      </c>
    </row>
    <row r="32" spans="1:12" x14ac:dyDescent="0.25">
      <c r="F32" s="2">
        <v>58.715699999999998</v>
      </c>
    </row>
    <row r="33" spans="6:6" x14ac:dyDescent="0.25">
      <c r="F33" s="2">
        <v>58.735900000000001</v>
      </c>
    </row>
    <row r="34" spans="6:6" x14ac:dyDescent="0.25">
      <c r="F34" s="2">
        <v>58.738</v>
      </c>
    </row>
    <row r="35" spans="6:6" x14ac:dyDescent="0.25">
      <c r="F35" s="2">
        <v>58.751100000000001</v>
      </c>
    </row>
    <row r="36" spans="6:6" x14ac:dyDescent="0.25">
      <c r="F36" s="2">
        <v>58.768599999999999</v>
      </c>
    </row>
    <row r="37" spans="6:6" x14ac:dyDescent="0.25">
      <c r="F37" s="2">
        <v>58.790399999999998</v>
      </c>
    </row>
    <row r="38" spans="6:6" x14ac:dyDescent="0.25">
      <c r="F38" s="2">
        <v>58.797199999999997</v>
      </c>
    </row>
    <row r="39" spans="6:6" x14ac:dyDescent="0.25">
      <c r="F39" s="2">
        <v>58.800699999999999</v>
      </c>
    </row>
    <row r="40" spans="6:6" x14ac:dyDescent="0.25">
      <c r="F40" s="2">
        <v>58.816099999999999</v>
      </c>
    </row>
    <row r="41" spans="6:6" x14ac:dyDescent="0.25">
      <c r="F41" s="2">
        <v>58.817700000000002</v>
      </c>
    </row>
    <row r="42" spans="6:6" x14ac:dyDescent="0.25">
      <c r="F42" s="2">
        <v>58.825200000000002</v>
      </c>
    </row>
    <row r="43" spans="6:6" x14ac:dyDescent="0.25">
      <c r="F43" s="2">
        <v>58.84</v>
      </c>
    </row>
    <row r="44" spans="6:6" x14ac:dyDescent="0.25">
      <c r="F44" s="2">
        <v>58.948500000000003</v>
      </c>
    </row>
    <row r="45" spans="6:6" x14ac:dyDescent="0.25">
      <c r="F45" s="2">
        <v>59.046799999999998</v>
      </c>
    </row>
    <row r="46" spans="6:6" x14ac:dyDescent="0.25">
      <c r="F46" s="2">
        <v>59.118099999999998</v>
      </c>
    </row>
    <row r="47" spans="6:6" x14ac:dyDescent="0.25">
      <c r="F47" s="2">
        <v>59.166499999999999</v>
      </c>
    </row>
    <row r="48" spans="6:6" x14ac:dyDescent="0.25">
      <c r="F48" s="2">
        <v>59.314799999999998</v>
      </c>
    </row>
    <row r="49" spans="6:6" x14ac:dyDescent="0.25">
      <c r="F49" s="2">
        <v>59.326000000000001</v>
      </c>
    </row>
    <row r="50" spans="6:6" x14ac:dyDescent="0.25">
      <c r="F50" s="2">
        <v>59.342399999999998</v>
      </c>
    </row>
    <row r="51" spans="6:6" x14ac:dyDescent="0.25">
      <c r="F51" s="2">
        <v>59.435400000000001</v>
      </c>
    </row>
    <row r="52" spans="6:6" x14ac:dyDescent="0.25">
      <c r="F52" s="2">
        <v>59.7072</v>
      </c>
    </row>
    <row r="53" spans="6:6" x14ac:dyDescent="0.25">
      <c r="F53" s="2">
        <v>59.726900000000001</v>
      </c>
    </row>
    <row r="54" spans="6:6" x14ac:dyDescent="0.25">
      <c r="F54" s="2">
        <v>60.230699999999999</v>
      </c>
    </row>
    <row r="55" spans="6:6" x14ac:dyDescent="0.25">
      <c r="F55" s="2">
        <v>61.222000000000001</v>
      </c>
    </row>
    <row r="56" spans="6:6" x14ac:dyDescent="0.25">
      <c r="F56" s="2">
        <v>61.664299999999997</v>
      </c>
    </row>
    <row r="57" spans="6:6" x14ac:dyDescent="0.25">
      <c r="F57" s="2">
        <v>62.087000000000003</v>
      </c>
    </row>
    <row r="58" spans="6:6" x14ac:dyDescent="0.25">
      <c r="F58" s="2">
        <v>62.333799999999997</v>
      </c>
    </row>
    <row r="59" spans="6:6" x14ac:dyDescent="0.25">
      <c r="F59" s="2">
        <v>62.337899999999998</v>
      </c>
    </row>
    <row r="60" spans="6:6" x14ac:dyDescent="0.25">
      <c r="F60" s="2">
        <v>62.935600000000001</v>
      </c>
    </row>
  </sheetData>
  <sortState xmlns:xlrd2="http://schemas.microsoft.com/office/spreadsheetml/2017/richdata2" ref="F1:F60">
    <sortCondition ref="F1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6"/>
  <sheetViews>
    <sheetView tabSelected="1" zoomScale="80" zoomScaleNormal="80" workbookViewId="0">
      <selection activeCell="G11" sqref="G11"/>
    </sheetView>
  </sheetViews>
  <sheetFormatPr defaultRowHeight="15" x14ac:dyDescent="0.25"/>
  <cols>
    <col min="3" max="4" width="14.85546875" customWidth="1"/>
    <col min="5" max="5" width="4.85546875" customWidth="1"/>
    <col min="9" max="9" width="25.85546875" customWidth="1"/>
    <col min="10" max="10" width="15.42578125" customWidth="1"/>
    <col min="11" max="11" width="21.5703125" customWidth="1"/>
    <col min="12" max="12" width="15.28515625" customWidth="1"/>
    <col min="13" max="13" width="12.28515625" customWidth="1"/>
    <col min="14" max="14" width="13.5703125" customWidth="1"/>
    <col min="15" max="15" width="13" customWidth="1"/>
    <col min="16" max="16" width="14.28515625" customWidth="1"/>
    <col min="17" max="17" width="14.140625" customWidth="1"/>
    <col min="19" max="19" width="25.7109375" customWidth="1"/>
    <col min="20" max="20" width="16.28515625" customWidth="1"/>
    <col min="21" max="21" width="15.42578125" customWidth="1"/>
    <col min="22" max="22" width="15.5703125" customWidth="1"/>
    <col min="23" max="23" width="13.28515625" customWidth="1"/>
    <col min="24" max="24" width="14" customWidth="1"/>
    <col min="25" max="25" width="13" customWidth="1"/>
    <col min="26" max="26" width="14.5703125" customWidth="1"/>
    <col min="27" max="27" width="14" customWidth="1"/>
    <col min="28" max="28" width="13.140625" customWidth="1"/>
    <col min="30" max="30" width="11" customWidth="1"/>
  </cols>
  <sheetData>
    <row r="1" spans="1:30" ht="30.75" customHeight="1" x14ac:dyDescent="0.25">
      <c r="A1" s="8" t="s">
        <v>54</v>
      </c>
      <c r="B1" s="8" t="s">
        <v>55</v>
      </c>
      <c r="C1" s="31" t="str">
        <f>данные!C1</f>
        <v>Курс (руб/100 иен)</v>
      </c>
      <c r="D1" s="32" t="s">
        <v>60</v>
      </c>
      <c r="E1" s="21"/>
      <c r="I1" t="s">
        <v>22</v>
      </c>
      <c r="S1" t="s">
        <v>22</v>
      </c>
    </row>
    <row r="2" spans="1:30" ht="15.75" thickBot="1" x14ac:dyDescent="0.3">
      <c r="A2" s="8">
        <f>данные!B2</f>
        <v>1</v>
      </c>
      <c r="B2" s="8">
        <f>A2^2</f>
        <v>1</v>
      </c>
      <c r="C2" s="8">
        <f>данные!C2</f>
        <v>58.539700000000003</v>
      </c>
      <c r="D2" s="34">
        <f>(C2-$F$3-$F$4*A2-$F$5*B2)^2</f>
        <v>0.48954073577938989</v>
      </c>
      <c r="S2" s="126" t="s">
        <v>23</v>
      </c>
      <c r="T2" s="126"/>
    </row>
    <row r="3" spans="1:30" x14ac:dyDescent="0.25">
      <c r="A3" s="8">
        <f>данные!B3</f>
        <v>2</v>
      </c>
      <c r="B3" s="8">
        <f t="shared" ref="B3:B61" si="0">A3^2</f>
        <v>4</v>
      </c>
      <c r="C3" s="8">
        <f>данные!C3</f>
        <v>58.948500000000003</v>
      </c>
      <c r="D3" s="34">
        <f t="shared" ref="D3:D61" si="1">(C3-$F$3-$F$4*A3-$F$5*B3)^2</f>
        <v>3.6055455468301363E-2</v>
      </c>
      <c r="E3" s="35" t="s">
        <v>57</v>
      </c>
      <c r="F3" s="36">
        <v>59.345181972074698</v>
      </c>
      <c r="I3" s="25" t="s">
        <v>23</v>
      </c>
      <c r="J3" s="25"/>
      <c r="S3" s="5" t="s">
        <v>24</v>
      </c>
      <c r="T3" s="5" t="s">
        <v>50</v>
      </c>
    </row>
    <row r="4" spans="1:30" x14ac:dyDescent="0.25">
      <c r="A4" s="8">
        <f>данные!B4</f>
        <v>3</v>
      </c>
      <c r="B4" s="8">
        <f t="shared" si="0"/>
        <v>9</v>
      </c>
      <c r="C4" s="8">
        <f>данные!C4</f>
        <v>58.678199999999997</v>
      </c>
      <c r="D4" s="34">
        <f t="shared" si="1"/>
        <v>0.13250660316460394</v>
      </c>
      <c r="E4" s="37" t="s">
        <v>58</v>
      </c>
      <c r="F4" s="38">
        <v>-0.10822057434479676</v>
      </c>
      <c r="I4" s="22" t="s">
        <v>24</v>
      </c>
      <c r="J4" s="22">
        <v>0.82454519399435389</v>
      </c>
      <c r="K4" s="41"/>
      <c r="L4" s="41"/>
      <c r="M4" s="41"/>
      <c r="N4" s="41"/>
      <c r="O4" s="41"/>
      <c r="P4" s="41"/>
      <c r="Q4" s="41"/>
      <c r="R4" s="41"/>
      <c r="S4" s="5" t="s">
        <v>25</v>
      </c>
      <c r="T4" s="5">
        <f>U11/U13</f>
        <v>0.67976803853690793</v>
      </c>
      <c r="U4" s="52">
        <f>T4*100</f>
        <v>67.976803853690797</v>
      </c>
      <c r="V4" s="52" t="s">
        <v>53</v>
      </c>
      <c r="W4" s="52"/>
      <c r="X4" s="52"/>
    </row>
    <row r="5" spans="1:30" ht="15.75" thickBot="1" x14ac:dyDescent="0.3">
      <c r="A5" s="8">
        <f>данные!B5</f>
        <v>4</v>
      </c>
      <c r="B5" s="8">
        <f t="shared" si="0"/>
        <v>16</v>
      </c>
      <c r="C5" s="8">
        <f>данные!C5</f>
        <v>58.494100000000003</v>
      </c>
      <c r="D5" s="34">
        <f t="shared" si="1"/>
        <v>0.20863640893393279</v>
      </c>
      <c r="E5" s="39" t="s">
        <v>59</v>
      </c>
      <c r="F5" s="40">
        <v>2.4104794949836531E-3</v>
      </c>
      <c r="I5" s="22" t="s">
        <v>25</v>
      </c>
      <c r="J5" s="22">
        <v>0.67987477693918674</v>
      </c>
      <c r="K5" s="41"/>
      <c r="L5" s="41"/>
      <c r="M5" s="41"/>
      <c r="N5" s="41"/>
      <c r="O5" s="41"/>
      <c r="P5" s="41"/>
      <c r="Q5" s="41"/>
      <c r="R5" s="41"/>
      <c r="S5" s="5" t="s">
        <v>26</v>
      </c>
      <c r="T5" s="5" t="s">
        <v>50</v>
      </c>
      <c r="U5" s="41"/>
      <c r="V5" s="41"/>
      <c r="W5" s="41"/>
      <c r="X5" s="41"/>
    </row>
    <row r="6" spans="1:30" x14ac:dyDescent="0.25">
      <c r="A6" s="8">
        <f>данные!B6</f>
        <v>5</v>
      </c>
      <c r="B6" s="8">
        <f t="shared" si="0"/>
        <v>25</v>
      </c>
      <c r="C6" s="8">
        <f>данные!C6</f>
        <v>59.435400000000001</v>
      </c>
      <c r="D6" s="8">
        <f t="shared" si="1"/>
        <v>0.3261082812883585</v>
      </c>
      <c r="I6" s="22" t="s">
        <v>26</v>
      </c>
      <c r="J6" s="22">
        <v>0.66864231297214072</v>
      </c>
      <c r="K6" s="41"/>
      <c r="L6" s="41"/>
      <c r="M6" s="41"/>
      <c r="N6" s="41"/>
      <c r="O6" s="41"/>
      <c r="P6" s="41"/>
      <c r="Q6" s="41"/>
      <c r="R6" s="41"/>
      <c r="S6" s="5" t="s">
        <v>4</v>
      </c>
      <c r="T6" s="5">
        <f>V12^0.5</f>
        <v>0.65671569209868763</v>
      </c>
      <c r="U6" s="41"/>
      <c r="V6" s="41"/>
      <c r="W6" s="41"/>
      <c r="X6" s="41"/>
    </row>
    <row r="7" spans="1:30" x14ac:dyDescent="0.25">
      <c r="A7" s="8">
        <f>данные!B7</f>
        <v>6</v>
      </c>
      <c r="B7" s="8">
        <f t="shared" si="0"/>
        <v>36</v>
      </c>
      <c r="C7" s="8">
        <f>данные!C7</f>
        <v>58.735900000000001</v>
      </c>
      <c r="D7" s="8">
        <f t="shared" si="1"/>
        <v>2.1842338636541055E-3</v>
      </c>
      <c r="I7" s="22" t="s">
        <v>4</v>
      </c>
      <c r="J7" s="22">
        <v>0.65671562844838716</v>
      </c>
      <c r="K7" s="41"/>
      <c r="L7" s="41"/>
      <c r="M7" s="41"/>
      <c r="N7" s="41"/>
      <c r="O7" s="41"/>
      <c r="P7" s="41"/>
      <c r="Q7" s="41"/>
      <c r="R7" s="41"/>
      <c r="S7" s="5" t="s">
        <v>27</v>
      </c>
      <c r="T7" s="18">
        <f>данные!B61</f>
        <v>60</v>
      </c>
      <c r="U7" s="41"/>
      <c r="V7" s="41"/>
      <c r="W7" s="41"/>
      <c r="X7" s="41"/>
    </row>
    <row r="8" spans="1:30" ht="15.75" thickBot="1" x14ac:dyDescent="0.3">
      <c r="A8" s="8">
        <f>данные!B8</f>
        <v>7</v>
      </c>
      <c r="B8" s="8">
        <f t="shared" si="0"/>
        <v>49</v>
      </c>
      <c r="C8" s="8">
        <f>данные!C8</f>
        <v>58.84</v>
      </c>
      <c r="D8" s="8">
        <f t="shared" si="1"/>
        <v>1.8022674005331061E-2</v>
      </c>
      <c r="I8" s="23" t="s">
        <v>27</v>
      </c>
      <c r="J8" s="23">
        <v>60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2" t="s">
        <v>51</v>
      </c>
      <c r="X8" s="43">
        <f>FINV(0.05,T11,T12)</f>
        <v>3.158842719260647</v>
      </c>
    </row>
    <row r="9" spans="1:30" x14ac:dyDescent="0.25">
      <c r="A9" s="8">
        <f>данные!B9</f>
        <v>8</v>
      </c>
      <c r="B9" s="8">
        <f t="shared" si="0"/>
        <v>64</v>
      </c>
      <c r="C9" s="8">
        <f>данные!C9</f>
        <v>58.4285</v>
      </c>
      <c r="D9" s="8">
        <f t="shared" si="1"/>
        <v>4.2102142016506555E-2</v>
      </c>
      <c r="J9" s="41"/>
      <c r="K9" s="41"/>
      <c r="L9" s="41"/>
      <c r="M9" s="41"/>
      <c r="N9" s="41"/>
      <c r="O9" s="41"/>
      <c r="P9" s="41"/>
      <c r="Q9" s="41"/>
      <c r="R9" s="41"/>
      <c r="S9" s="126" t="s">
        <v>28</v>
      </c>
      <c r="T9" s="126"/>
      <c r="U9" s="126"/>
      <c r="V9" s="126"/>
      <c r="W9" s="126"/>
      <c r="X9" s="126"/>
    </row>
    <row r="10" spans="1:30" ht="15.75" thickBot="1" x14ac:dyDescent="0.3">
      <c r="A10" s="8">
        <f>данные!B10</f>
        <v>9</v>
      </c>
      <c r="B10" s="8">
        <f t="shared" si="0"/>
        <v>81</v>
      </c>
      <c r="C10" s="8">
        <f>данные!C10</f>
        <v>58.267699999999998</v>
      </c>
      <c r="D10" s="8">
        <f t="shared" si="1"/>
        <v>8.9248958652951835E-2</v>
      </c>
      <c r="I10" t="s">
        <v>28</v>
      </c>
      <c r="J10" s="41"/>
      <c r="K10" s="41"/>
      <c r="L10" s="41"/>
      <c r="M10" s="41"/>
      <c r="N10" s="41"/>
      <c r="O10" s="41"/>
      <c r="P10" s="41"/>
      <c r="Q10" s="41"/>
      <c r="R10" s="41"/>
      <c r="S10" s="26"/>
      <c r="T10" s="26" t="s">
        <v>33</v>
      </c>
      <c r="U10" s="26" t="s">
        <v>34</v>
      </c>
      <c r="V10" s="26" t="s">
        <v>35</v>
      </c>
      <c r="W10" s="26" t="s">
        <v>36</v>
      </c>
      <c r="X10" s="26" t="s">
        <v>37</v>
      </c>
    </row>
    <row r="11" spans="1:30" x14ac:dyDescent="0.25">
      <c r="A11" s="8">
        <f>данные!B11</f>
        <v>10</v>
      </c>
      <c r="B11" s="8">
        <f t="shared" si="0"/>
        <v>100</v>
      </c>
      <c r="C11" s="8">
        <f>данные!C11</f>
        <v>58.382199999999997</v>
      </c>
      <c r="D11" s="8">
        <f t="shared" si="1"/>
        <v>1.4841130375855705E-2</v>
      </c>
      <c r="I11" s="24"/>
      <c r="J11" s="24" t="s">
        <v>33</v>
      </c>
      <c r="K11" s="24" t="s">
        <v>34</v>
      </c>
      <c r="L11" s="24" t="s">
        <v>35</v>
      </c>
      <c r="M11" s="24" t="s">
        <v>36</v>
      </c>
      <c r="N11" s="24" t="s">
        <v>37</v>
      </c>
      <c r="O11" s="41"/>
      <c r="P11" s="41"/>
      <c r="Q11" s="41"/>
      <c r="R11" s="41"/>
      <c r="S11" s="5" t="s">
        <v>29</v>
      </c>
      <c r="T11" s="5">
        <f>J12</f>
        <v>2</v>
      </c>
      <c r="U11" s="5">
        <f>W84</f>
        <v>52.182599367708768</v>
      </c>
      <c r="V11" s="5">
        <f>U11/T11</f>
        <v>26.091299683854384</v>
      </c>
      <c r="W11" s="5">
        <f>V11/V12</f>
        <v>60.497987177131691</v>
      </c>
      <c r="X11" s="54">
        <f>FDIST(W11,T11,T12)</f>
        <v>8.0490245308594876E-15</v>
      </c>
    </row>
    <row r="12" spans="1:30" x14ac:dyDescent="0.25">
      <c r="A12" s="8">
        <f>данные!B12</f>
        <v>11</v>
      </c>
      <c r="B12" s="8">
        <f t="shared" si="0"/>
        <v>121</v>
      </c>
      <c r="C12" s="8">
        <f>данные!C12</f>
        <v>58.5456</v>
      </c>
      <c r="D12" s="8">
        <f t="shared" si="1"/>
        <v>9.8359438025080112E-3</v>
      </c>
      <c r="I12" s="22" t="s">
        <v>29</v>
      </c>
      <c r="J12" s="22">
        <v>2</v>
      </c>
      <c r="K12" s="22">
        <v>52.208184874376776</v>
      </c>
      <c r="L12" s="22">
        <v>26.104092437188388</v>
      </c>
      <c r="M12" s="22">
        <v>60.527661511651452</v>
      </c>
      <c r="N12" s="48">
        <v>7.9729122005625486E-15</v>
      </c>
      <c r="O12" s="41"/>
      <c r="P12" s="41"/>
      <c r="Q12" s="41"/>
      <c r="R12" s="41"/>
      <c r="S12" s="5" t="s">
        <v>30</v>
      </c>
      <c r="T12" s="18">
        <f>T7-T11-1</f>
        <v>57</v>
      </c>
      <c r="U12" s="5">
        <f>V84</f>
        <v>24.582703514173524</v>
      </c>
      <c r="V12" s="5">
        <f>U12/T12</f>
        <v>0.43127550024865829</v>
      </c>
      <c r="W12" s="20" t="s">
        <v>50</v>
      </c>
      <c r="X12" s="20" t="s">
        <v>50</v>
      </c>
    </row>
    <row r="13" spans="1:30" x14ac:dyDescent="0.25">
      <c r="A13" s="8">
        <f>данные!B13</f>
        <v>12</v>
      </c>
      <c r="B13" s="8">
        <f t="shared" si="0"/>
        <v>144</v>
      </c>
      <c r="C13" s="8">
        <f>данные!C13</f>
        <v>57.924100000000003</v>
      </c>
      <c r="D13" s="8">
        <f t="shared" si="1"/>
        <v>0.22047168740188983</v>
      </c>
      <c r="I13" s="22" t="s">
        <v>30</v>
      </c>
      <c r="J13" s="22">
        <v>57</v>
      </c>
      <c r="K13" s="22">
        <v>24.582698748956524</v>
      </c>
      <c r="L13" s="22">
        <v>0.43127541664836005</v>
      </c>
      <c r="M13" s="22"/>
      <c r="N13" s="22"/>
      <c r="O13" s="41"/>
      <c r="P13" s="41"/>
      <c r="Q13" s="41"/>
      <c r="R13" s="41"/>
      <c r="S13" s="5" t="s">
        <v>31</v>
      </c>
      <c r="T13" s="5">
        <f>SUM(T11:T12)</f>
        <v>59</v>
      </c>
      <c r="U13" s="5">
        <f>SUM(U11:U12)</f>
        <v>76.765302881882292</v>
      </c>
      <c r="V13" s="20" t="s">
        <v>50</v>
      </c>
      <c r="W13" s="20" t="s">
        <v>50</v>
      </c>
      <c r="X13" s="20" t="s">
        <v>50</v>
      </c>
    </row>
    <row r="14" spans="1:30" ht="15.75" thickBot="1" x14ac:dyDescent="0.3">
      <c r="A14" s="8">
        <f>данные!B14</f>
        <v>13</v>
      </c>
      <c r="B14" s="8">
        <f t="shared" si="0"/>
        <v>169</v>
      </c>
      <c r="C14" s="8">
        <f>данные!C14</f>
        <v>58.159399999999998</v>
      </c>
      <c r="D14" s="8">
        <f t="shared" si="1"/>
        <v>3.4702302504214931E-2</v>
      </c>
      <c r="I14" s="23" t="s">
        <v>31</v>
      </c>
      <c r="J14" s="23">
        <v>59</v>
      </c>
      <c r="K14" s="23">
        <v>76.790883623333301</v>
      </c>
      <c r="L14" s="23"/>
      <c r="M14" s="23"/>
      <c r="N14" s="23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 spans="1:30" ht="38.25" customHeight="1" thickBot="1" x14ac:dyDescent="0.3">
      <c r="A15" s="8">
        <f>данные!B15</f>
        <v>14</v>
      </c>
      <c r="B15" s="8">
        <f t="shared" si="0"/>
        <v>196</v>
      </c>
      <c r="C15" s="8">
        <f>данные!C15</f>
        <v>58.345500000000001</v>
      </c>
      <c r="D15" s="8">
        <f t="shared" si="1"/>
        <v>1.8448818408519634E-3</v>
      </c>
      <c r="J15" s="41"/>
      <c r="K15" s="41"/>
      <c r="L15" s="41"/>
      <c r="M15" s="41"/>
      <c r="N15" s="41"/>
      <c r="O15" s="41"/>
      <c r="P15" s="41"/>
      <c r="Q15" s="41"/>
      <c r="R15" s="41"/>
      <c r="S15" s="26"/>
      <c r="T15" s="16" t="s">
        <v>38</v>
      </c>
      <c r="U15" s="17" t="s">
        <v>4</v>
      </c>
      <c r="V15" s="16" t="s">
        <v>39</v>
      </c>
      <c r="W15" s="16" t="s">
        <v>40</v>
      </c>
      <c r="X15" s="16" t="s">
        <v>41</v>
      </c>
      <c r="Y15" s="16" t="s">
        <v>42</v>
      </c>
      <c r="Z15" s="16" t="s">
        <v>43</v>
      </c>
      <c r="AA15" s="16" t="s">
        <v>44</v>
      </c>
    </row>
    <row r="16" spans="1:30" x14ac:dyDescent="0.25">
      <c r="A16" s="8">
        <f>данные!B16</f>
        <v>15</v>
      </c>
      <c r="B16" s="8">
        <f t="shared" si="0"/>
        <v>225</v>
      </c>
      <c r="C16" s="8">
        <f>данные!C16</f>
        <v>58.538600000000002</v>
      </c>
      <c r="D16" s="8">
        <f t="shared" si="1"/>
        <v>7.5278214667334489E-2</v>
      </c>
      <c r="I16" s="24"/>
      <c r="J16" s="24" t="s">
        <v>38</v>
      </c>
      <c r="K16" s="24" t="s">
        <v>4</v>
      </c>
      <c r="L16" s="24" t="s">
        <v>39</v>
      </c>
      <c r="M16" s="24" t="s">
        <v>40</v>
      </c>
      <c r="N16" s="24" t="s">
        <v>41</v>
      </c>
      <c r="O16" s="24" t="s">
        <v>42</v>
      </c>
      <c r="P16" s="24" t="s">
        <v>43</v>
      </c>
      <c r="Q16" s="24" t="s">
        <v>44</v>
      </c>
      <c r="R16" s="53" t="s">
        <v>65</v>
      </c>
      <c r="S16" s="5" t="s">
        <v>32</v>
      </c>
      <c r="T16" s="5">
        <f>F3</f>
        <v>59.345181972074698</v>
      </c>
      <c r="U16" s="47">
        <f>(AC22/60*AD16)^0.5</f>
        <v>0.17170519368124665</v>
      </c>
      <c r="V16" s="5">
        <f>T16/U16</f>
        <v>345.62252136789198</v>
      </c>
      <c r="W16" s="5">
        <f>TDIST(V16,$T$12,2)</f>
        <v>2.2824999230212784E-96</v>
      </c>
      <c r="X16" s="5">
        <f>T16-$W$19*T11</f>
        <v>55.340251053492686</v>
      </c>
      <c r="Y16" s="5">
        <f>T16+$W$19*T11</f>
        <v>63.35011289065671</v>
      </c>
      <c r="Z16" s="5"/>
      <c r="AA16" s="5"/>
      <c r="AC16" t="s">
        <v>68</v>
      </c>
      <c r="AD16">
        <f>1+(AC23/AE23)</f>
        <v>4.101694915254237</v>
      </c>
    </row>
    <row r="17" spans="1:31" x14ac:dyDescent="0.25">
      <c r="A17" s="8">
        <f>данные!B17</f>
        <v>16</v>
      </c>
      <c r="B17" s="8">
        <f t="shared" si="0"/>
        <v>256</v>
      </c>
      <c r="C17" s="8">
        <f>данные!C17</f>
        <v>58.5839</v>
      </c>
      <c r="D17" s="8">
        <f t="shared" si="1"/>
        <v>0.12472514055802565</v>
      </c>
      <c r="I17" s="22" t="s">
        <v>32</v>
      </c>
      <c r="J17" s="22">
        <v>59.34517919929867</v>
      </c>
      <c r="K17" s="48">
        <v>0.26306500035750852</v>
      </c>
      <c r="L17" s="22">
        <v>225.59131438483971</v>
      </c>
      <c r="M17" s="22">
        <v>8.1570943895061252E-86</v>
      </c>
      <c r="N17" s="22">
        <v>58.818400626582026</v>
      </c>
      <c r="O17" s="22">
        <v>59.871957772015314</v>
      </c>
      <c r="P17" s="22">
        <v>58.818400626582026</v>
      </c>
      <c r="Q17" s="22">
        <v>59.871957772015314</v>
      </c>
      <c r="R17" s="53" t="s">
        <v>66</v>
      </c>
      <c r="S17" s="5" t="s">
        <v>45</v>
      </c>
      <c r="T17" s="5">
        <f>F4</f>
        <v>-0.10822057434479676</v>
      </c>
      <c r="U17" s="47">
        <f>(AC22/(60*AE23))^0.5</f>
        <v>4.8955495913886836E-3</v>
      </c>
      <c r="V17" s="5">
        <f>T17/U17</f>
        <v>-22.10590911695752</v>
      </c>
      <c r="W17" s="5" t="e">
        <f>TDIST(V17,$T$12,2)</f>
        <v>#NUM!</v>
      </c>
      <c r="X17" s="5">
        <f>T17-$W$19*T12</f>
        <v>-114.24875175393217</v>
      </c>
      <c r="Y17" s="5">
        <f t="shared" ref="Y17:Y18" si="2">T17+$W$19*T12</f>
        <v>114.03231060524257</v>
      </c>
      <c r="Z17" s="5"/>
      <c r="AA17" s="5"/>
    </row>
    <row r="18" spans="1:31" x14ac:dyDescent="0.25">
      <c r="A18" s="8">
        <f>данные!B18</f>
        <v>17</v>
      </c>
      <c r="B18" s="8">
        <f t="shared" si="0"/>
        <v>289</v>
      </c>
      <c r="C18" s="8">
        <f>данные!C18</f>
        <v>58.790399999999998</v>
      </c>
      <c r="D18" s="8">
        <f t="shared" si="1"/>
        <v>0.34614303512687816</v>
      </c>
      <c r="I18" s="22" t="s">
        <v>45</v>
      </c>
      <c r="J18" s="22">
        <v>-0.10825253587311522</v>
      </c>
      <c r="K18" s="48">
        <v>1.989871426843173E-2</v>
      </c>
      <c r="L18" s="22">
        <v>-5.4401774111029981</v>
      </c>
      <c r="M18" s="22">
        <v>1.1636998671048837E-6</v>
      </c>
      <c r="N18" s="22">
        <v>-0.14809902357377966</v>
      </c>
      <c r="O18" s="22">
        <v>-6.8406048172450773E-2</v>
      </c>
      <c r="P18" s="22">
        <v>-0.14809902357377966</v>
      </c>
      <c r="Q18" s="22">
        <v>-6.8406048172450773E-2</v>
      </c>
      <c r="R18" s="53" t="s">
        <v>67</v>
      </c>
      <c r="S18" s="5" t="s">
        <v>56</v>
      </c>
      <c r="T18" s="44">
        <f>F5</f>
        <v>2.4104794949836531E-3</v>
      </c>
      <c r="U18" s="51"/>
      <c r="V18" s="5" t="e">
        <f>T18/U18</f>
        <v>#DIV/0!</v>
      </c>
      <c r="W18" s="5" t="e">
        <f>TDIST(V18,$T$12,2)</f>
        <v>#DIV/0!</v>
      </c>
      <c r="X18" s="5">
        <f>T18-$W$19*T13</f>
        <v>-118.14305161867441</v>
      </c>
      <c r="Y18" s="5">
        <f t="shared" si="2"/>
        <v>118.14787257766437</v>
      </c>
      <c r="Z18" s="5"/>
      <c r="AA18" s="5"/>
    </row>
    <row r="19" spans="1:31" ht="15.75" thickBot="1" x14ac:dyDescent="0.3">
      <c r="A19" s="8">
        <f>данные!B19</f>
        <v>18</v>
      </c>
      <c r="B19" s="8">
        <f t="shared" si="0"/>
        <v>324</v>
      </c>
      <c r="C19" s="8">
        <f>данные!C19</f>
        <v>58.281999999999996</v>
      </c>
      <c r="D19" s="8">
        <f t="shared" si="1"/>
        <v>1.0772988874403493E-2</v>
      </c>
      <c r="I19" s="23" t="s">
        <v>56</v>
      </c>
      <c r="J19" s="23">
        <v>2.4111419684308562E-3</v>
      </c>
      <c r="K19" s="50">
        <v>3.1618205238990706E-4</v>
      </c>
      <c r="L19" s="23">
        <v>7.6258027620666526</v>
      </c>
      <c r="M19" s="23">
        <v>2.8814131634323964E-10</v>
      </c>
      <c r="N19" s="23">
        <v>1.7779983345372573E-3</v>
      </c>
      <c r="O19" s="23">
        <v>3.0442856023244549E-3</v>
      </c>
      <c r="P19" s="23">
        <v>1.7779983345372573E-3</v>
      </c>
      <c r="Q19" s="23">
        <v>3.0442856023244549E-3</v>
      </c>
      <c r="R19" s="41"/>
      <c r="S19" s="41"/>
      <c r="T19" s="41"/>
      <c r="U19" s="22"/>
      <c r="V19" s="45" t="s">
        <v>52</v>
      </c>
      <c r="W19" s="46">
        <f>TINV(0.05,T12)</f>
        <v>2.0024654592910065</v>
      </c>
      <c r="X19" s="41"/>
    </row>
    <row r="20" spans="1:31" x14ac:dyDescent="0.25">
      <c r="A20" s="8">
        <f>данные!B20</f>
        <v>19</v>
      </c>
      <c r="B20" s="8">
        <f t="shared" si="0"/>
        <v>361</v>
      </c>
      <c r="C20" s="8">
        <f>данные!C20</f>
        <v>57.995800000000003</v>
      </c>
      <c r="D20" s="8">
        <f t="shared" si="1"/>
        <v>2.6691115244945537E-2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31" x14ac:dyDescent="0.25">
      <c r="A21" s="8">
        <f>данные!B21</f>
        <v>20</v>
      </c>
      <c r="B21" s="8">
        <f t="shared" si="0"/>
        <v>400</v>
      </c>
      <c r="C21" s="8">
        <f>данные!C21</f>
        <v>58.158000000000001</v>
      </c>
      <c r="D21" s="8">
        <f t="shared" si="1"/>
        <v>1.6998206008130511E-4</v>
      </c>
      <c r="J21" s="41"/>
      <c r="K21" s="41"/>
      <c r="L21" s="41"/>
      <c r="M21" s="41"/>
      <c r="N21" s="41"/>
      <c r="O21" s="41"/>
      <c r="P21" s="41"/>
      <c r="Q21" s="41"/>
      <c r="R21" s="41"/>
      <c r="S21" s="41" t="s">
        <v>46</v>
      </c>
      <c r="T21" s="41"/>
      <c r="U21" s="41"/>
      <c r="V21" s="41"/>
      <c r="W21" s="41"/>
      <c r="X21" s="41"/>
      <c r="Y21" s="41"/>
      <c r="Z21" s="41"/>
      <c r="AA21" s="41"/>
    </row>
    <row r="22" spans="1:31" x14ac:dyDescent="0.25">
      <c r="A22" s="8">
        <f>данные!B22</f>
        <v>21</v>
      </c>
      <c r="B22" s="8">
        <f t="shared" si="0"/>
        <v>441</v>
      </c>
      <c r="C22" s="8">
        <f>данные!C22</f>
        <v>58.0764</v>
      </c>
      <c r="D22" s="8">
        <f t="shared" si="1"/>
        <v>3.5012508054005787E-3</v>
      </c>
      <c r="S22" s="15" t="s">
        <v>47</v>
      </c>
      <c r="T22" s="15" t="s">
        <v>48</v>
      </c>
      <c r="U22" s="15" t="s">
        <v>49</v>
      </c>
      <c r="V22" s="27" t="s">
        <v>62</v>
      </c>
      <c r="W22" s="27" t="s">
        <v>34</v>
      </c>
      <c r="X22" s="27"/>
      <c r="Y22" s="27"/>
      <c r="Z22" s="41"/>
      <c r="AA22" s="41"/>
      <c r="AB22" s="49"/>
      <c r="AC22" s="49">
        <f>(60*AE22)/57</f>
        <v>0.43127547240241765</v>
      </c>
      <c r="AD22" s="49"/>
      <c r="AE22" s="49">
        <f>VARPA(U23:U82)</f>
        <v>0.40971169878229674</v>
      </c>
    </row>
    <row r="23" spans="1:31" x14ac:dyDescent="0.25">
      <c r="A23" s="8">
        <f>данные!B23</f>
        <v>22</v>
      </c>
      <c r="B23" s="8">
        <f t="shared" si="0"/>
        <v>484</v>
      </c>
      <c r="C23" s="8">
        <f>данные!C23</f>
        <v>58.247199999999999</v>
      </c>
      <c r="D23" s="8">
        <f t="shared" si="1"/>
        <v>1.3502111838957491E-2</v>
      </c>
      <c r="I23" t="s">
        <v>46</v>
      </c>
      <c r="S23" s="5">
        <v>1</v>
      </c>
      <c r="T23" s="28">
        <f>$T$16+$T$17*S23+$T$18*S23^2</f>
        <v>59.239371877224883</v>
      </c>
      <c r="U23" s="5">
        <f>C2-T23</f>
        <v>-0.69967187722487978</v>
      </c>
      <c r="V23">
        <f>(T23-C2)^2</f>
        <v>0.48954073577938723</v>
      </c>
      <c r="W23">
        <f t="shared" ref="W23:W54" si="3">(T23-$T$96)^2</f>
        <v>5.2728052689748395E-2</v>
      </c>
      <c r="Y23" s="41"/>
      <c r="Z23" s="41"/>
      <c r="AA23" s="41"/>
      <c r="AB23" s="49"/>
      <c r="AC23" s="49">
        <f>(AVERAGE(A2:A61))^2</f>
        <v>930.25</v>
      </c>
      <c r="AD23" s="49"/>
      <c r="AE23" s="49">
        <f>VARPA(A2:A61)</f>
        <v>299.91666666666669</v>
      </c>
    </row>
    <row r="24" spans="1:31" ht="15.75" thickBot="1" x14ac:dyDescent="0.3">
      <c r="A24" s="8">
        <f>данные!B24</f>
        <v>23</v>
      </c>
      <c r="B24" s="8">
        <f t="shared" si="0"/>
        <v>529</v>
      </c>
      <c r="C24" s="8">
        <f>данные!C24</f>
        <v>58.390099999999997</v>
      </c>
      <c r="D24" s="8">
        <f t="shared" si="1"/>
        <v>6.7002072265132051E-2</v>
      </c>
      <c r="S24" s="5">
        <v>2</v>
      </c>
      <c r="T24" s="28">
        <f t="shared" ref="T24:T81" si="4">$T$16+$T$17*S24+$T$18*S24^2</f>
        <v>59.138382741365042</v>
      </c>
      <c r="U24" s="5">
        <f t="shared" ref="U24:U81" si="5">C3-T24</f>
        <v>-0.18988274136503946</v>
      </c>
      <c r="V24">
        <f t="shared" ref="V24:V82" si="6">(T24-C3)^2</f>
        <v>3.6055455468302466E-2</v>
      </c>
      <c r="W24">
        <f t="shared" si="3"/>
        <v>1.6547416382002366E-2</v>
      </c>
      <c r="Y24" s="41"/>
      <c r="Z24" s="41"/>
      <c r="AA24" s="41"/>
    </row>
    <row r="25" spans="1:31" x14ac:dyDescent="0.25">
      <c r="A25" s="8">
        <f>данные!B25</f>
        <v>24</v>
      </c>
      <c r="B25" s="8">
        <f t="shared" si="0"/>
        <v>576</v>
      </c>
      <c r="C25" s="8">
        <f>данные!C25</f>
        <v>58.229300000000002</v>
      </c>
      <c r="D25" s="8">
        <f t="shared" si="1"/>
        <v>8.6444664889443554E-3</v>
      </c>
      <c r="I25" s="24" t="s">
        <v>47</v>
      </c>
      <c r="J25" s="24" t="s">
        <v>48</v>
      </c>
      <c r="K25" s="24" t="s">
        <v>49</v>
      </c>
      <c r="S25" s="5">
        <v>3</v>
      </c>
      <c r="T25" s="28">
        <f t="shared" si="4"/>
        <v>59.042214564495161</v>
      </c>
      <c r="U25" s="5">
        <f t="shared" si="5"/>
        <v>-0.36401456449516445</v>
      </c>
      <c r="V25">
        <f t="shared" si="6"/>
        <v>0.13250660316460425</v>
      </c>
      <c r="W25">
        <f t="shared" si="3"/>
        <v>1.0542089810163871E-3</v>
      </c>
      <c r="Y25" s="41"/>
      <c r="Z25" s="41"/>
      <c r="AA25" s="41"/>
    </row>
    <row r="26" spans="1:31" x14ac:dyDescent="0.25">
      <c r="A26" s="8">
        <f>данные!B26</f>
        <v>25</v>
      </c>
      <c r="B26" s="8">
        <f t="shared" si="0"/>
        <v>625</v>
      </c>
      <c r="C26" s="8">
        <f>данные!C26</f>
        <v>58.738</v>
      </c>
      <c r="D26" s="8">
        <f t="shared" si="1"/>
        <v>0.35020676659997996</v>
      </c>
      <c r="I26" s="22">
        <v>1</v>
      </c>
      <c r="J26" s="22">
        <v>59.239337805393987</v>
      </c>
      <c r="K26" s="22">
        <v>-0.69963780539398357</v>
      </c>
      <c r="S26" s="5">
        <v>4</v>
      </c>
      <c r="T26" s="28">
        <f t="shared" si="4"/>
        <v>58.950867346615247</v>
      </c>
      <c r="U26" s="5">
        <f t="shared" si="5"/>
        <v>-0.45676734661524421</v>
      </c>
      <c r="V26">
        <f t="shared" si="6"/>
        <v>0.20863640893393065</v>
      </c>
      <c r="W26">
        <f t="shared" si="3"/>
        <v>3.4666934658161598E-3</v>
      </c>
      <c r="Y26" s="41"/>
      <c r="Z26" s="41"/>
      <c r="AA26" s="41"/>
    </row>
    <row r="27" spans="1:31" x14ac:dyDescent="0.25">
      <c r="A27" s="8">
        <f>данные!B27</f>
        <v>26</v>
      </c>
      <c r="B27" s="8">
        <f t="shared" si="0"/>
        <v>676</v>
      </c>
      <c r="C27" s="8">
        <f>данные!C27</f>
        <v>59.166499999999999</v>
      </c>
      <c r="D27" s="8">
        <f t="shared" si="1"/>
        <v>1.0111686563437325</v>
      </c>
      <c r="I27" s="22">
        <v>2</v>
      </c>
      <c r="J27" s="22">
        <v>59.138318695426157</v>
      </c>
      <c r="K27" s="22">
        <v>-0.1898186954261547</v>
      </c>
      <c r="S27" s="5">
        <v>5</v>
      </c>
      <c r="T27" s="28">
        <f t="shared" si="4"/>
        <v>58.8643410877253</v>
      </c>
      <c r="U27" s="5">
        <f t="shared" si="5"/>
        <v>0.57105891227470096</v>
      </c>
      <c r="V27">
        <f t="shared" si="6"/>
        <v>0.32610828128836461</v>
      </c>
      <c r="W27">
        <f t="shared" si="3"/>
        <v>2.1142582688921791E-2</v>
      </c>
      <c r="Y27" s="41"/>
      <c r="Z27" s="41"/>
      <c r="AA27" s="41"/>
    </row>
    <row r="28" spans="1:31" x14ac:dyDescent="0.25">
      <c r="A28" s="8">
        <f>данные!B28</f>
        <v>27</v>
      </c>
      <c r="B28" s="8">
        <f t="shared" si="0"/>
        <v>729</v>
      </c>
      <c r="C28" s="8">
        <f>данные!C28</f>
        <v>59.314799999999998</v>
      </c>
      <c r="D28" s="8">
        <f t="shared" si="1"/>
        <v>1.2867135858773482</v>
      </c>
      <c r="I28" s="22">
        <v>3</v>
      </c>
      <c r="J28" s="22">
        <v>59.042121869395203</v>
      </c>
      <c r="K28" s="22">
        <v>-0.36392186939520599</v>
      </c>
      <c r="S28" s="5">
        <v>6</v>
      </c>
      <c r="T28" s="28">
        <f t="shared" si="4"/>
        <v>58.782635787825335</v>
      </c>
      <c r="U28" s="5">
        <f t="shared" si="5"/>
        <v>-4.673578782533383E-2</v>
      </c>
      <c r="V28">
        <f t="shared" si="6"/>
        <v>2.184233863654622E-3</v>
      </c>
      <c r="W28">
        <f t="shared" si="3"/>
        <v>5.1579039376344595E-2</v>
      </c>
      <c r="Y28" s="41"/>
      <c r="Z28" s="41"/>
      <c r="AA28" s="41"/>
    </row>
    <row r="29" spans="1:31" x14ac:dyDescent="0.25">
      <c r="A29" s="8">
        <f>данные!B29</f>
        <v>28</v>
      </c>
      <c r="B29" s="8">
        <f t="shared" si="0"/>
        <v>784</v>
      </c>
      <c r="C29" s="8">
        <f>данные!C29</f>
        <v>59.7072</v>
      </c>
      <c r="D29" s="8">
        <f t="shared" si="1"/>
        <v>2.2571402123036126</v>
      </c>
      <c r="I29" s="22">
        <v>4</v>
      </c>
      <c r="J29" s="22">
        <v>58.950747327301102</v>
      </c>
      <c r="K29" s="22">
        <v>-0.45664732730109847</v>
      </c>
      <c r="S29" s="5">
        <v>7</v>
      </c>
      <c r="T29" s="28">
        <f t="shared" si="4"/>
        <v>58.705751446915322</v>
      </c>
      <c r="U29" s="5">
        <f t="shared" si="5"/>
        <v>0.13424855308468153</v>
      </c>
      <c r="V29">
        <f t="shared" si="6"/>
        <v>1.8022674005330554E-2</v>
      </c>
      <c r="W29">
        <f t="shared" si="3"/>
        <v>9.2412676127610727E-2</v>
      </c>
      <c r="Y29" s="41"/>
      <c r="Z29" s="41"/>
      <c r="AA29" s="41"/>
    </row>
    <row r="30" spans="1:31" x14ac:dyDescent="0.25">
      <c r="A30" s="8">
        <f>данные!B30</f>
        <v>29</v>
      </c>
      <c r="B30" s="8">
        <f t="shared" si="0"/>
        <v>841</v>
      </c>
      <c r="C30" s="8">
        <f>данные!C30</f>
        <v>58.715699999999998</v>
      </c>
      <c r="D30" s="8">
        <f t="shared" si="1"/>
        <v>0.23203626635685518</v>
      </c>
      <c r="I30" s="22">
        <v>5</v>
      </c>
      <c r="J30" s="22">
        <v>58.864195069143868</v>
      </c>
      <c r="K30" s="22">
        <v>0.57120493085613333</v>
      </c>
      <c r="S30" s="5">
        <v>8</v>
      </c>
      <c r="T30" s="28">
        <f t="shared" si="4"/>
        <v>58.633688064995276</v>
      </c>
      <c r="U30" s="5">
        <f t="shared" si="5"/>
        <v>-0.20518806499527642</v>
      </c>
      <c r="V30">
        <f t="shared" si="6"/>
        <v>4.2102142016505778E-2</v>
      </c>
      <c r="W30">
        <f t="shared" si="3"/>
        <v>0.14141955541572915</v>
      </c>
    </row>
    <row r="31" spans="1:31" x14ac:dyDescent="0.25">
      <c r="A31" s="8">
        <f>данные!B31</f>
        <v>30</v>
      </c>
      <c r="B31" s="8">
        <f t="shared" si="0"/>
        <v>900</v>
      </c>
      <c r="C31" s="8">
        <f>данные!C31</f>
        <v>58.269500000000001</v>
      </c>
      <c r="D31" s="8">
        <f t="shared" si="1"/>
        <v>2.2611521365161807E-6</v>
      </c>
      <c r="I31" s="22">
        <v>6</v>
      </c>
      <c r="J31" s="22">
        <v>58.782465094923488</v>
      </c>
      <c r="K31" s="22">
        <v>-4.6565094923487038E-2</v>
      </c>
      <c r="S31" s="5">
        <v>9</v>
      </c>
      <c r="T31" s="28">
        <f t="shared" si="4"/>
        <v>58.566445642065204</v>
      </c>
      <c r="U31" s="5">
        <f t="shared" si="5"/>
        <v>-0.2987456420652066</v>
      </c>
      <c r="V31">
        <f t="shared" si="6"/>
        <v>8.9248958652952542E-2</v>
      </c>
      <c r="W31">
        <f t="shared" si="3"/>
        <v>0.19651518958720435</v>
      </c>
    </row>
    <row r="32" spans="1:31" x14ac:dyDescent="0.25">
      <c r="A32" s="8">
        <f>данные!B32</f>
        <v>31</v>
      </c>
      <c r="B32" s="8">
        <f t="shared" si="0"/>
        <v>961</v>
      </c>
      <c r="C32" s="8">
        <f>данные!C32</f>
        <v>58.51</v>
      </c>
      <c r="D32" s="8">
        <f t="shared" si="1"/>
        <v>4.1284159640528999E-2</v>
      </c>
      <c r="I32" s="22">
        <v>7</v>
      </c>
      <c r="J32" s="22">
        <v>58.705557404639976</v>
      </c>
      <c r="K32" s="22">
        <v>0.13444259536002789</v>
      </c>
      <c r="S32" s="5">
        <v>10</v>
      </c>
      <c r="T32" s="28">
        <f t="shared" si="4"/>
        <v>58.5040241781251</v>
      </c>
      <c r="U32" s="5">
        <f t="shared" si="5"/>
        <v>-0.12182417812510238</v>
      </c>
      <c r="V32">
        <f t="shared" si="6"/>
        <v>1.4841130375856673E-2</v>
      </c>
      <c r="W32">
        <f t="shared" si="3"/>
        <v>0.25575454086204924</v>
      </c>
    </row>
    <row r="33" spans="1:23" x14ac:dyDescent="0.25">
      <c r="A33" s="8">
        <f>данные!B33</f>
        <v>32</v>
      </c>
      <c r="B33" s="8">
        <f t="shared" si="0"/>
        <v>1024</v>
      </c>
      <c r="C33" s="8">
        <f>данные!C33</f>
        <v>58.328200000000002</v>
      </c>
      <c r="D33" s="8">
        <f t="shared" si="1"/>
        <v>4.9526703887081745E-4</v>
      </c>
      <c r="I33" s="22">
        <v>8</v>
      </c>
      <c r="J33" s="22">
        <v>58.633471998293324</v>
      </c>
      <c r="K33" s="22">
        <v>-0.20497199829332402</v>
      </c>
      <c r="S33" s="5">
        <v>11</v>
      </c>
      <c r="T33" s="28">
        <f t="shared" si="4"/>
        <v>58.446423673174955</v>
      </c>
      <c r="U33" s="5">
        <f t="shared" si="5"/>
        <v>9.917632682504518E-2</v>
      </c>
      <c r="V33">
        <f t="shared" si="6"/>
        <v>9.835943802508176E-3</v>
      </c>
      <c r="W33">
        <f t="shared" si="3"/>
        <v>0.31733202133377819</v>
      </c>
    </row>
    <row r="34" spans="1:23" x14ac:dyDescent="0.25">
      <c r="A34" s="8">
        <f>данные!B34</f>
        <v>33</v>
      </c>
      <c r="B34" s="8">
        <f t="shared" si="0"/>
        <v>1089</v>
      </c>
      <c r="C34" s="8">
        <f>данные!C34</f>
        <v>58.428699999999999</v>
      </c>
      <c r="D34" s="8">
        <f t="shared" si="1"/>
        <v>8.8713498217480929E-4</v>
      </c>
      <c r="I34" s="22">
        <v>9</v>
      </c>
      <c r="J34" s="22">
        <v>58.566208875883532</v>
      </c>
      <c r="K34" s="22">
        <v>-0.29850887588353459</v>
      </c>
      <c r="S34" s="5">
        <v>12</v>
      </c>
      <c r="T34" s="28">
        <f t="shared" si="4"/>
        <v>58.393644127214785</v>
      </c>
      <c r="U34" s="5">
        <f t="shared" si="5"/>
        <v>-0.46954412721478178</v>
      </c>
      <c r="V34">
        <f t="shared" si="6"/>
        <v>0.22047168740189119</v>
      </c>
      <c r="W34">
        <f t="shared" si="3"/>
        <v>0.37958149296937982</v>
      </c>
    </row>
    <row r="35" spans="1:23" x14ac:dyDescent="0.25">
      <c r="A35" s="8">
        <f>данные!B35</f>
        <v>34</v>
      </c>
      <c r="B35" s="8">
        <f t="shared" si="0"/>
        <v>1156</v>
      </c>
      <c r="C35" s="8">
        <f>данные!C35</f>
        <v>58.076999999999998</v>
      </c>
      <c r="D35" s="8">
        <f t="shared" si="1"/>
        <v>0.14077259412138002</v>
      </c>
      <c r="I35" s="22">
        <v>10</v>
      </c>
      <c r="J35" s="22">
        <v>58.503768037410602</v>
      </c>
      <c r="K35" s="22">
        <v>-0.12156803741060429</v>
      </c>
      <c r="S35" s="5">
        <v>13</v>
      </c>
      <c r="T35" s="28">
        <f t="shared" si="4"/>
        <v>58.345685540244574</v>
      </c>
      <c r="U35" s="5">
        <f t="shared" si="5"/>
        <v>-0.186285540244576</v>
      </c>
      <c r="V35">
        <f t="shared" si="6"/>
        <v>3.4702302504213543E-2</v>
      </c>
      <c r="W35">
        <f t="shared" si="3"/>
        <v>0.44097626760937236</v>
      </c>
    </row>
    <row r="36" spans="1:23" x14ac:dyDescent="0.25">
      <c r="A36" s="8">
        <f>данные!B36</f>
        <v>35</v>
      </c>
      <c r="B36" s="8">
        <f t="shared" si="0"/>
        <v>1225</v>
      </c>
      <c r="C36" s="8">
        <f>данные!C36</f>
        <v>58.186500000000002</v>
      </c>
      <c r="D36" s="8">
        <f t="shared" si="1"/>
        <v>0.10484595518245178</v>
      </c>
      <c r="I36" s="22">
        <v>11</v>
      </c>
      <c r="J36" s="22">
        <v>58.446149482874539</v>
      </c>
      <c r="K36" s="22">
        <v>9.9450517125461602E-2</v>
      </c>
      <c r="S36" s="5">
        <v>14</v>
      </c>
      <c r="T36" s="28">
        <f t="shared" si="4"/>
        <v>58.302547912264345</v>
      </c>
      <c r="U36" s="5">
        <f t="shared" si="5"/>
        <v>4.2952087735656619E-2</v>
      </c>
      <c r="V36">
        <f t="shared" si="6"/>
        <v>1.8448818408515438E-3</v>
      </c>
      <c r="W36">
        <f t="shared" si="3"/>
        <v>0.50012910696772694</v>
      </c>
    </row>
    <row r="37" spans="1:23" x14ac:dyDescent="0.25">
      <c r="A37" s="8">
        <f>данные!B37</f>
        <v>36</v>
      </c>
      <c r="B37" s="8">
        <f t="shared" si="0"/>
        <v>1296</v>
      </c>
      <c r="C37" s="8">
        <f>данные!C37</f>
        <v>58.692300000000003</v>
      </c>
      <c r="D37" s="8">
        <f t="shared" si="1"/>
        <v>1.417939833574236E-2</v>
      </c>
      <c r="I37" s="22">
        <v>12</v>
      </c>
      <c r="J37" s="22">
        <v>58.393353212275336</v>
      </c>
      <c r="K37" s="22">
        <v>-0.46925321227533345</v>
      </c>
      <c r="S37" s="5">
        <v>15</v>
      </c>
      <c r="T37" s="28">
        <f t="shared" si="4"/>
        <v>58.264231243274068</v>
      </c>
      <c r="U37" s="5">
        <f t="shared" si="5"/>
        <v>0.2743687567259343</v>
      </c>
      <c r="V37">
        <f t="shared" si="6"/>
        <v>7.527821466733492E-2</v>
      </c>
      <c r="W37">
        <f t="shared" si="3"/>
        <v>0.55579222263197925</v>
      </c>
    </row>
    <row r="38" spans="1:23" x14ac:dyDescent="0.25">
      <c r="A38" s="8">
        <f>данные!B38</f>
        <v>37</v>
      </c>
      <c r="B38" s="8">
        <f t="shared" si="0"/>
        <v>1369</v>
      </c>
      <c r="C38" s="8">
        <f>данные!C38</f>
        <v>58.800699999999999</v>
      </c>
      <c r="D38" s="8">
        <f t="shared" si="1"/>
        <v>2.5514583385146908E-2</v>
      </c>
      <c r="I38" s="22">
        <v>13</v>
      </c>
      <c r="J38" s="22">
        <v>58.345379225612987</v>
      </c>
      <c r="K38" s="22">
        <v>-0.1859792256129893</v>
      </c>
      <c r="S38" s="5">
        <v>16</v>
      </c>
      <c r="T38" s="28">
        <f t="shared" si="4"/>
        <v>58.230735533273766</v>
      </c>
      <c r="U38" s="5">
        <f t="shared" si="5"/>
        <v>0.35316446672623414</v>
      </c>
      <c r="V38">
        <f t="shared" si="6"/>
        <v>0.12472514055802535</v>
      </c>
      <c r="W38">
        <f t="shared" si="3"/>
        <v>0.60685727606309381</v>
      </c>
    </row>
    <row r="39" spans="1:23" x14ac:dyDescent="0.25">
      <c r="A39" s="8">
        <f>данные!B39</f>
        <v>38</v>
      </c>
      <c r="B39" s="8">
        <f t="shared" si="0"/>
        <v>1444</v>
      </c>
      <c r="C39" s="8">
        <f>данные!C39</f>
        <v>58.797199999999997</v>
      </c>
      <c r="D39" s="8">
        <f t="shared" si="1"/>
        <v>7.0002442428994298E-3</v>
      </c>
      <c r="I39" s="22">
        <v>14</v>
      </c>
      <c r="J39" s="22">
        <v>58.302227522887506</v>
      </c>
      <c r="K39" s="22">
        <v>4.3272477112495267E-2</v>
      </c>
      <c r="S39" s="5">
        <v>17</v>
      </c>
      <c r="T39" s="28">
        <f t="shared" si="4"/>
        <v>58.202060782263423</v>
      </c>
      <c r="U39" s="5">
        <f t="shared" si="5"/>
        <v>0.58833921773657494</v>
      </c>
      <c r="V39">
        <f t="shared" si="6"/>
        <v>0.34614303512688493</v>
      </c>
      <c r="W39">
        <f t="shared" si="3"/>
        <v>0.65235537859558446</v>
      </c>
    </row>
    <row r="40" spans="1:23" x14ac:dyDescent="0.25">
      <c r="A40" s="8">
        <f>данные!B40</f>
        <v>39</v>
      </c>
      <c r="B40" s="8">
        <f t="shared" si="0"/>
        <v>1521</v>
      </c>
      <c r="C40" s="8">
        <f>данные!C40</f>
        <v>58.825200000000002</v>
      </c>
      <c r="D40" s="8">
        <f t="shared" si="1"/>
        <v>1.1751948800780567E-3</v>
      </c>
      <c r="I40" s="22">
        <v>15</v>
      </c>
      <c r="J40" s="22">
        <v>58.263898104098885</v>
      </c>
      <c r="K40" s="22">
        <v>0.27470189590111715</v>
      </c>
      <c r="S40" s="5">
        <v>18</v>
      </c>
      <c r="T40" s="28">
        <f t="shared" si="4"/>
        <v>58.178206990243062</v>
      </c>
      <c r="U40" s="5">
        <f t="shared" si="5"/>
        <v>0.1037930097569344</v>
      </c>
      <c r="V40">
        <f t="shared" si="6"/>
        <v>1.0772988874403078E-2</v>
      </c>
      <c r="W40">
        <f t="shared" si="3"/>
        <v>0.69145709143740663</v>
      </c>
    </row>
    <row r="41" spans="1:23" x14ac:dyDescent="0.25">
      <c r="A41" s="8">
        <f>данные!B41</f>
        <v>40</v>
      </c>
      <c r="B41" s="8">
        <f t="shared" si="0"/>
        <v>1600</v>
      </c>
      <c r="C41" s="8">
        <f>данные!C41</f>
        <v>58.653399999999998</v>
      </c>
      <c r="D41" s="8">
        <f t="shared" si="1"/>
        <v>4.8279598684712322E-2</v>
      </c>
      <c r="I41" s="22">
        <v>16</v>
      </c>
      <c r="J41" s="22">
        <v>58.230390969247132</v>
      </c>
      <c r="K41" s="22">
        <v>0.35350903075286766</v>
      </c>
      <c r="S41" s="5">
        <v>19</v>
      </c>
      <c r="T41" s="28">
        <f t="shared" si="4"/>
        <v>58.159174157212661</v>
      </c>
      <c r="U41" s="5">
        <f t="shared" si="5"/>
        <v>-0.16337415721265813</v>
      </c>
      <c r="V41">
        <f t="shared" si="6"/>
        <v>2.6691115244946335E-2</v>
      </c>
      <c r="W41">
        <f t="shared" si="3"/>
        <v>0.72347242567008252</v>
      </c>
    </row>
    <row r="42" spans="1:23" x14ac:dyDescent="0.25">
      <c r="A42" s="8">
        <f>данные!B42</f>
        <v>41</v>
      </c>
      <c r="B42" s="8">
        <f t="shared" si="0"/>
        <v>1681</v>
      </c>
      <c r="C42" s="8">
        <f>данные!C42</f>
        <v>58.409700000000001</v>
      </c>
      <c r="D42" s="8">
        <f t="shared" si="1"/>
        <v>0.30300010703545893</v>
      </c>
      <c r="I42" s="22">
        <v>17</v>
      </c>
      <c r="J42" s="22">
        <v>58.201706118332226</v>
      </c>
      <c r="K42" s="22">
        <v>0.5886938816677727</v>
      </c>
      <c r="S42" s="5">
        <v>20</v>
      </c>
      <c r="T42" s="28">
        <f t="shared" si="4"/>
        <v>58.144962283172227</v>
      </c>
      <c r="U42" s="5">
        <f t="shared" si="5"/>
        <v>1.3037716827774659E-2</v>
      </c>
      <c r="V42">
        <f t="shared" si="6"/>
        <v>1.6998206008123851E-4</v>
      </c>
      <c r="W42">
        <f t="shared" si="3"/>
        <v>0.74785084224858578</v>
      </c>
    </row>
    <row r="43" spans="1:23" x14ac:dyDescent="0.25">
      <c r="A43" s="8">
        <f>данные!B43</f>
        <v>42</v>
      </c>
      <c r="B43" s="8">
        <f t="shared" si="0"/>
        <v>1764</v>
      </c>
      <c r="C43" s="8">
        <f>данные!C43</f>
        <v>58.768599999999999</v>
      </c>
      <c r="D43" s="8">
        <f t="shared" si="1"/>
        <v>8.0317645125858622E-2</v>
      </c>
      <c r="I43" s="22">
        <v>18</v>
      </c>
      <c r="J43" s="22">
        <v>58.177843551354194</v>
      </c>
      <c r="K43" s="22">
        <v>0.10415644864580287</v>
      </c>
      <c r="S43" s="5">
        <v>21</v>
      </c>
      <c r="T43" s="28">
        <f t="shared" si="4"/>
        <v>58.135571368121752</v>
      </c>
      <c r="U43" s="5">
        <f t="shared" si="5"/>
        <v>-5.9171368121752721E-2</v>
      </c>
      <c r="V43">
        <f t="shared" si="6"/>
        <v>3.5012508053999742E-3</v>
      </c>
      <c r="W43">
        <f t="shared" si="3"/>
        <v>0.76418125200141174</v>
      </c>
    </row>
    <row r="44" spans="1:23" x14ac:dyDescent="0.25">
      <c r="A44" s="8">
        <f>данные!B44</f>
        <v>43</v>
      </c>
      <c r="B44" s="8">
        <f t="shared" si="0"/>
        <v>1849</v>
      </c>
      <c r="C44" s="8">
        <f>данные!C44</f>
        <v>59.118099999999998</v>
      </c>
      <c r="D44" s="8">
        <f t="shared" si="1"/>
        <v>9.34761005383283E-4</v>
      </c>
      <c r="I44" s="22">
        <v>19</v>
      </c>
      <c r="J44" s="22">
        <v>58.158803268313022</v>
      </c>
      <c r="K44" s="22">
        <v>-0.16300326831301959</v>
      </c>
      <c r="S44" s="5">
        <v>22</v>
      </c>
      <c r="T44" s="28">
        <f t="shared" si="4"/>
        <v>58.131001412061259</v>
      </c>
      <c r="U44" s="5">
        <f t="shared" si="5"/>
        <v>0.11619858793874016</v>
      </c>
      <c r="V44">
        <f t="shared" si="6"/>
        <v>1.350211183895713E-2</v>
      </c>
      <c r="W44">
        <f t="shared" si="3"/>
        <v>0.77219201563050388</v>
      </c>
    </row>
    <row r="45" spans="1:23" x14ac:dyDescent="0.25">
      <c r="A45" s="8">
        <f>данные!B45</f>
        <v>44</v>
      </c>
      <c r="B45" s="8">
        <f t="shared" si="0"/>
        <v>1936</v>
      </c>
      <c r="C45" s="8">
        <f>данные!C45</f>
        <v>59.046799999999998</v>
      </c>
      <c r="D45" s="8">
        <f t="shared" si="1"/>
        <v>4.1357324523280461E-2</v>
      </c>
      <c r="I45" s="22">
        <v>20</v>
      </c>
      <c r="J45" s="22">
        <v>58.144585269208704</v>
      </c>
      <c r="K45" s="22">
        <v>1.3414730791296847E-2</v>
      </c>
      <c r="S45" s="5">
        <v>23</v>
      </c>
      <c r="T45" s="28">
        <f t="shared" si="4"/>
        <v>58.131252414990726</v>
      </c>
      <c r="U45" s="5">
        <f t="shared" si="5"/>
        <v>0.25884758500927063</v>
      </c>
      <c r="V45">
        <f t="shared" si="6"/>
        <v>6.7002072265131579E-2</v>
      </c>
      <c r="W45">
        <f t="shared" si="3"/>
        <v>0.77175094371137765</v>
      </c>
    </row>
    <row r="46" spans="1:23" x14ac:dyDescent="0.25">
      <c r="A46" s="8">
        <f>данные!B46</f>
        <v>45</v>
      </c>
      <c r="B46" s="8">
        <f t="shared" si="0"/>
        <v>2025</v>
      </c>
      <c r="C46" s="8">
        <f>данные!C46</f>
        <v>59.326000000000001</v>
      </c>
      <c r="D46" s="8">
        <f t="shared" si="1"/>
        <v>9.2885386217660213E-4</v>
      </c>
      <c r="I46" s="22">
        <v>21</v>
      </c>
      <c r="J46" s="22">
        <v>58.135189554041254</v>
      </c>
      <c r="K46" s="22">
        <v>-5.8789554041254632E-2</v>
      </c>
      <c r="S46" s="5">
        <v>24</v>
      </c>
      <c r="T46" s="28">
        <f t="shared" si="4"/>
        <v>58.13632437691016</v>
      </c>
      <c r="U46" s="5">
        <f t="shared" si="5"/>
        <v>9.2975623089841974E-2</v>
      </c>
      <c r="V46">
        <f t="shared" si="6"/>
        <v>8.6444664889443554E-3</v>
      </c>
      <c r="W46">
        <f t="shared" si="3"/>
        <v>0.76286529669299663</v>
      </c>
    </row>
    <row r="47" spans="1:23" x14ac:dyDescent="0.25">
      <c r="A47" s="8">
        <f>данные!B47</f>
        <v>46</v>
      </c>
      <c r="B47" s="8">
        <f t="shared" si="0"/>
        <v>2116</v>
      </c>
      <c r="C47" s="8">
        <f>данные!C47</f>
        <v>58.816099999999999</v>
      </c>
      <c r="D47" s="8">
        <f t="shared" si="1"/>
        <v>0.42446549327339311</v>
      </c>
      <c r="I47" s="22">
        <v>22</v>
      </c>
      <c r="J47" s="22">
        <v>58.130616122810672</v>
      </c>
      <c r="K47" s="22">
        <v>0.11658387718932772</v>
      </c>
      <c r="S47" s="5">
        <v>25</v>
      </c>
      <c r="T47" s="28">
        <f t="shared" si="4"/>
        <v>58.146217297819561</v>
      </c>
      <c r="U47" s="5">
        <f t="shared" si="5"/>
        <v>0.59178270218043849</v>
      </c>
      <c r="V47">
        <f t="shared" si="6"/>
        <v>0.35020676659998157</v>
      </c>
      <c r="W47">
        <f t="shared" si="3"/>
        <v>0.74568178489783432</v>
      </c>
    </row>
    <row r="48" spans="1:23" x14ac:dyDescent="0.25">
      <c r="A48" s="8">
        <f>данные!B48</f>
        <v>47</v>
      </c>
      <c r="B48" s="8">
        <f t="shared" si="0"/>
        <v>2209</v>
      </c>
      <c r="C48" s="8">
        <f>данные!C48</f>
        <v>58.817700000000002</v>
      </c>
      <c r="D48" s="8">
        <f t="shared" si="1"/>
        <v>0.58654794571187829</v>
      </c>
      <c r="I48" s="22">
        <v>23</v>
      </c>
      <c r="J48" s="22">
        <v>58.130864975516943</v>
      </c>
      <c r="K48" s="22">
        <v>0.25923502448305413</v>
      </c>
      <c r="S48" s="5">
        <v>26</v>
      </c>
      <c r="T48" s="28">
        <f t="shared" si="4"/>
        <v>58.160931177718936</v>
      </c>
      <c r="U48" s="5">
        <f t="shared" si="5"/>
        <v>1.005568822281063</v>
      </c>
      <c r="V48">
        <f t="shared" si="6"/>
        <v>1.0111686563437241</v>
      </c>
      <c r="W48">
        <f t="shared" si="3"/>
        <v>0.72048656852184989</v>
      </c>
    </row>
    <row r="49" spans="1:23" x14ac:dyDescent="0.25">
      <c r="A49" s="8">
        <f>данные!B49</f>
        <v>48</v>
      </c>
      <c r="B49" s="8">
        <f t="shared" si="0"/>
        <v>2304</v>
      </c>
      <c r="C49" s="8">
        <f>данные!C49</f>
        <v>58.545200000000001</v>
      </c>
      <c r="D49" s="8">
        <f t="shared" si="1"/>
        <v>1.343603592168513</v>
      </c>
      <c r="I49" s="22">
        <v>24</v>
      </c>
      <c r="J49" s="22">
        <v>58.135936112160074</v>
      </c>
      <c r="K49" s="22">
        <v>9.3363887839927884E-2</v>
      </c>
      <c r="S49" s="5">
        <v>27</v>
      </c>
      <c r="T49" s="28">
        <f t="shared" si="4"/>
        <v>58.180466016608271</v>
      </c>
      <c r="U49" s="5">
        <f t="shared" si="5"/>
        <v>1.134333983391727</v>
      </c>
      <c r="V49">
        <f t="shared" si="6"/>
        <v>1.2867135858773426</v>
      </c>
      <c r="W49">
        <f t="shared" si="3"/>
        <v>0.68770525763453672</v>
      </c>
    </row>
    <row r="50" spans="1:23" x14ac:dyDescent="0.25">
      <c r="A50" s="8">
        <f>данные!B50</f>
        <v>49</v>
      </c>
      <c r="B50" s="8">
        <f t="shared" si="0"/>
        <v>2401</v>
      </c>
      <c r="C50" s="8">
        <f>данные!C50</f>
        <v>58.379600000000003</v>
      </c>
      <c r="D50" s="8">
        <f t="shared" si="1"/>
        <v>2.1034718925324283</v>
      </c>
      <c r="I50" s="22">
        <v>25</v>
      </c>
      <c r="J50" s="22">
        <v>58.145829532740073</v>
      </c>
      <c r="K50" s="22">
        <v>0.59217046725992617</v>
      </c>
      <c r="S50" s="5">
        <v>28</v>
      </c>
      <c r="T50" s="28">
        <f t="shared" si="4"/>
        <v>58.204821814487573</v>
      </c>
      <c r="U50" s="5">
        <f t="shared" si="5"/>
        <v>1.502378185512427</v>
      </c>
      <c r="V50">
        <f t="shared" si="6"/>
        <v>2.2571402123036126</v>
      </c>
      <c r="W50">
        <f t="shared" si="3"/>
        <v>0.64790291217884921</v>
      </c>
    </row>
    <row r="51" spans="1:23" x14ac:dyDescent="0.25">
      <c r="A51" s="8">
        <f>данные!B51</f>
        <v>50</v>
      </c>
      <c r="B51" s="8">
        <f t="shared" si="0"/>
        <v>2500</v>
      </c>
      <c r="C51" s="8">
        <f>данные!C51</f>
        <v>58.488100000000003</v>
      </c>
      <c r="D51" s="8">
        <f t="shared" si="1"/>
        <v>2.1675259288136228</v>
      </c>
      <c r="I51" s="22">
        <v>26</v>
      </c>
      <c r="J51" s="22">
        <v>58.160545237256933</v>
      </c>
      <c r="K51" s="22">
        <v>1.0059547627430661</v>
      </c>
      <c r="S51" s="5">
        <v>29</v>
      </c>
      <c r="T51" s="28">
        <f t="shared" si="4"/>
        <v>58.23399857135685</v>
      </c>
      <c r="U51" s="5">
        <f t="shared" si="5"/>
        <v>0.48170142864314869</v>
      </c>
      <c r="V51">
        <f t="shared" si="6"/>
        <v>0.23203626635685046</v>
      </c>
      <c r="W51">
        <f t="shared" si="3"/>
        <v>0.60178404197124036</v>
      </c>
    </row>
    <row r="52" spans="1:23" x14ac:dyDescent="0.25">
      <c r="A52" s="8">
        <f>данные!B52</f>
        <v>51</v>
      </c>
      <c r="B52" s="8">
        <f t="shared" si="0"/>
        <v>2601</v>
      </c>
      <c r="C52" s="8">
        <f>данные!C52</f>
        <v>58.751100000000001</v>
      </c>
      <c r="D52" s="8">
        <f t="shared" si="1"/>
        <v>1.8076529485315851</v>
      </c>
      <c r="I52" s="22">
        <v>27</v>
      </c>
      <c r="J52" s="22">
        <v>58.180083225710653</v>
      </c>
      <c r="K52" s="22">
        <v>1.1347167742893447</v>
      </c>
      <c r="S52" s="5">
        <v>30</v>
      </c>
      <c r="T52" s="28">
        <f t="shared" si="4"/>
        <v>58.267996287216086</v>
      </c>
      <c r="U52" s="5">
        <f t="shared" si="5"/>
        <v>1.5037127839150344E-3</v>
      </c>
      <c r="V52">
        <f t="shared" si="6"/>
        <v>2.2611521365095027E-6</v>
      </c>
      <c r="W52">
        <f t="shared" si="3"/>
        <v>0.5501926067016949</v>
      </c>
    </row>
    <row r="53" spans="1:23" x14ac:dyDescent="0.25">
      <c r="A53" s="8">
        <f>данные!B53</f>
        <v>52</v>
      </c>
      <c r="B53" s="8">
        <f t="shared" si="0"/>
        <v>2704</v>
      </c>
      <c r="C53" s="8">
        <f>данные!C53</f>
        <v>59.342399999999998</v>
      </c>
      <c r="D53" s="8">
        <f t="shared" si="1"/>
        <v>0.79789316962987022</v>
      </c>
      <c r="I53" s="22">
        <v>28</v>
      </c>
      <c r="J53" s="22">
        <v>58.204443498101234</v>
      </c>
      <c r="K53" s="22">
        <v>1.5027565018987659</v>
      </c>
      <c r="S53" s="5">
        <v>31</v>
      </c>
      <c r="T53" s="28">
        <f t="shared" si="4"/>
        <v>58.306814962065289</v>
      </c>
      <c r="U53" s="5">
        <f t="shared" si="5"/>
        <v>0.2031850379347091</v>
      </c>
      <c r="V53">
        <f t="shared" si="6"/>
        <v>4.1284159640529179E-2</v>
      </c>
      <c r="W53">
        <f t="shared" si="3"/>
        <v>0.49411201593366072</v>
      </c>
    </row>
    <row r="54" spans="1:23" x14ac:dyDescent="0.25">
      <c r="A54" s="8">
        <f>данные!B54</f>
        <v>53</v>
      </c>
      <c r="B54" s="8">
        <f t="shared" si="0"/>
        <v>2809</v>
      </c>
      <c r="C54" s="8">
        <f>данные!C54</f>
        <v>59.726900000000001</v>
      </c>
      <c r="D54" s="8">
        <f t="shared" si="1"/>
        <v>0.42723012869997162</v>
      </c>
      <c r="I54" s="22">
        <v>29</v>
      </c>
      <c r="J54" s="22">
        <v>58.233626054428676</v>
      </c>
      <c r="K54" s="22">
        <v>0.48207394557132233</v>
      </c>
      <c r="S54" s="5">
        <v>32</v>
      </c>
      <c r="T54" s="28">
        <f t="shared" si="4"/>
        <v>58.350454595904459</v>
      </c>
      <c r="U54" s="5">
        <f t="shared" si="5"/>
        <v>-2.2254595904456664E-2</v>
      </c>
      <c r="V54">
        <f t="shared" si="6"/>
        <v>4.9526703887065938E-4</v>
      </c>
      <c r="W54">
        <f t="shared" si="3"/>
        <v>0.43466512910409522</v>
      </c>
    </row>
    <row r="55" spans="1:23" x14ac:dyDescent="0.25">
      <c r="A55" s="8">
        <f>данные!B55</f>
        <v>54</v>
      </c>
      <c r="B55" s="8">
        <f t="shared" si="0"/>
        <v>2916</v>
      </c>
      <c r="C55" s="8">
        <f>данные!C55</f>
        <v>60.230699999999999</v>
      </c>
      <c r="D55" s="8">
        <f t="shared" si="1"/>
        <v>8.9717720582563359E-2</v>
      </c>
      <c r="I55" s="22">
        <v>30</v>
      </c>
      <c r="J55" s="22">
        <v>58.267630894692985</v>
      </c>
      <c r="K55" s="22">
        <v>1.8691053070156727E-3</v>
      </c>
      <c r="S55" s="5">
        <v>33</v>
      </c>
      <c r="T55" s="28">
        <f t="shared" si="4"/>
        <v>58.398915188733596</v>
      </c>
      <c r="U55" s="5">
        <f t="shared" si="5"/>
        <v>2.9784811266402755E-2</v>
      </c>
      <c r="V55">
        <f t="shared" si="6"/>
        <v>8.8713498217523246E-4</v>
      </c>
      <c r="W55">
        <f t="shared" ref="W55:W82" si="7">(T55-$T$96)^2</f>
        <v>0.37311425552345318</v>
      </c>
    </row>
    <row r="56" spans="1:23" x14ac:dyDescent="0.25">
      <c r="A56" s="8">
        <f>данные!B56</f>
        <v>55</v>
      </c>
      <c r="B56" s="8">
        <f t="shared" si="0"/>
        <v>3025</v>
      </c>
      <c r="C56" s="8">
        <f>данные!C56</f>
        <v>61.222000000000001</v>
      </c>
      <c r="D56" s="8">
        <f t="shared" si="1"/>
        <v>0.28863664333429262</v>
      </c>
      <c r="I56" s="22">
        <v>31</v>
      </c>
      <c r="J56" s="22">
        <v>58.306458018894148</v>
      </c>
      <c r="K56" s="22">
        <v>0.20354198110585031</v>
      </c>
      <c r="S56" s="5">
        <v>34</v>
      </c>
      <c r="T56" s="28">
        <f t="shared" si="4"/>
        <v>58.452196740552715</v>
      </c>
      <c r="U56" s="5">
        <f t="shared" si="5"/>
        <v>-0.37519674055271679</v>
      </c>
      <c r="V56">
        <f t="shared" si="6"/>
        <v>0.14077259412138268</v>
      </c>
      <c r="W56">
        <f t="shared" si="7"/>
        <v>0.31086115437567141</v>
      </c>
    </row>
    <row r="57" spans="1:23" x14ac:dyDescent="0.25">
      <c r="A57" s="8">
        <f>данные!B57</f>
        <v>56</v>
      </c>
      <c r="B57" s="8">
        <f t="shared" si="0"/>
        <v>3136</v>
      </c>
      <c r="C57" s="8">
        <f>данные!C57</f>
        <v>61.664299999999997</v>
      </c>
      <c r="D57" s="8">
        <f t="shared" si="1"/>
        <v>0.67273869438306688</v>
      </c>
      <c r="I57" s="22">
        <v>32</v>
      </c>
      <c r="J57" s="22">
        <v>58.350107427032178</v>
      </c>
      <c r="K57" s="22">
        <v>-2.1907427032175519E-2</v>
      </c>
      <c r="S57" s="5">
        <v>35</v>
      </c>
      <c r="T57" s="28">
        <f t="shared" si="4"/>
        <v>58.510299251361786</v>
      </c>
      <c r="U57" s="5">
        <f t="shared" si="5"/>
        <v>-0.323799251361784</v>
      </c>
      <c r="V57">
        <f t="shared" si="6"/>
        <v>0.10484595518245178</v>
      </c>
      <c r="W57">
        <f t="shared" si="7"/>
        <v>0.24944703471823351</v>
      </c>
    </row>
    <row r="58" spans="1:23" x14ac:dyDescent="0.25">
      <c r="A58" s="8">
        <f>данные!B58</f>
        <v>57</v>
      </c>
      <c r="B58" s="8">
        <f t="shared" si="0"/>
        <v>3249</v>
      </c>
      <c r="C58" s="8">
        <f>данные!C58</f>
        <v>62.333799999999997</v>
      </c>
      <c r="D58" s="8">
        <f t="shared" si="1"/>
        <v>1.7570639436242015</v>
      </c>
      <c r="I58" s="22">
        <v>33</v>
      </c>
      <c r="J58" s="22">
        <v>58.398579119107069</v>
      </c>
      <c r="K58" s="22">
        <v>3.0120880892930302E-2</v>
      </c>
      <c r="S58" s="5">
        <v>36</v>
      </c>
      <c r="T58" s="28">
        <f t="shared" si="4"/>
        <v>58.573222721160825</v>
      </c>
      <c r="U58" s="5">
        <f t="shared" si="5"/>
        <v>0.11907727883917829</v>
      </c>
      <c r="V58">
        <f t="shared" si="6"/>
        <v>1.4179398335743418E-2</v>
      </c>
      <c r="W58">
        <f t="shared" si="7"/>
        <v>0.19055255548206995</v>
      </c>
    </row>
    <row r="59" spans="1:23" x14ac:dyDescent="0.25">
      <c r="A59" s="8">
        <f>данные!B59</f>
        <v>58</v>
      </c>
      <c r="B59" s="8">
        <f t="shared" si="0"/>
        <v>3364</v>
      </c>
      <c r="C59" s="8">
        <f>данные!C59</f>
        <v>62.337899999999998</v>
      </c>
      <c r="D59" s="8">
        <f t="shared" si="1"/>
        <v>1.3471277329961651</v>
      </c>
      <c r="I59" s="22">
        <v>34</v>
      </c>
      <c r="J59" s="22">
        <v>58.451873095118827</v>
      </c>
      <c r="K59" s="22">
        <v>-0.37487309511882927</v>
      </c>
      <c r="S59" s="5">
        <v>37</v>
      </c>
      <c r="T59" s="28">
        <f t="shared" si="4"/>
        <v>58.640967149949844</v>
      </c>
      <c r="U59" s="5">
        <f t="shared" si="5"/>
        <v>0.1597328500501547</v>
      </c>
      <c r="V59">
        <f t="shared" si="6"/>
        <v>2.5514583385145204E-2</v>
      </c>
      <c r="W59">
        <f t="shared" si="7"/>
        <v>0.13599782547161585</v>
      </c>
    </row>
    <row r="60" spans="1:23" x14ac:dyDescent="0.25">
      <c r="A60" s="8">
        <f>данные!B60</f>
        <v>59</v>
      </c>
      <c r="B60" s="8">
        <f t="shared" si="0"/>
        <v>3481</v>
      </c>
      <c r="C60" s="8">
        <f>данные!C60</f>
        <v>62.087000000000003</v>
      </c>
      <c r="D60" s="8">
        <f t="shared" si="1"/>
        <v>0.54162651239145254</v>
      </c>
      <c r="I60" s="22">
        <v>35</v>
      </c>
      <c r="J60" s="22">
        <v>58.509989355067432</v>
      </c>
      <c r="K60" s="22">
        <v>-0.32348935506743004</v>
      </c>
      <c r="S60" s="5">
        <v>38</v>
      </c>
      <c r="T60" s="28">
        <f t="shared" si="4"/>
        <v>58.713532537728817</v>
      </c>
      <c r="U60" s="5">
        <f t="shared" si="5"/>
        <v>8.3667462271179716E-2</v>
      </c>
      <c r="V60">
        <f t="shared" si="6"/>
        <v>7.0002442428992815E-3</v>
      </c>
      <c r="W60">
        <f t="shared" si="7"/>
        <v>8.7742403364837421E-2</v>
      </c>
    </row>
    <row r="61" spans="1:23" x14ac:dyDescent="0.25">
      <c r="A61" s="8">
        <f>данные!B61</f>
        <v>60</v>
      </c>
      <c r="B61" s="8">
        <f t="shared" si="0"/>
        <v>3600</v>
      </c>
      <c r="C61" s="8">
        <f>данные!C61</f>
        <v>62.935600000000001</v>
      </c>
      <c r="D61" s="8">
        <f t="shared" si="1"/>
        <v>1.9766287797922477</v>
      </c>
      <c r="I61" s="22">
        <v>36</v>
      </c>
      <c r="J61" s="22">
        <v>58.572927898952912</v>
      </c>
      <c r="K61" s="22">
        <v>0.11937210104709095</v>
      </c>
      <c r="S61" s="5">
        <v>39</v>
      </c>
      <c r="T61" s="28">
        <f t="shared" si="4"/>
        <v>58.790918884497763</v>
      </c>
      <c r="U61" s="5">
        <f t="shared" si="5"/>
        <v>3.428111550223889E-2</v>
      </c>
      <c r="V61">
        <f t="shared" si="6"/>
        <v>1.1751948800778436E-3</v>
      </c>
      <c r="W61">
        <f t="shared" si="7"/>
        <v>4.7885297713160073E-2</v>
      </c>
    </row>
    <row r="62" spans="1:23" x14ac:dyDescent="0.25">
      <c r="A62" s="8">
        <f>данные!B62</f>
        <v>61</v>
      </c>
      <c r="C62" s="41">
        <v>62.997599999999998</v>
      </c>
      <c r="D62" s="6">
        <f>SUM(D2:D61)</f>
        <v>24.582703514173513</v>
      </c>
      <c r="E62" s="33" t="s">
        <v>61</v>
      </c>
      <c r="I62" s="22">
        <v>37</v>
      </c>
      <c r="J62" s="22">
        <v>58.640688726775252</v>
      </c>
      <c r="K62" s="22">
        <v>0.16001127322474673</v>
      </c>
      <c r="S62" s="5">
        <v>40</v>
      </c>
      <c r="T62" s="28">
        <f t="shared" si="4"/>
        <v>58.87312619025667</v>
      </c>
      <c r="U62" s="5">
        <f t="shared" si="5"/>
        <v>-0.21972619025667228</v>
      </c>
      <c r="V62">
        <f t="shared" si="6"/>
        <v>4.8279598684711343E-2</v>
      </c>
      <c r="W62">
        <f t="shared" si="7"/>
        <v>1.8664966941529741E-2</v>
      </c>
    </row>
    <row r="63" spans="1:23" x14ac:dyDescent="0.25">
      <c r="A63" s="8">
        <f>данные!B63</f>
        <v>72</v>
      </c>
      <c r="C63" s="41">
        <v>61.608699999999999</v>
      </c>
      <c r="I63" s="22">
        <v>38</v>
      </c>
      <c r="J63" s="22">
        <v>58.713271838534446</v>
      </c>
      <c r="K63" s="22">
        <v>8.3928161465550488E-2</v>
      </c>
      <c r="S63" s="5">
        <v>41</v>
      </c>
      <c r="T63" s="28">
        <f t="shared" si="4"/>
        <v>58.960154455005558</v>
      </c>
      <c r="U63" s="5">
        <f t="shared" si="5"/>
        <v>-0.55045445500555701</v>
      </c>
      <c r="V63">
        <f t="shared" si="6"/>
        <v>0.30300010703546476</v>
      </c>
      <c r="W63">
        <f t="shared" si="7"/>
        <v>2.4593193483770197E-3</v>
      </c>
    </row>
    <row r="64" spans="1:23" x14ac:dyDescent="0.25">
      <c r="A64" s="8">
        <f>данные!B64</f>
        <v>73</v>
      </c>
      <c r="C64" s="41">
        <v>61.953800000000001</v>
      </c>
      <c r="I64" s="22">
        <v>39</v>
      </c>
      <c r="J64" s="22">
        <v>58.790677234230508</v>
      </c>
      <c r="K64" s="22">
        <v>3.4522765769494868E-2</v>
      </c>
      <c r="S64" s="5">
        <v>42</v>
      </c>
      <c r="T64" s="28">
        <f t="shared" si="4"/>
        <v>59.052003678744398</v>
      </c>
      <c r="U64" s="5">
        <f t="shared" si="5"/>
        <v>-0.2834036787443992</v>
      </c>
      <c r="V64">
        <f t="shared" si="6"/>
        <v>8.0317645125858622E-2</v>
      </c>
      <c r="W64">
        <f t="shared" si="7"/>
        <v>1.7857131056412227E-3</v>
      </c>
    </row>
    <row r="65" spans="1:23" x14ac:dyDescent="0.25">
      <c r="A65" s="8">
        <f>данные!B65</f>
        <v>74</v>
      </c>
      <c r="C65" s="41">
        <v>61.785400000000003</v>
      </c>
      <c r="I65" s="22">
        <v>40</v>
      </c>
      <c r="J65" s="22">
        <v>58.872904913863429</v>
      </c>
      <c r="K65" s="22">
        <v>-0.21950491386343174</v>
      </c>
      <c r="S65" s="5">
        <v>43</v>
      </c>
      <c r="T65" s="28">
        <f t="shared" si="4"/>
        <v>59.148673861473213</v>
      </c>
      <c r="U65" s="5">
        <f t="shared" si="5"/>
        <v>-3.0573861473214947E-2</v>
      </c>
      <c r="V65">
        <f t="shared" si="6"/>
        <v>9.3476100538333721E-4</v>
      </c>
      <c r="W65">
        <f t="shared" si="7"/>
        <v>1.9300956258751986E-2</v>
      </c>
    </row>
    <row r="66" spans="1:23" x14ac:dyDescent="0.25">
      <c r="A66" s="8">
        <f>данные!B66</f>
        <v>77</v>
      </c>
      <c r="C66" s="41">
        <v>62.125700000000002</v>
      </c>
      <c r="I66" s="22">
        <v>41</v>
      </c>
      <c r="J66" s="22">
        <v>58.959954877433219</v>
      </c>
      <c r="K66" s="22">
        <v>-0.55025487743321833</v>
      </c>
      <c r="S66" s="5">
        <v>44</v>
      </c>
      <c r="T66" s="28">
        <f t="shared" si="4"/>
        <v>59.250165003191988</v>
      </c>
      <c r="U66" s="5">
        <f t="shared" si="5"/>
        <v>-0.20336500319199047</v>
      </c>
      <c r="V66">
        <f t="shared" si="6"/>
        <v>4.1357324523278297E-2</v>
      </c>
      <c r="W66">
        <f t="shared" si="7"/>
        <v>5.7801306726636019E-2</v>
      </c>
    </row>
    <row r="67" spans="1:23" x14ac:dyDescent="0.25">
      <c r="A67" s="8">
        <f>данные!B67</f>
        <v>78</v>
      </c>
      <c r="C67" s="41">
        <v>61.744199999999999</v>
      </c>
      <c r="I67" s="22">
        <v>42</v>
      </c>
      <c r="J67" s="22">
        <v>59.051827124939862</v>
      </c>
      <c r="K67" s="22">
        <v>-0.28322712493986302</v>
      </c>
      <c r="S67" s="5">
        <v>45</v>
      </c>
      <c r="T67" s="28">
        <f t="shared" si="4"/>
        <v>59.356477103900744</v>
      </c>
      <c r="U67" s="5">
        <f t="shared" si="5"/>
        <v>-3.047710390074343E-2</v>
      </c>
      <c r="V67">
        <f t="shared" si="6"/>
        <v>9.2885386217671033E-4</v>
      </c>
      <c r="W67">
        <f t="shared" si="7"/>
        <v>0.12022247230173064</v>
      </c>
    </row>
    <row r="68" spans="1:23" x14ac:dyDescent="0.25">
      <c r="A68" s="8">
        <f>данные!B68</f>
        <v>79</v>
      </c>
      <c r="C68" s="41">
        <v>61.483400000000003</v>
      </c>
      <c r="I68" s="22">
        <v>43</v>
      </c>
      <c r="J68" s="22">
        <v>59.148521656383366</v>
      </c>
      <c r="K68" s="22">
        <v>-3.042165638336769E-2</v>
      </c>
      <c r="S68" s="5">
        <v>46</v>
      </c>
      <c r="T68" s="28">
        <f t="shared" si="4"/>
        <v>59.46761016359946</v>
      </c>
      <c r="U68" s="5">
        <f t="shared" si="5"/>
        <v>-0.65151016359946112</v>
      </c>
      <c r="V68">
        <f t="shared" si="6"/>
        <v>0.42446549327339661</v>
      </c>
      <c r="W68">
        <f t="shared" si="7"/>
        <v>0.20963961064995035</v>
      </c>
    </row>
    <row r="69" spans="1:23" x14ac:dyDescent="0.25">
      <c r="A69" s="8">
        <f>данные!B69</f>
        <v>80</v>
      </c>
      <c r="C69" s="41">
        <v>61.089300000000001</v>
      </c>
      <c r="I69" s="22">
        <v>44</v>
      </c>
      <c r="J69" s="22">
        <v>59.250038471763737</v>
      </c>
      <c r="K69" s="22">
        <v>-0.20323847176373988</v>
      </c>
      <c r="S69" s="5">
        <v>47</v>
      </c>
      <c r="T69" s="28">
        <f t="shared" si="4"/>
        <v>59.583564182288143</v>
      </c>
      <c r="U69" s="5">
        <f t="shared" si="5"/>
        <v>-0.76586418228814068</v>
      </c>
      <c r="V69">
        <f t="shared" si="6"/>
        <v>0.5865479457118824</v>
      </c>
      <c r="W69">
        <f t="shared" si="7"/>
        <v>0.329267329310721</v>
      </c>
    </row>
    <row r="70" spans="1:23" x14ac:dyDescent="0.25">
      <c r="A70" s="8">
        <f>данные!B70</f>
        <v>81</v>
      </c>
      <c r="C70" s="41">
        <v>60.6066</v>
      </c>
      <c r="I70" s="22">
        <v>45</v>
      </c>
      <c r="J70" s="22">
        <v>59.356377571080969</v>
      </c>
      <c r="K70" s="22">
        <v>-3.0377571080968835E-2</v>
      </c>
      <c r="S70" s="5">
        <v>48</v>
      </c>
      <c r="T70" s="28">
        <f t="shared" si="4"/>
        <v>59.704339159966786</v>
      </c>
      <c r="U70" s="5">
        <f t="shared" si="5"/>
        <v>-1.1591391599667844</v>
      </c>
      <c r="V70">
        <f t="shared" si="6"/>
        <v>1.3436035921685026</v>
      </c>
      <c r="W70">
        <f t="shared" si="7"/>
        <v>0.48245968569695274</v>
      </c>
    </row>
    <row r="71" spans="1:23" x14ac:dyDescent="0.25">
      <c r="A71" s="8">
        <f>данные!B71</f>
        <v>84</v>
      </c>
      <c r="C71" s="41">
        <v>60.525700000000001</v>
      </c>
      <c r="I71" s="22">
        <v>46</v>
      </c>
      <c r="J71" s="22">
        <v>59.467538954335062</v>
      </c>
      <c r="K71" s="22">
        <v>-0.65143895433506316</v>
      </c>
      <c r="S71" s="5">
        <v>49</v>
      </c>
      <c r="T71" s="28">
        <f t="shared" si="4"/>
        <v>59.82993509663541</v>
      </c>
      <c r="U71" s="5">
        <f t="shared" si="5"/>
        <v>-1.4503350966354063</v>
      </c>
      <c r="V71">
        <f t="shared" si="6"/>
        <v>2.1034718925324332</v>
      </c>
      <c r="W71">
        <f t="shared" si="7"/>
        <v>0.672710187095093</v>
      </c>
    </row>
    <row r="72" spans="1:23" x14ac:dyDescent="0.25">
      <c r="A72" s="8">
        <f>данные!B72</f>
        <v>85</v>
      </c>
      <c r="C72" s="41">
        <v>60.834499999999998</v>
      </c>
      <c r="I72" s="22">
        <v>47</v>
      </c>
      <c r="J72" s="22">
        <v>59.583522621526015</v>
      </c>
      <c r="K72" s="22">
        <v>-0.76582262152601288</v>
      </c>
      <c r="S72" s="5">
        <v>50</v>
      </c>
      <c r="T72" s="28">
        <f t="shared" si="4"/>
        <v>59.960351992293994</v>
      </c>
      <c r="U72" s="5">
        <f t="shared" si="5"/>
        <v>-1.472251992293991</v>
      </c>
      <c r="V72">
        <f t="shared" si="6"/>
        <v>2.1675259288136255</v>
      </c>
      <c r="W72">
        <f t="shared" si="7"/>
        <v>0.90365179066502743</v>
      </c>
    </row>
    <row r="73" spans="1:23" x14ac:dyDescent="0.25">
      <c r="I73" s="22">
        <v>48</v>
      </c>
      <c r="J73" s="22">
        <v>59.704328572653836</v>
      </c>
      <c r="K73" s="22">
        <v>-1.1591285726538345</v>
      </c>
      <c r="S73" s="5">
        <v>51</v>
      </c>
      <c r="T73" s="28">
        <f t="shared" si="4"/>
        <v>60.095589846942545</v>
      </c>
      <c r="U73" s="5">
        <f t="shared" si="5"/>
        <v>-1.3444898469425439</v>
      </c>
      <c r="V73">
        <f t="shared" si="6"/>
        <v>1.8076529485315851</v>
      </c>
      <c r="W73">
        <f t="shared" si="7"/>
        <v>1.179056903440179</v>
      </c>
    </row>
    <row r="74" spans="1:23" x14ac:dyDescent="0.25">
      <c r="I74" s="22">
        <v>49</v>
      </c>
      <c r="J74" s="22">
        <v>59.82995680771851</v>
      </c>
      <c r="K74" s="22">
        <v>-1.4503568077185065</v>
      </c>
      <c r="S74" s="5">
        <v>52</v>
      </c>
      <c r="T74" s="28">
        <f t="shared" si="4"/>
        <v>60.235648660581063</v>
      </c>
      <c r="U74" s="5">
        <f t="shared" si="5"/>
        <v>-0.89324866058106522</v>
      </c>
      <c r="V74">
        <f t="shared" si="6"/>
        <v>0.79789316962986712</v>
      </c>
      <c r="W74">
        <f t="shared" si="7"/>
        <v>1.5028373823274586</v>
      </c>
    </row>
    <row r="75" spans="1:23" x14ac:dyDescent="0.25">
      <c r="I75" s="22">
        <v>50</v>
      </c>
      <c r="J75" s="22">
        <v>59.960407326720052</v>
      </c>
      <c r="K75" s="22">
        <v>-1.472307326720049</v>
      </c>
      <c r="S75" s="5">
        <v>53</v>
      </c>
      <c r="T75" s="28">
        <f t="shared" si="4"/>
        <v>60.380528433209555</v>
      </c>
      <c r="U75" s="5">
        <f t="shared" si="5"/>
        <v>-0.65362843320955477</v>
      </c>
      <c r="V75">
        <f t="shared" si="6"/>
        <v>0.4272301286999774</v>
      </c>
      <c r="W75">
        <f t="shared" si="7"/>
        <v>1.8790445341072941</v>
      </c>
    </row>
    <row r="76" spans="1:23" x14ac:dyDescent="0.25">
      <c r="I76" s="22">
        <v>51</v>
      </c>
      <c r="J76" s="22">
        <v>60.095680129658454</v>
      </c>
      <c r="K76" s="22">
        <v>-1.3445801296584534</v>
      </c>
      <c r="S76" s="5">
        <v>54</v>
      </c>
      <c r="T76" s="28">
        <f t="shared" si="4"/>
        <v>60.530229164828008</v>
      </c>
      <c r="U76" s="5">
        <f t="shared" si="5"/>
        <v>-0.29952916482800873</v>
      </c>
      <c r="V76">
        <f t="shared" si="6"/>
        <v>8.9717720582564428E-2</v>
      </c>
      <c r="W76">
        <f t="shared" si="7"/>
        <v>2.3118691154335544</v>
      </c>
    </row>
    <row r="77" spans="1:23" x14ac:dyDescent="0.25">
      <c r="I77" s="22">
        <v>52</v>
      </c>
      <c r="J77" s="22">
        <v>60.23577521653371</v>
      </c>
      <c r="K77" s="22">
        <v>-0.89337521653371255</v>
      </c>
      <c r="S77" s="5">
        <v>55</v>
      </c>
      <c r="T77" s="28">
        <f t="shared" si="4"/>
        <v>60.684750855436427</v>
      </c>
      <c r="U77" s="5">
        <f t="shared" si="5"/>
        <v>0.53724914456357453</v>
      </c>
      <c r="V77">
        <f t="shared" si="6"/>
        <v>0.28863664333429262</v>
      </c>
      <c r="W77">
        <f t="shared" si="7"/>
        <v>2.8056413328336611</v>
      </c>
    </row>
    <row r="78" spans="1:23" x14ac:dyDescent="0.25">
      <c r="I78" s="22">
        <v>53</v>
      </c>
      <c r="J78" s="22">
        <v>60.380692587345834</v>
      </c>
      <c r="K78" s="22">
        <v>-0.65379258734583345</v>
      </c>
      <c r="S78" s="5">
        <v>56</v>
      </c>
      <c r="T78" s="28">
        <f t="shared" si="4"/>
        <v>60.844093505034813</v>
      </c>
      <c r="U78" s="5">
        <f t="shared" si="5"/>
        <v>0.82020649496518416</v>
      </c>
      <c r="V78">
        <f t="shared" si="6"/>
        <v>0.67273869438307266</v>
      </c>
      <c r="W78">
        <f t="shared" si="7"/>
        <v>3.364830842708515</v>
      </c>
    </row>
    <row r="79" spans="1:23" x14ac:dyDescent="0.25">
      <c r="I79" s="22">
        <v>54</v>
      </c>
      <c r="J79" s="22">
        <v>60.530432242094825</v>
      </c>
      <c r="K79" s="22">
        <v>-0.29973224209482652</v>
      </c>
      <c r="S79" s="5">
        <v>57</v>
      </c>
      <c r="T79" s="28">
        <f t="shared" si="4"/>
        <v>61.008257113623173</v>
      </c>
      <c r="U79" s="5">
        <f t="shared" si="5"/>
        <v>1.325542886376823</v>
      </c>
      <c r="V79">
        <f t="shared" si="6"/>
        <v>1.7570639436241993</v>
      </c>
      <c r="W79">
        <f t="shared" si="7"/>
        <v>3.9940467513325442</v>
      </c>
    </row>
    <row r="80" spans="1:23" x14ac:dyDescent="0.25">
      <c r="I80" s="22">
        <v>55</v>
      </c>
      <c r="J80" s="22">
        <v>60.684994180780677</v>
      </c>
      <c r="K80" s="22">
        <v>0.53700581921932411</v>
      </c>
      <c r="S80" s="5">
        <v>58</v>
      </c>
      <c r="T80" s="28">
        <f t="shared" si="4"/>
        <v>61.177241681201494</v>
      </c>
      <c r="U80" s="5">
        <f t="shared" si="5"/>
        <v>1.1606583187985038</v>
      </c>
      <c r="V80">
        <f t="shared" si="6"/>
        <v>1.3471277329961693</v>
      </c>
      <c r="W80">
        <f t="shared" si="7"/>
        <v>4.6980376148535905</v>
      </c>
    </row>
    <row r="81" spans="9:23" x14ac:dyDescent="0.25">
      <c r="I81" s="22">
        <v>56</v>
      </c>
      <c r="J81" s="22">
        <v>60.844378403403383</v>
      </c>
      <c r="K81" s="22">
        <v>0.81992159659661468</v>
      </c>
      <c r="S81" s="5">
        <v>59</v>
      </c>
      <c r="T81" s="28">
        <f t="shared" si="4"/>
        <v>61.351047207769781</v>
      </c>
      <c r="U81" s="5">
        <f t="shared" si="5"/>
        <v>0.73595279223022203</v>
      </c>
      <c r="V81">
        <f t="shared" si="6"/>
        <v>0.54162651239146031</v>
      </c>
      <c r="W81">
        <f t="shared" si="7"/>
        <v>5.4816914392930745</v>
      </c>
    </row>
    <row r="82" spans="9:23" x14ac:dyDescent="0.25">
      <c r="I82" s="22">
        <v>57</v>
      </c>
      <c r="J82" s="22">
        <v>61.008584909962956</v>
      </c>
      <c r="K82" s="22">
        <v>1.325215090037041</v>
      </c>
      <c r="S82" s="5">
        <v>60</v>
      </c>
      <c r="T82" s="28">
        <f>$T$16+$T$17*S82+$T$18*S82^2</f>
        <v>61.52967369332805</v>
      </c>
      <c r="U82" s="5">
        <f>C61-T82</f>
        <v>1.405926306671951</v>
      </c>
      <c r="V82">
        <f t="shared" si="6"/>
        <v>1.9766287797922326</v>
      </c>
      <c r="W82">
        <f t="shared" si="7"/>
        <v>6.3500356805459601</v>
      </c>
    </row>
    <row r="83" spans="9:23" x14ac:dyDescent="0.25">
      <c r="I83" s="22">
        <v>58</v>
      </c>
      <c r="J83" s="22">
        <v>61.177613700459389</v>
      </c>
      <c r="K83" s="22">
        <v>1.1602862995406085</v>
      </c>
      <c r="S83" s="103">
        <v>61</v>
      </c>
      <c r="T83" s="28">
        <f t="shared" ref="T83:T93" si="8">$T$16+$T$17*S83+$T$18*S83^2</f>
        <v>61.713121137876271</v>
      </c>
      <c r="U83" s="5">
        <f t="shared" ref="U83:U93" si="9">C62-T83</f>
        <v>1.2844788621237271</v>
      </c>
      <c r="V83" t="s">
        <v>64</v>
      </c>
      <c r="W83" t="s">
        <v>64</v>
      </c>
    </row>
    <row r="84" spans="9:23" x14ac:dyDescent="0.25">
      <c r="I84" s="22">
        <v>59</v>
      </c>
      <c r="J84" s="22">
        <v>61.351464774892683</v>
      </c>
      <c r="K84" s="22">
        <v>0.73553522510731995</v>
      </c>
      <c r="S84" s="103">
        <v>72</v>
      </c>
      <c r="T84" s="28">
        <f t="shared" si="8"/>
        <v>64.049226321244589</v>
      </c>
      <c r="U84" s="5">
        <f t="shared" si="9"/>
        <v>-2.4405263212445902</v>
      </c>
      <c r="V84">
        <f>SUM(V23:V82)</f>
        <v>24.582703514173524</v>
      </c>
      <c r="W84">
        <f>SUM(W23:W82)</f>
        <v>52.182599367708768</v>
      </c>
    </row>
    <row r="85" spans="9:23" ht="15.75" thickBot="1" x14ac:dyDescent="0.3">
      <c r="I85" s="23">
        <v>60</v>
      </c>
      <c r="J85" s="23">
        <v>61.530138133262838</v>
      </c>
      <c r="K85" s="23">
        <v>1.4054618667371628</v>
      </c>
      <c r="S85" s="103">
        <v>73</v>
      </c>
      <c r="T85" s="28">
        <f t="shared" si="8"/>
        <v>64.290525273672429</v>
      </c>
      <c r="U85" s="5">
        <f t="shared" si="9"/>
        <v>-2.3367252736724282</v>
      </c>
    </row>
    <row r="86" spans="9:23" x14ac:dyDescent="0.25">
      <c r="S86" s="103">
        <v>74</v>
      </c>
      <c r="T86" s="28">
        <f t="shared" si="8"/>
        <v>64.536645185090222</v>
      </c>
      <c r="U86" s="5">
        <f t="shared" si="9"/>
        <v>-2.7512451850902195</v>
      </c>
    </row>
    <row r="87" spans="9:23" x14ac:dyDescent="0.25">
      <c r="S87" s="103">
        <v>77</v>
      </c>
      <c r="T87" s="28">
        <f t="shared" si="8"/>
        <v>65.303930673283432</v>
      </c>
      <c r="U87" s="5">
        <f t="shared" si="9"/>
        <v>-3.17823067328343</v>
      </c>
    </row>
    <row r="88" spans="9:23" x14ac:dyDescent="0.25">
      <c r="S88" s="103">
        <v>78</v>
      </c>
      <c r="T88" s="28">
        <f t="shared" si="8"/>
        <v>65.569334420661093</v>
      </c>
      <c r="U88" s="5">
        <f t="shared" si="9"/>
        <v>-3.8251344206610938</v>
      </c>
    </row>
    <row r="89" spans="9:23" x14ac:dyDescent="0.25">
      <c r="S89" s="103">
        <v>79</v>
      </c>
      <c r="T89" s="28">
        <f t="shared" si="8"/>
        <v>65.839559127028735</v>
      </c>
      <c r="U89" s="5">
        <f t="shared" si="9"/>
        <v>-4.3561591270287323</v>
      </c>
    </row>
    <row r="90" spans="9:23" x14ac:dyDescent="0.25">
      <c r="S90" s="103">
        <v>80</v>
      </c>
      <c r="T90" s="28">
        <f t="shared" si="8"/>
        <v>66.114604792386331</v>
      </c>
      <c r="U90" s="5">
        <f t="shared" si="9"/>
        <v>-5.0253047923863292</v>
      </c>
    </row>
    <row r="91" spans="9:23" x14ac:dyDescent="0.25">
      <c r="S91" s="103">
        <v>81</v>
      </c>
      <c r="T91" s="28">
        <f t="shared" si="8"/>
        <v>66.394471416733907</v>
      </c>
      <c r="U91" s="5">
        <f t="shared" si="9"/>
        <v>-5.7878714167339069</v>
      </c>
    </row>
    <row r="92" spans="9:23" x14ac:dyDescent="0.25">
      <c r="S92" s="103">
        <v>84</v>
      </c>
      <c r="T92" s="28">
        <f t="shared" si="8"/>
        <v>67.262997043716425</v>
      </c>
      <c r="U92" s="5">
        <f t="shared" si="9"/>
        <v>-6.7372970437164241</v>
      </c>
    </row>
    <row r="93" spans="9:23" x14ac:dyDescent="0.25">
      <c r="S93" s="103">
        <v>85</v>
      </c>
      <c r="T93" s="28">
        <f t="shared" si="8"/>
        <v>67.562147504023869</v>
      </c>
      <c r="U93" s="5">
        <f t="shared" si="9"/>
        <v>-6.7276475040238708</v>
      </c>
    </row>
    <row r="94" spans="9:23" x14ac:dyDescent="0.25">
      <c r="S94" s="5"/>
    </row>
    <row r="95" spans="9:23" x14ac:dyDescent="0.25">
      <c r="S95" s="121"/>
      <c r="T95" s="29" t="s">
        <v>63</v>
      </c>
    </row>
    <row r="96" spans="9:23" x14ac:dyDescent="0.25">
      <c r="S96" s="5"/>
      <c r="T96" s="30">
        <f>AVERAGE(T23:T82)</f>
        <v>59.009745979970788</v>
      </c>
    </row>
    <row r="97" spans="19:19" x14ac:dyDescent="0.25">
      <c r="S97" s="121"/>
    </row>
    <row r="98" spans="19:19" x14ac:dyDescent="0.25">
      <c r="S98" s="5"/>
    </row>
    <row r="99" spans="19:19" x14ac:dyDescent="0.25">
      <c r="S99" s="121"/>
    </row>
    <row r="100" spans="19:19" x14ac:dyDescent="0.25">
      <c r="S100" s="5"/>
    </row>
    <row r="101" spans="19:19" x14ac:dyDescent="0.25">
      <c r="S101" s="121"/>
    </row>
    <row r="102" spans="19:19" x14ac:dyDescent="0.25">
      <c r="S102" s="5"/>
    </row>
    <row r="103" spans="19:19" x14ac:dyDescent="0.25">
      <c r="S103" s="121"/>
    </row>
    <row r="104" spans="19:19" x14ac:dyDescent="0.25">
      <c r="S104" s="5"/>
    </row>
    <row r="105" spans="19:19" x14ac:dyDescent="0.25">
      <c r="S105" s="121"/>
    </row>
    <row r="106" spans="19:19" x14ac:dyDescent="0.25">
      <c r="S106" s="5"/>
    </row>
  </sheetData>
  <mergeCells count="2">
    <mergeCell ref="S2:T2"/>
    <mergeCell ref="S9:X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3"/>
  <sheetViews>
    <sheetView topLeftCell="J16" zoomScale="90" zoomScaleNormal="90" workbookViewId="0">
      <selection activeCell="T22" sqref="T22"/>
    </sheetView>
  </sheetViews>
  <sheetFormatPr defaultRowHeight="15" x14ac:dyDescent="0.25"/>
  <cols>
    <col min="1" max="1" width="12.5703125" customWidth="1"/>
    <col min="2" max="2" width="16.7109375" customWidth="1"/>
    <col min="3" max="3" width="10.140625" customWidth="1"/>
    <col min="5" max="5" width="26.85546875" customWidth="1"/>
    <col min="6" max="6" width="14.42578125" customWidth="1"/>
    <col min="8" max="8" width="16" customWidth="1"/>
    <col min="11" max="11" width="10.140625" customWidth="1"/>
    <col min="12" max="12" width="18" customWidth="1"/>
    <col min="13" max="13" width="12" bestFit="1" customWidth="1"/>
    <col min="14" max="14" width="20.7109375" customWidth="1"/>
    <col min="15" max="15" width="12.7109375" customWidth="1"/>
    <col min="16" max="16" width="21.5703125" customWidth="1"/>
    <col min="17" max="17" width="21.42578125" customWidth="1"/>
    <col min="18" max="18" width="11.42578125" customWidth="1"/>
  </cols>
  <sheetData>
    <row r="1" spans="1:18" s="3" customFormat="1" x14ac:dyDescent="0.25">
      <c r="A1" s="56" t="s">
        <v>47</v>
      </c>
      <c r="B1" s="56" t="s">
        <v>48</v>
      </c>
      <c r="C1" s="56" t="s">
        <v>49</v>
      </c>
      <c r="E1" s="24" t="s">
        <v>69</v>
      </c>
      <c r="F1" s="24"/>
      <c r="H1" s="58" t="s">
        <v>70</v>
      </c>
      <c r="I1" s="58" t="s">
        <v>71</v>
      </c>
      <c r="K1" s="56" t="s">
        <v>49</v>
      </c>
      <c r="L1" s="58" t="s">
        <v>72</v>
      </c>
      <c r="M1" s="58" t="s">
        <v>73</v>
      </c>
      <c r="N1" s="59" t="s">
        <v>75</v>
      </c>
      <c r="O1" s="8" t="s">
        <v>76</v>
      </c>
      <c r="P1" s="8" t="s">
        <v>77</v>
      </c>
      <c r="Q1" s="8" t="s">
        <v>78</v>
      </c>
      <c r="R1" s="8" t="s">
        <v>79</v>
      </c>
    </row>
    <row r="2" spans="1:18" x14ac:dyDescent="0.25">
      <c r="A2" s="5">
        <v>1</v>
      </c>
      <c r="B2" s="5">
        <v>59.239337805393987</v>
      </c>
      <c r="C2" s="5">
        <v>-0.69963780539398357</v>
      </c>
      <c r="E2" s="22"/>
      <c r="F2" s="22"/>
      <c r="G2" s="22"/>
      <c r="H2" s="8">
        <f>K2</f>
        <v>-1.472307326720049</v>
      </c>
      <c r="I2" s="8">
        <f t="array" ref="I2:I16">FREQUENCY(K2:K61,H2:H16)</f>
        <v>1</v>
      </c>
      <c r="K2" s="5">
        <v>-1.472307326720049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50</v>
      </c>
      <c r="Q2" s="6" t="s">
        <v>50</v>
      </c>
      <c r="R2" s="6" t="s">
        <v>50</v>
      </c>
    </row>
    <row r="3" spans="1:18" x14ac:dyDescent="0.25">
      <c r="A3" s="5">
        <v>2</v>
      </c>
      <c r="B3" s="5">
        <v>59.138318695426157</v>
      </c>
      <c r="C3" s="5">
        <v>-0.1898186954261547</v>
      </c>
      <c r="D3" s="22"/>
      <c r="E3" s="22" t="s">
        <v>3</v>
      </c>
      <c r="F3" s="22">
        <v>-1.4092430925908654E-14</v>
      </c>
      <c r="G3" s="22"/>
      <c r="H3" s="8">
        <f>H2+$F$18</f>
        <v>-1.2598027675329908</v>
      </c>
      <c r="I3" s="8">
        <v>2</v>
      </c>
      <c r="K3" s="5">
        <v>-1.4503568077185065</v>
      </c>
      <c r="L3" s="6">
        <f>(K3-K2)/2</f>
        <v>1.0975259500771273E-2</v>
      </c>
      <c r="M3" s="6">
        <f>(H21-$F$3)^2</f>
        <v>1.8661063917798</v>
      </c>
      <c r="N3" s="6">
        <f t="shared" ref="N3:N16" si="0">(-M3)/(2*$F$8)</f>
        <v>-2.2393854767406625</v>
      </c>
      <c r="O3" s="6">
        <f t="shared" ref="O3:O16" si="1">EXP(N3)</f>
        <v>0.10652394571189924</v>
      </c>
      <c r="P3" s="6">
        <f>O3/((2*3.14*$F$8)^0.5)</f>
        <v>6.5853467716517275E-2</v>
      </c>
      <c r="Q3" s="6">
        <f>60*$F$18*P3</f>
        <v>0.83964972768226043</v>
      </c>
      <c r="R3" s="6">
        <f t="shared" ref="R3:R16" si="2">(P3-Q3)^2/Q3</f>
        <v>0.71310765929713316</v>
      </c>
    </row>
    <row r="4" spans="1:18" x14ac:dyDescent="0.25">
      <c r="A4" s="5">
        <v>3</v>
      </c>
      <c r="B4" s="5">
        <v>59.042121869395203</v>
      </c>
      <c r="C4" s="5">
        <v>-0.36392186939520599</v>
      </c>
      <c r="D4" s="22"/>
      <c r="E4" s="22" t="s">
        <v>4</v>
      </c>
      <c r="F4" s="22">
        <v>8.3332257759651834E-2</v>
      </c>
      <c r="G4" s="22"/>
      <c r="H4" s="8">
        <f t="shared" ref="H4:H16" si="3">H3+$F$18</f>
        <v>-1.0472982083459326</v>
      </c>
      <c r="I4" s="8">
        <v>1</v>
      </c>
      <c r="K4" s="5">
        <v>-1.3445801296584534</v>
      </c>
      <c r="L4" s="6">
        <f t="shared" ref="L4:L61" si="4">(K4-K3)/2</f>
        <v>5.2888339030026543E-2</v>
      </c>
      <c r="M4" s="6">
        <f t="shared" ref="M4:M16" si="5">(H22-$F$3)^2</f>
        <v>1.3306787282253381</v>
      </c>
      <c r="N4" s="6">
        <f t="shared" si="0"/>
        <v>-1.5968556944673842</v>
      </c>
      <c r="O4" s="6">
        <f t="shared" si="1"/>
        <v>0.20253234142091309</v>
      </c>
      <c r="P4" s="6">
        <f t="shared" ref="P4:P16" si="6">O4/((2*3.14*$F$8)^0.5)</f>
        <v>0.12520618644172973</v>
      </c>
      <c r="Q4" s="6">
        <f t="shared" ref="Q4:Q16" si="7">60*$F$18*P4</f>
        <v>1.5964131274375442</v>
      </c>
      <c r="R4" s="6">
        <f t="shared" si="2"/>
        <v>1.3558206369227821</v>
      </c>
    </row>
    <row r="5" spans="1:18" x14ac:dyDescent="0.25">
      <c r="A5" s="5">
        <v>4</v>
      </c>
      <c r="B5" s="5">
        <v>58.950747327301102</v>
      </c>
      <c r="C5" s="5">
        <v>-0.45664732730109847</v>
      </c>
      <c r="D5" s="22"/>
      <c r="E5" s="22" t="s">
        <v>5</v>
      </c>
      <c r="F5" s="22">
        <v>-1.0019160862579923E-2</v>
      </c>
      <c r="G5" s="22"/>
      <c r="H5" s="8">
        <f t="shared" si="3"/>
        <v>-0.83479364915887433</v>
      </c>
      <c r="I5" s="8">
        <v>1</v>
      </c>
      <c r="K5" s="5">
        <v>-1.1591285726538345</v>
      </c>
      <c r="L5" s="6">
        <f t="shared" si="4"/>
        <v>9.2725778502309453E-2</v>
      </c>
      <c r="M5" s="6">
        <f t="shared" si="5"/>
        <v>0.88556744002144705</v>
      </c>
      <c r="N5" s="6">
        <f t="shared" si="0"/>
        <v>-1.0627083603561467</v>
      </c>
      <c r="O5" s="6">
        <f t="shared" si="1"/>
        <v>0.34551875266591059</v>
      </c>
      <c r="P5" s="6">
        <f t="shared" si="6"/>
        <v>0.21360087510909925</v>
      </c>
      <c r="Q5" s="6">
        <f t="shared" si="7"/>
        <v>2.7234695884217408</v>
      </c>
      <c r="R5" s="6">
        <f t="shared" si="2"/>
        <v>2.3130204885879411</v>
      </c>
    </row>
    <row r="6" spans="1:18" x14ac:dyDescent="0.25">
      <c r="A6" s="5">
        <v>5</v>
      </c>
      <c r="B6" s="5">
        <v>58.864195069143868</v>
      </c>
      <c r="C6" s="5">
        <v>0.57120493085613333</v>
      </c>
      <c r="D6" s="22"/>
      <c r="E6" s="22" t="s">
        <v>6</v>
      </c>
      <c r="F6" s="22" t="e">
        <v>#N/A</v>
      </c>
      <c r="G6" s="22"/>
      <c r="H6" s="8">
        <f t="shared" si="3"/>
        <v>-0.62228908997181609</v>
      </c>
      <c r="I6" s="8">
        <v>4</v>
      </c>
      <c r="K6" s="5">
        <v>-0.89337521653371255</v>
      </c>
      <c r="L6" s="6">
        <f t="shared" si="4"/>
        <v>0.13287667806006098</v>
      </c>
      <c r="M6" s="6">
        <f t="shared" si="5"/>
        <v>0.53077252716812839</v>
      </c>
      <c r="N6" s="6">
        <f t="shared" si="0"/>
        <v>-0.63694347440695132</v>
      </c>
      <c r="O6" s="6">
        <f t="shared" si="1"/>
        <v>0.52890657241840577</v>
      </c>
      <c r="P6" s="6">
        <f t="shared" si="6"/>
        <v>0.32697185275140039</v>
      </c>
      <c r="Q6" s="6">
        <f t="shared" si="7"/>
        <v>4.1689805661307231</v>
      </c>
      <c r="R6" s="6">
        <f t="shared" si="2"/>
        <v>3.5406811616256859</v>
      </c>
    </row>
    <row r="7" spans="1:18" x14ac:dyDescent="0.25">
      <c r="A7" s="5">
        <v>6</v>
      </c>
      <c r="B7" s="5">
        <v>58.782465094923488</v>
      </c>
      <c r="C7" s="5">
        <v>-4.6565094923487038E-2</v>
      </c>
      <c r="D7" s="22"/>
      <c r="E7" s="22" t="s">
        <v>7</v>
      </c>
      <c r="F7" s="22">
        <v>0.64548889300999068</v>
      </c>
      <c r="G7" s="22"/>
      <c r="H7" s="8">
        <f t="shared" si="3"/>
        <v>-0.40978453078475785</v>
      </c>
      <c r="I7" s="8">
        <v>3</v>
      </c>
      <c r="K7" s="5">
        <v>-0.76582262152601288</v>
      </c>
      <c r="L7" s="6">
        <f t="shared" si="4"/>
        <v>6.3776297503849833E-2</v>
      </c>
      <c r="M7" s="6">
        <f t="shared" si="5"/>
        <v>0.26629398966538154</v>
      </c>
      <c r="N7" s="6">
        <f t="shared" si="0"/>
        <v>-0.31956103661979784</v>
      </c>
      <c r="O7" s="6">
        <f t="shared" si="1"/>
        <v>0.72646785988018425</v>
      </c>
      <c r="P7" s="6">
        <f t="shared" si="6"/>
        <v>0.44910491662686408</v>
      </c>
      <c r="Q7" s="6">
        <f t="shared" si="7"/>
        <v>5.7262105401919374</v>
      </c>
      <c r="R7" s="6">
        <f t="shared" si="2"/>
        <v>4.8632238662549572</v>
      </c>
    </row>
    <row r="8" spans="1:18" x14ac:dyDescent="0.25">
      <c r="A8" s="5">
        <v>7</v>
      </c>
      <c r="B8" s="5">
        <v>58.705557404639976</v>
      </c>
      <c r="C8" s="5">
        <v>0.13444259536002789</v>
      </c>
      <c r="D8" s="22"/>
      <c r="E8" s="22" t="s">
        <v>8</v>
      </c>
      <c r="F8" s="22">
        <v>0.41665591099926319</v>
      </c>
      <c r="G8" s="22"/>
      <c r="H8" s="8">
        <f t="shared" si="3"/>
        <v>-0.19727997159769964</v>
      </c>
      <c r="I8" s="8">
        <v>9</v>
      </c>
      <c r="K8" s="5">
        <v>-0.69963780539398357</v>
      </c>
      <c r="L8" s="6">
        <f t="shared" si="4"/>
        <v>3.3092408066014656E-2</v>
      </c>
      <c r="M8" s="6">
        <f t="shared" si="5"/>
        <v>9.2131827513206616E-2</v>
      </c>
      <c r="N8" s="6">
        <f t="shared" si="0"/>
        <v>-0.11056104699468615</v>
      </c>
      <c r="O8" s="6">
        <f t="shared" si="1"/>
        <v>0.895331671213345</v>
      </c>
      <c r="P8" s="6">
        <f t="shared" si="6"/>
        <v>0.55349710256965512</v>
      </c>
      <c r="Q8" s="6">
        <f t="shared" si="7"/>
        <v>7.0572394675727104</v>
      </c>
      <c r="R8" s="6">
        <f t="shared" si="2"/>
        <v>5.99365586851538</v>
      </c>
    </row>
    <row r="9" spans="1:18" x14ac:dyDescent="0.25">
      <c r="A9" s="5">
        <v>8</v>
      </c>
      <c r="B9" s="5">
        <v>58.633471998293324</v>
      </c>
      <c r="C9" s="5">
        <v>-0.20497199829332402</v>
      </c>
      <c r="D9" s="22"/>
      <c r="E9" s="22" t="s">
        <v>9</v>
      </c>
      <c r="F9" s="22">
        <v>0.50372936790398004</v>
      </c>
      <c r="G9" s="22"/>
      <c r="H9" s="8">
        <f t="shared" si="3"/>
        <v>1.5224587589358574E-2</v>
      </c>
      <c r="I9" s="8">
        <v>11</v>
      </c>
      <c r="K9" s="5">
        <v>-0.65379258734583345</v>
      </c>
      <c r="L9" s="6">
        <f t="shared" si="4"/>
        <v>2.2922609024075058E-2</v>
      </c>
      <c r="M9" s="6">
        <f t="shared" si="5"/>
        <v>8.2860407116035675E-3</v>
      </c>
      <c r="N9" s="6">
        <f t="shared" si="0"/>
        <v>-9.9435055316162563E-3</v>
      </c>
      <c r="O9" s="6">
        <f t="shared" si="1"/>
        <v>0.99010576766816272</v>
      </c>
      <c r="P9" s="6">
        <f t="shared" si="6"/>
        <v>0.61208677327270211</v>
      </c>
      <c r="Q9" s="6">
        <f t="shared" si="7"/>
        <v>7.8042737963126649</v>
      </c>
      <c r="R9" s="6">
        <f t="shared" si="2"/>
        <v>6.628106025550319</v>
      </c>
    </row>
    <row r="10" spans="1:18" x14ac:dyDescent="0.25">
      <c r="A10" s="5">
        <v>9</v>
      </c>
      <c r="B10" s="5">
        <v>58.566208875883532</v>
      </c>
      <c r="C10" s="5">
        <v>-0.29850887588353459</v>
      </c>
      <c r="D10" s="22"/>
      <c r="E10" s="22" t="s">
        <v>10</v>
      </c>
      <c r="F10" s="22">
        <v>0.10052508428714771</v>
      </c>
      <c r="G10" s="22"/>
      <c r="H10" s="8">
        <f t="shared" si="3"/>
        <v>0.22772914677641679</v>
      </c>
      <c r="I10" s="8">
        <v>12</v>
      </c>
      <c r="K10" s="5">
        <v>-0.65143895433506316</v>
      </c>
      <c r="L10" s="6">
        <f t="shared" si="4"/>
        <v>1.1768165053851476E-3</v>
      </c>
      <c r="M10" s="6">
        <f t="shared" si="5"/>
        <v>1.4756629260572356E-2</v>
      </c>
      <c r="N10" s="6">
        <f t="shared" si="0"/>
        <v>-1.7708412230588097E-2</v>
      </c>
      <c r="O10" s="6">
        <f t="shared" si="1"/>
        <v>0.98244746026033647</v>
      </c>
      <c r="P10" s="6">
        <f t="shared" si="6"/>
        <v>0.60735238142987247</v>
      </c>
      <c r="Q10" s="6">
        <f t="shared" si="7"/>
        <v>7.7439090052179056</v>
      </c>
      <c r="R10" s="6">
        <f t="shared" si="2"/>
        <v>6.5768387012574054</v>
      </c>
    </row>
    <row r="11" spans="1:18" x14ac:dyDescent="0.25">
      <c r="A11" s="5">
        <v>10</v>
      </c>
      <c r="B11" s="5">
        <v>58.503768037410602</v>
      </c>
      <c r="C11" s="5">
        <v>-0.12156803741060429</v>
      </c>
      <c r="D11" s="22"/>
      <c r="E11" s="22" t="s">
        <v>11</v>
      </c>
      <c r="F11" s="22">
        <v>2.9750638286188149</v>
      </c>
      <c r="G11" s="22"/>
      <c r="H11" s="8">
        <f t="shared" si="3"/>
        <v>0.440233705963475</v>
      </c>
      <c r="I11" s="8">
        <v>3</v>
      </c>
      <c r="K11" s="5">
        <v>-0.55025487743321833</v>
      </c>
      <c r="L11" s="6">
        <f t="shared" si="4"/>
        <v>5.0592038450922416E-2</v>
      </c>
      <c r="M11" s="6">
        <f t="shared" si="5"/>
        <v>0.111543593160113</v>
      </c>
      <c r="N11" s="6">
        <f t="shared" si="0"/>
        <v>-0.13385576709160171</v>
      </c>
      <c r="O11" s="6">
        <f t="shared" si="1"/>
        <v>0.8747162183695516</v>
      </c>
      <c r="P11" s="6">
        <f t="shared" si="6"/>
        <v>0.54075255908473907</v>
      </c>
      <c r="Q11" s="6">
        <f t="shared" si="7"/>
        <v>6.8947430518545678</v>
      </c>
      <c r="R11" s="6">
        <f t="shared" si="2"/>
        <v>5.8556489891743935</v>
      </c>
    </row>
    <row r="12" spans="1:18" x14ac:dyDescent="0.25">
      <c r="A12" s="5">
        <v>11</v>
      </c>
      <c r="B12" s="5">
        <v>58.446149482874539</v>
      </c>
      <c r="C12" s="5">
        <v>9.9450517125461602E-2</v>
      </c>
      <c r="D12" s="22"/>
      <c r="E12" s="22" t="s">
        <v>12</v>
      </c>
      <c r="F12" s="22">
        <v>-1.472307326720049</v>
      </c>
      <c r="G12" s="22"/>
      <c r="H12" s="8">
        <f t="shared" si="3"/>
        <v>0.65273826515053324</v>
      </c>
      <c r="I12" s="8">
        <v>5</v>
      </c>
      <c r="K12" s="5">
        <v>-0.46925321227533345</v>
      </c>
      <c r="L12" s="6">
        <f t="shared" si="4"/>
        <v>4.0500832578942436E-2</v>
      </c>
      <c r="M12" s="6">
        <f t="shared" si="5"/>
        <v>0.2986469324102255</v>
      </c>
      <c r="N12" s="6">
        <f t="shared" si="0"/>
        <v>-0.35838557011465705</v>
      </c>
      <c r="O12" s="6">
        <f t="shared" si="1"/>
        <v>0.6988035852777732</v>
      </c>
      <c r="P12" s="6">
        <f t="shared" si="6"/>
        <v>0.4320027674128471</v>
      </c>
      <c r="Q12" s="6">
        <f t="shared" si="7"/>
        <v>5.5081534593993791</v>
      </c>
      <c r="R12" s="6">
        <f t="shared" si="2"/>
        <v>4.6780297676319771</v>
      </c>
    </row>
    <row r="13" spans="1:18" x14ac:dyDescent="0.25">
      <c r="A13" s="5">
        <v>12</v>
      </c>
      <c r="B13" s="5">
        <v>58.393353212275336</v>
      </c>
      <c r="C13" s="5">
        <v>-0.46925321227533345</v>
      </c>
      <c r="D13" s="22"/>
      <c r="E13" s="22" t="s">
        <v>13</v>
      </c>
      <c r="F13" s="22">
        <v>1.5027565018987659</v>
      </c>
      <c r="G13" s="22"/>
      <c r="H13" s="8">
        <f t="shared" si="3"/>
        <v>0.86524282433759148</v>
      </c>
      <c r="I13" s="8">
        <v>2</v>
      </c>
      <c r="K13" s="5">
        <v>-0.45664732730109847</v>
      </c>
      <c r="L13" s="6">
        <f t="shared" si="4"/>
        <v>6.3029424871174911E-3</v>
      </c>
      <c r="M13" s="6">
        <f t="shared" si="5"/>
        <v>0.57606664701090993</v>
      </c>
      <c r="N13" s="6">
        <f t="shared" si="0"/>
        <v>-0.69129782129975426</v>
      </c>
      <c r="O13" s="6">
        <f t="shared" si="1"/>
        <v>0.50092553518984495</v>
      </c>
      <c r="P13" s="6">
        <f t="shared" si="6"/>
        <v>0.30967387979807726</v>
      </c>
      <c r="Q13" s="6">
        <f t="shared" si="7"/>
        <v>3.9484266790941875</v>
      </c>
      <c r="R13" s="6">
        <f t="shared" si="2"/>
        <v>3.3533665458422037</v>
      </c>
    </row>
    <row r="14" spans="1:18" x14ac:dyDescent="0.25">
      <c r="A14" s="5">
        <v>13</v>
      </c>
      <c r="B14" s="5">
        <v>58.345379225612987</v>
      </c>
      <c r="C14" s="5">
        <v>-0.1859792256129893</v>
      </c>
      <c r="D14" s="22"/>
      <c r="E14" s="22" t="s">
        <v>14</v>
      </c>
      <c r="F14" s="22">
        <v>-8.4554585555451922E-13</v>
      </c>
      <c r="G14" s="22"/>
      <c r="H14" s="8">
        <f t="shared" si="3"/>
        <v>1.0777473835246496</v>
      </c>
      <c r="I14" s="8">
        <v>1</v>
      </c>
      <c r="K14" s="5">
        <v>-0.37487309511882927</v>
      </c>
      <c r="L14" s="6">
        <f t="shared" si="4"/>
        <v>4.0887116091134601E-2</v>
      </c>
      <c r="M14" s="6">
        <f t="shared" si="5"/>
        <v>0.94380273696216621</v>
      </c>
      <c r="N14" s="6">
        <f t="shared" si="0"/>
        <v>-1.1325925206468932</v>
      </c>
      <c r="O14" s="6">
        <f t="shared" si="1"/>
        <v>0.32219687067745822</v>
      </c>
      <c r="P14" s="6">
        <f t="shared" si="6"/>
        <v>0.19918320786676189</v>
      </c>
      <c r="Q14" s="6">
        <f t="shared" si="7"/>
        <v>2.5396403871114255</v>
      </c>
      <c r="R14" s="6">
        <f t="shared" si="2"/>
        <v>2.1568958485922658</v>
      </c>
    </row>
    <row r="15" spans="1:18" x14ac:dyDescent="0.25">
      <c r="A15" s="5">
        <v>14</v>
      </c>
      <c r="B15" s="5">
        <v>58.302227522887506</v>
      </c>
      <c r="C15" s="5">
        <v>4.3272477112495267E-2</v>
      </c>
      <c r="D15" s="22"/>
      <c r="E15" s="57" t="s">
        <v>15</v>
      </c>
      <c r="F15" s="57">
        <v>60</v>
      </c>
      <c r="G15" s="22"/>
      <c r="H15" s="8">
        <f t="shared" si="3"/>
        <v>1.2902519427117078</v>
      </c>
      <c r="I15" s="8">
        <v>2</v>
      </c>
      <c r="K15" s="5">
        <v>-0.36392186939520599</v>
      </c>
      <c r="L15" s="6">
        <f t="shared" si="4"/>
        <v>5.4756128618116406E-3</v>
      </c>
      <c r="M15" s="6">
        <f t="shared" si="5"/>
        <v>1.4018552022639936</v>
      </c>
      <c r="N15" s="6">
        <f t="shared" si="0"/>
        <v>-1.6822696681560732</v>
      </c>
      <c r="O15" s="6">
        <f t="shared" si="1"/>
        <v>0.18595144864074722</v>
      </c>
      <c r="P15" s="6">
        <f t="shared" si="6"/>
        <v>0.11495582179261296</v>
      </c>
      <c r="Q15" s="6">
        <f t="shared" si="7"/>
        <v>1.4657181741615144</v>
      </c>
      <c r="R15" s="6">
        <f t="shared" si="2"/>
        <v>1.2448224800248069</v>
      </c>
    </row>
    <row r="16" spans="1:18" ht="15.75" thickBot="1" x14ac:dyDescent="0.3">
      <c r="A16" s="5">
        <v>15</v>
      </c>
      <c r="B16" s="5">
        <v>58.263898104098885</v>
      </c>
      <c r="C16" s="5">
        <v>0.27470189590111715</v>
      </c>
      <c r="D16" s="22"/>
      <c r="E16" s="22"/>
      <c r="F16" s="22"/>
      <c r="G16" s="22"/>
      <c r="H16" s="8">
        <f t="shared" si="3"/>
        <v>1.5027565018987661</v>
      </c>
      <c r="I16" s="8">
        <v>3</v>
      </c>
      <c r="K16" s="5">
        <v>-0.32348935506743004</v>
      </c>
      <c r="L16" s="6">
        <f t="shared" si="4"/>
        <v>2.0216257163887974E-2</v>
      </c>
      <c r="M16" s="6">
        <f t="shared" si="5"/>
        <v>1.9502240429163942</v>
      </c>
      <c r="N16" s="6">
        <f t="shared" si="0"/>
        <v>-2.3403292638272961</v>
      </c>
      <c r="O16" s="6">
        <f t="shared" si="1"/>
        <v>9.6295926244746255E-2</v>
      </c>
      <c r="P16" s="6">
        <f t="shared" si="6"/>
        <v>5.9530471086203469E-2</v>
      </c>
      <c r="Q16" s="6">
        <f t="shared" si="7"/>
        <v>0.75902979098229506</v>
      </c>
      <c r="R16" s="60">
        <f t="shared" si="2"/>
        <v>0.64463780519321934</v>
      </c>
    </row>
    <row r="17" spans="1:25" ht="15.75" thickBot="1" x14ac:dyDescent="0.3">
      <c r="A17" s="5">
        <v>16</v>
      </c>
      <c r="B17" s="5">
        <v>58.230390969247132</v>
      </c>
      <c r="C17" s="5">
        <v>0.35350903075286766</v>
      </c>
      <c r="D17" s="22"/>
      <c r="E17" s="12" t="s">
        <v>20</v>
      </c>
      <c r="F17">
        <f>1+3.22*LN(F15)</f>
        <v>14.183789490355164</v>
      </c>
      <c r="K17" s="5">
        <v>-0.29973224209482652</v>
      </c>
      <c r="L17" s="6">
        <f t="shared" si="4"/>
        <v>1.1878556486301761E-2</v>
      </c>
      <c r="R17" s="61">
        <f>SUM(R2:R16)</f>
        <v>49.917855844470473</v>
      </c>
      <c r="S17" s="62" t="s">
        <v>81</v>
      </c>
      <c r="T17" s="63">
        <f>CHIINV(0.05,14)</f>
        <v>23.68479130484058</v>
      </c>
      <c r="U17" s="128" t="s">
        <v>82</v>
      </c>
      <c r="V17" s="129"/>
      <c r="W17" s="129"/>
      <c r="X17" s="129"/>
      <c r="Y17" s="129"/>
    </row>
    <row r="18" spans="1:25" ht="15.75" thickBot="1" x14ac:dyDescent="0.3">
      <c r="A18" s="5">
        <v>17</v>
      </c>
      <c r="B18" s="5">
        <v>58.201706118332226</v>
      </c>
      <c r="C18" s="5">
        <v>0.5886938816677727</v>
      </c>
      <c r="D18" s="22"/>
      <c r="E18" s="12" t="s">
        <v>19</v>
      </c>
      <c r="F18">
        <f>(F13-F12)/14</f>
        <v>0.21250455918705821</v>
      </c>
      <c r="H18" s="127" t="s">
        <v>74</v>
      </c>
      <c r="K18" s="5">
        <v>-0.29850887588353459</v>
      </c>
      <c r="L18" s="6">
        <f t="shared" si="4"/>
        <v>6.1168310564596595E-4</v>
      </c>
    </row>
    <row r="19" spans="1:25" ht="15.75" thickBot="1" x14ac:dyDescent="0.3">
      <c r="A19" s="5">
        <v>18</v>
      </c>
      <c r="B19" s="5">
        <v>58.177843551354194</v>
      </c>
      <c r="C19" s="5">
        <v>0.10415644864580287</v>
      </c>
      <c r="D19" s="22"/>
      <c r="H19" s="127"/>
      <c r="K19" s="5">
        <v>-0.28322712493986302</v>
      </c>
      <c r="L19" s="6">
        <f t="shared" si="4"/>
        <v>7.6408754718357841E-3</v>
      </c>
      <c r="Q19" s="64" t="s">
        <v>80</v>
      </c>
      <c r="R19" s="65">
        <f>ABS(F10)</f>
        <v>0.10052508428714771</v>
      </c>
      <c r="S19" s="65" t="s">
        <v>83</v>
      </c>
      <c r="T19" s="66">
        <f>1.5*((6*58)/(61*63))</f>
        <v>0.13583138173302109</v>
      </c>
      <c r="U19" s="130" t="s">
        <v>82</v>
      </c>
      <c r="V19" s="131"/>
      <c r="W19" s="131"/>
      <c r="X19" s="131"/>
      <c r="Y19" s="131"/>
    </row>
    <row r="20" spans="1:25" ht="15.75" thickBot="1" x14ac:dyDescent="0.3">
      <c r="A20" s="5">
        <v>19</v>
      </c>
      <c r="B20" s="5">
        <v>58.158803268313022</v>
      </c>
      <c r="C20" s="5">
        <v>-0.16300326831301959</v>
      </c>
      <c r="D20" s="22"/>
      <c r="H20" s="6" t="s">
        <v>50</v>
      </c>
      <c r="K20" s="5">
        <v>-0.21950491386343174</v>
      </c>
      <c r="L20" s="6">
        <f t="shared" si="4"/>
        <v>3.1861105538215639E-2</v>
      </c>
      <c r="Q20" s="64" t="s">
        <v>9</v>
      </c>
      <c r="R20" s="65">
        <f>ABS(F9+(6/60))</f>
        <v>0.60372936790398002</v>
      </c>
      <c r="S20" s="65" t="s">
        <v>81</v>
      </c>
      <c r="T20" s="66">
        <f>1.5*((24*60*58*57)/((61^2)*63*65))</f>
        <v>0.46864396017849391</v>
      </c>
      <c r="U20" s="130"/>
      <c r="V20" s="131"/>
      <c r="W20" s="131"/>
      <c r="X20" s="131"/>
      <c r="Y20" s="131"/>
    </row>
    <row r="21" spans="1:25" x14ac:dyDescent="0.25">
      <c r="A21" s="5">
        <v>20</v>
      </c>
      <c r="B21" s="5">
        <v>58.144585269208704</v>
      </c>
      <c r="C21" s="5">
        <v>1.3414730791296847E-2</v>
      </c>
      <c r="D21" s="22"/>
      <c r="H21" s="6">
        <f>(H3+H2)/2</f>
        <v>-1.3660550471265198</v>
      </c>
      <c r="K21" s="5">
        <v>-0.20497199829332402</v>
      </c>
      <c r="L21" s="6">
        <f t="shared" si="4"/>
        <v>7.2664577850538592E-3</v>
      </c>
    </row>
    <row r="22" spans="1:25" x14ac:dyDescent="0.25">
      <c r="A22" s="5">
        <v>21</v>
      </c>
      <c r="B22" s="5">
        <v>58.135189554041254</v>
      </c>
      <c r="C22" s="5">
        <v>-5.8789554041254632E-2</v>
      </c>
      <c r="D22" s="22"/>
      <c r="H22" s="6">
        <f t="shared" ref="H22:H34" si="8">(H4+H3)/2</f>
        <v>-1.1535504879394618</v>
      </c>
      <c r="K22" s="5">
        <v>-0.20323847176373988</v>
      </c>
      <c r="L22" s="6">
        <f t="shared" si="4"/>
        <v>8.6676326479206978E-4</v>
      </c>
    </row>
    <row r="23" spans="1:25" x14ac:dyDescent="0.25">
      <c r="A23" s="5">
        <v>22</v>
      </c>
      <c r="B23" s="5">
        <v>58.130616122810672</v>
      </c>
      <c r="C23" s="5">
        <v>0.11658387718932772</v>
      </c>
      <c r="D23" s="22"/>
      <c r="H23" s="6">
        <f>(H5+H4)/2</f>
        <v>-0.94104592875240345</v>
      </c>
      <c r="K23" s="5">
        <v>-0.1898186954261547</v>
      </c>
      <c r="L23" s="6">
        <f t="shared" si="4"/>
        <v>6.7098881687925882E-3</v>
      </c>
    </row>
    <row r="24" spans="1:25" x14ac:dyDescent="0.25">
      <c r="A24" s="5">
        <v>23</v>
      </c>
      <c r="B24" s="5">
        <v>58.130864975516943</v>
      </c>
      <c r="C24" s="5">
        <v>0.25923502448305413</v>
      </c>
      <c r="D24" s="22"/>
      <c r="H24" s="6">
        <f t="shared" si="8"/>
        <v>-0.72854136956534521</v>
      </c>
      <c r="K24" s="5">
        <v>-0.1859792256129893</v>
      </c>
      <c r="L24" s="6">
        <f t="shared" si="4"/>
        <v>1.9197349065827041E-3</v>
      </c>
    </row>
    <row r="25" spans="1:25" x14ac:dyDescent="0.25">
      <c r="A25" s="5">
        <v>24</v>
      </c>
      <c r="B25" s="5">
        <v>58.135936112160074</v>
      </c>
      <c r="C25" s="5">
        <v>9.3363887839927884E-2</v>
      </c>
      <c r="D25" s="22"/>
      <c r="H25" s="6">
        <f t="shared" si="8"/>
        <v>-0.51603681037828697</v>
      </c>
      <c r="K25" s="5">
        <v>-0.16300326831301959</v>
      </c>
      <c r="L25" s="6">
        <f t="shared" si="4"/>
        <v>1.1487978649984854E-2</v>
      </c>
    </row>
    <row r="26" spans="1:25" x14ac:dyDescent="0.25">
      <c r="A26" s="5">
        <v>25</v>
      </c>
      <c r="B26" s="5">
        <v>58.145829532740073</v>
      </c>
      <c r="C26" s="5">
        <v>0.59217046725992617</v>
      </c>
      <c r="D26" s="22"/>
      <c r="H26" s="6">
        <f t="shared" si="8"/>
        <v>-0.30353225119122873</v>
      </c>
      <c r="K26" s="5">
        <v>-0.12156803741060429</v>
      </c>
      <c r="L26" s="6">
        <f t="shared" si="4"/>
        <v>2.0717615451207649E-2</v>
      </c>
    </row>
    <row r="27" spans="1:25" x14ac:dyDescent="0.25">
      <c r="A27" s="5">
        <v>26</v>
      </c>
      <c r="B27" s="5">
        <v>58.160545237256933</v>
      </c>
      <c r="C27" s="5">
        <v>1.0059547627430661</v>
      </c>
      <c r="D27" s="22"/>
      <c r="H27" s="6">
        <f t="shared" si="8"/>
        <v>-9.1027692004170532E-2</v>
      </c>
      <c r="K27" s="5">
        <v>-5.8789554041254632E-2</v>
      </c>
      <c r="L27" s="6">
        <f t="shared" si="4"/>
        <v>3.1389241684674829E-2</v>
      </c>
    </row>
    <row r="28" spans="1:25" x14ac:dyDescent="0.25">
      <c r="A28" s="5">
        <v>27</v>
      </c>
      <c r="B28" s="5">
        <v>58.180083225710653</v>
      </c>
      <c r="C28" s="5">
        <v>1.1347167742893447</v>
      </c>
      <c r="D28" s="22"/>
      <c r="H28" s="6">
        <f t="shared" si="8"/>
        <v>0.12147686718288768</v>
      </c>
      <c r="K28" s="5">
        <v>-4.6565094923487038E-2</v>
      </c>
      <c r="L28" s="6">
        <f t="shared" si="4"/>
        <v>6.1122295588837972E-3</v>
      </c>
    </row>
    <row r="29" spans="1:25" x14ac:dyDescent="0.25">
      <c r="A29" s="5">
        <v>28</v>
      </c>
      <c r="B29" s="5">
        <v>58.204443498101234</v>
      </c>
      <c r="C29" s="5">
        <v>1.5027565018987659</v>
      </c>
      <c r="D29" s="22"/>
      <c r="H29" s="6">
        <f t="shared" si="8"/>
        <v>0.33398142636994588</v>
      </c>
      <c r="K29" s="5">
        <v>-3.042165638336769E-2</v>
      </c>
      <c r="L29" s="6">
        <f t="shared" si="4"/>
        <v>8.071719270059674E-3</v>
      </c>
    </row>
    <row r="30" spans="1:25" x14ac:dyDescent="0.25">
      <c r="A30" s="5">
        <v>29</v>
      </c>
      <c r="B30" s="5">
        <v>58.233626054428676</v>
      </c>
      <c r="C30" s="5">
        <v>0.48207394557132233</v>
      </c>
      <c r="D30" s="22"/>
      <c r="H30" s="6">
        <f t="shared" si="8"/>
        <v>0.54648598555700412</v>
      </c>
      <c r="K30" s="5">
        <v>-3.0377571080968835E-2</v>
      </c>
      <c r="L30" s="6">
        <f t="shared" si="4"/>
        <v>2.204265119942761E-5</v>
      </c>
    </row>
    <row r="31" spans="1:25" x14ac:dyDescent="0.25">
      <c r="A31" s="5">
        <v>30</v>
      </c>
      <c r="B31" s="5">
        <v>58.267630894692985</v>
      </c>
      <c r="C31" s="5">
        <v>1.8691053070156727E-3</v>
      </c>
      <c r="D31" s="22"/>
      <c r="H31" s="6">
        <f t="shared" si="8"/>
        <v>0.75899054474406236</v>
      </c>
      <c r="K31" s="5">
        <v>-2.1907427032175519E-2</v>
      </c>
      <c r="L31" s="6">
        <f t="shared" si="4"/>
        <v>4.2350720243966578E-3</v>
      </c>
    </row>
    <row r="32" spans="1:25" x14ac:dyDescent="0.25">
      <c r="A32" s="5">
        <v>31</v>
      </c>
      <c r="B32" s="5">
        <v>58.306458018894148</v>
      </c>
      <c r="C32" s="5">
        <v>0.20354198110585031</v>
      </c>
      <c r="D32" s="22"/>
      <c r="H32" s="6">
        <f t="shared" si="8"/>
        <v>0.9714951039311206</v>
      </c>
      <c r="K32" s="5">
        <v>1.8691053070156727E-3</v>
      </c>
      <c r="L32" s="6">
        <f t="shared" si="4"/>
        <v>1.1888266169595596E-2</v>
      </c>
    </row>
    <row r="33" spans="1:12" x14ac:dyDescent="0.25">
      <c r="A33" s="5">
        <v>32</v>
      </c>
      <c r="B33" s="5">
        <v>58.350107427032178</v>
      </c>
      <c r="C33" s="5">
        <v>-2.1907427032175519E-2</v>
      </c>
      <c r="D33" s="22"/>
      <c r="H33" s="6">
        <f t="shared" si="8"/>
        <v>1.1839996631181786</v>
      </c>
      <c r="K33" s="5">
        <v>1.3414730791296847E-2</v>
      </c>
      <c r="L33" s="6">
        <f t="shared" si="4"/>
        <v>5.7728127421405873E-3</v>
      </c>
    </row>
    <row r="34" spans="1:12" x14ac:dyDescent="0.25">
      <c r="A34" s="5">
        <v>33</v>
      </c>
      <c r="B34" s="5">
        <v>58.398579119107069</v>
      </c>
      <c r="C34" s="5">
        <v>3.0120880892930302E-2</v>
      </c>
      <c r="D34" s="22"/>
      <c r="H34" s="6">
        <f t="shared" si="8"/>
        <v>1.3965042223052371</v>
      </c>
      <c r="K34" s="5">
        <v>3.0120880892930302E-2</v>
      </c>
      <c r="L34" s="6">
        <f t="shared" si="4"/>
        <v>8.3530750508167273E-3</v>
      </c>
    </row>
    <row r="35" spans="1:12" x14ac:dyDescent="0.25">
      <c r="A35" s="5">
        <v>34</v>
      </c>
      <c r="B35" s="5">
        <v>58.451873095118827</v>
      </c>
      <c r="C35" s="5">
        <v>-0.37487309511882927</v>
      </c>
      <c r="D35" s="22"/>
      <c r="K35" s="5">
        <v>3.4522765769494868E-2</v>
      </c>
      <c r="L35" s="6">
        <f t="shared" si="4"/>
        <v>2.2009424382822829E-3</v>
      </c>
    </row>
    <row r="36" spans="1:12" x14ac:dyDescent="0.25">
      <c r="A36" s="5">
        <v>35</v>
      </c>
      <c r="B36" s="5">
        <v>58.509989355067432</v>
      </c>
      <c r="C36" s="5">
        <v>-0.32348935506743004</v>
      </c>
      <c r="D36" s="22"/>
      <c r="K36" s="5">
        <v>4.3272477112495267E-2</v>
      </c>
      <c r="L36" s="6">
        <f t="shared" si="4"/>
        <v>4.3748556715001996E-3</v>
      </c>
    </row>
    <row r="37" spans="1:12" x14ac:dyDescent="0.25">
      <c r="A37" s="5">
        <v>36</v>
      </c>
      <c r="B37" s="5">
        <v>58.572927898952912</v>
      </c>
      <c r="C37" s="5">
        <v>0.11937210104709095</v>
      </c>
      <c r="D37" s="22"/>
      <c r="K37" s="5">
        <v>8.3928161465550488E-2</v>
      </c>
      <c r="L37" s="6">
        <f t="shared" si="4"/>
        <v>2.0327842176527611E-2</v>
      </c>
    </row>
    <row r="38" spans="1:12" x14ac:dyDescent="0.25">
      <c r="A38" s="5">
        <v>37</v>
      </c>
      <c r="B38" s="5">
        <v>58.640688726775252</v>
      </c>
      <c r="C38" s="5">
        <v>0.16001127322474673</v>
      </c>
      <c r="D38" s="22"/>
      <c r="K38" s="5">
        <v>9.3363887839927884E-2</v>
      </c>
      <c r="L38" s="6">
        <f t="shared" si="4"/>
        <v>4.7178631871886978E-3</v>
      </c>
    </row>
    <row r="39" spans="1:12" x14ac:dyDescent="0.25">
      <c r="A39" s="5">
        <v>38</v>
      </c>
      <c r="B39" s="5">
        <v>58.713271838534446</v>
      </c>
      <c r="C39" s="5">
        <v>8.3928161465550488E-2</v>
      </c>
      <c r="D39" s="22"/>
      <c r="K39" s="5">
        <v>9.9450517125461602E-2</v>
      </c>
      <c r="L39" s="6">
        <f t="shared" si="4"/>
        <v>3.0433146427668589E-3</v>
      </c>
    </row>
    <row r="40" spans="1:12" x14ac:dyDescent="0.25">
      <c r="A40" s="5">
        <v>39</v>
      </c>
      <c r="B40" s="5">
        <v>58.790677234230508</v>
      </c>
      <c r="C40" s="5">
        <v>3.4522765769494868E-2</v>
      </c>
      <c r="D40" s="22"/>
      <c r="K40" s="5">
        <v>0.10415644864580287</v>
      </c>
      <c r="L40" s="6">
        <f t="shared" si="4"/>
        <v>2.3529657601706333E-3</v>
      </c>
    </row>
    <row r="41" spans="1:12" x14ac:dyDescent="0.25">
      <c r="A41" s="5">
        <v>40</v>
      </c>
      <c r="B41" s="5">
        <v>58.872904913863429</v>
      </c>
      <c r="C41" s="5">
        <v>-0.21950491386343174</v>
      </c>
      <c r="D41" s="22"/>
      <c r="K41" s="5">
        <v>0.11658387718932772</v>
      </c>
      <c r="L41" s="6">
        <f t="shared" si="4"/>
        <v>6.2137142717624272E-3</v>
      </c>
    </row>
    <row r="42" spans="1:12" x14ac:dyDescent="0.25">
      <c r="A42" s="5">
        <v>41</v>
      </c>
      <c r="B42" s="5">
        <v>58.959954877433219</v>
      </c>
      <c r="C42" s="5">
        <v>-0.55025487743321833</v>
      </c>
      <c r="D42" s="22"/>
      <c r="K42" s="5">
        <v>0.11937210104709095</v>
      </c>
      <c r="L42" s="6">
        <f t="shared" si="4"/>
        <v>1.3941119288816139E-3</v>
      </c>
    </row>
    <row r="43" spans="1:12" x14ac:dyDescent="0.25">
      <c r="A43" s="5">
        <v>42</v>
      </c>
      <c r="B43" s="5">
        <v>59.051827124939862</v>
      </c>
      <c r="C43" s="5">
        <v>-0.28322712493986302</v>
      </c>
      <c r="D43" s="22"/>
      <c r="K43" s="5">
        <v>0.13444259536002789</v>
      </c>
      <c r="L43" s="6">
        <f t="shared" si="4"/>
        <v>7.535247156468472E-3</v>
      </c>
    </row>
    <row r="44" spans="1:12" x14ac:dyDescent="0.25">
      <c r="A44" s="5">
        <v>43</v>
      </c>
      <c r="B44" s="5">
        <v>59.148521656383366</v>
      </c>
      <c r="C44" s="5">
        <v>-3.042165638336769E-2</v>
      </c>
      <c r="D44" s="22"/>
      <c r="K44" s="5">
        <v>0.16001127322474673</v>
      </c>
      <c r="L44" s="6">
        <f t="shared" si="4"/>
        <v>1.2784338932359418E-2</v>
      </c>
    </row>
    <row r="45" spans="1:12" x14ac:dyDescent="0.25">
      <c r="A45" s="5">
        <v>44</v>
      </c>
      <c r="B45" s="5">
        <v>59.250038471763737</v>
      </c>
      <c r="C45" s="5">
        <v>-0.20323847176373988</v>
      </c>
      <c r="D45" s="22"/>
      <c r="K45" s="5">
        <v>0.20354198110585031</v>
      </c>
      <c r="L45" s="6">
        <f t="shared" si="4"/>
        <v>2.176535394055179E-2</v>
      </c>
    </row>
    <row r="46" spans="1:12" x14ac:dyDescent="0.25">
      <c r="A46" s="5">
        <v>45</v>
      </c>
      <c r="B46" s="5">
        <v>59.356377571080969</v>
      </c>
      <c r="C46" s="5">
        <v>-3.0377571080968835E-2</v>
      </c>
      <c r="D46" s="22"/>
      <c r="K46" s="5">
        <v>0.25923502448305413</v>
      </c>
      <c r="L46" s="6">
        <f t="shared" si="4"/>
        <v>2.7846521688601911E-2</v>
      </c>
    </row>
    <row r="47" spans="1:12" x14ac:dyDescent="0.25">
      <c r="A47" s="5">
        <v>46</v>
      </c>
      <c r="B47" s="5">
        <v>59.467538954335062</v>
      </c>
      <c r="C47" s="5">
        <v>-0.65143895433506316</v>
      </c>
      <c r="D47" s="22"/>
      <c r="K47" s="5">
        <v>0.27470189590111715</v>
      </c>
      <c r="L47" s="6">
        <f t="shared" si="4"/>
        <v>7.7334357090315109E-3</v>
      </c>
    </row>
    <row r="48" spans="1:12" x14ac:dyDescent="0.25">
      <c r="A48" s="5">
        <v>47</v>
      </c>
      <c r="B48" s="5">
        <v>59.583522621526015</v>
      </c>
      <c r="C48" s="5">
        <v>-0.76582262152601288</v>
      </c>
      <c r="D48" s="22"/>
      <c r="K48" s="5">
        <v>0.35350903075286766</v>
      </c>
      <c r="L48" s="6">
        <f t="shared" si="4"/>
        <v>3.9403567425875252E-2</v>
      </c>
    </row>
    <row r="49" spans="1:12" x14ac:dyDescent="0.25">
      <c r="A49" s="5">
        <v>48</v>
      </c>
      <c r="B49" s="5">
        <v>59.704328572653836</v>
      </c>
      <c r="C49" s="5">
        <v>-1.1591285726538345</v>
      </c>
      <c r="D49" s="22"/>
      <c r="K49" s="5">
        <v>0.48207394557132233</v>
      </c>
      <c r="L49" s="6">
        <f t="shared" si="4"/>
        <v>6.4282457409227334E-2</v>
      </c>
    </row>
    <row r="50" spans="1:12" x14ac:dyDescent="0.25">
      <c r="A50" s="5">
        <v>49</v>
      </c>
      <c r="B50" s="5">
        <v>59.82995680771851</v>
      </c>
      <c r="C50" s="5">
        <v>-1.4503568077185065</v>
      </c>
      <c r="D50" s="22"/>
      <c r="K50" s="5">
        <v>0.53700581921932411</v>
      </c>
      <c r="L50" s="6">
        <f t="shared" si="4"/>
        <v>2.7465936824000892E-2</v>
      </c>
    </row>
    <row r="51" spans="1:12" x14ac:dyDescent="0.25">
      <c r="A51" s="5">
        <v>50</v>
      </c>
      <c r="B51" s="5">
        <v>59.960407326720052</v>
      </c>
      <c r="C51" s="5">
        <v>-1.472307326720049</v>
      </c>
      <c r="D51" s="22"/>
      <c r="K51" s="5">
        <v>0.57120493085613333</v>
      </c>
      <c r="L51" s="6">
        <f t="shared" si="4"/>
        <v>1.709955581840461E-2</v>
      </c>
    </row>
    <row r="52" spans="1:12" x14ac:dyDescent="0.25">
      <c r="A52" s="5">
        <v>51</v>
      </c>
      <c r="B52" s="5">
        <v>60.095680129658454</v>
      </c>
      <c r="C52" s="5">
        <v>-1.3445801296584534</v>
      </c>
      <c r="D52" s="22"/>
      <c r="K52" s="5">
        <v>0.5886938816677727</v>
      </c>
      <c r="L52" s="6">
        <f t="shared" si="4"/>
        <v>8.744475405819685E-3</v>
      </c>
    </row>
    <row r="53" spans="1:12" x14ac:dyDescent="0.25">
      <c r="A53" s="5">
        <v>52</v>
      </c>
      <c r="B53" s="5">
        <v>60.23577521653371</v>
      </c>
      <c r="C53" s="5">
        <v>-0.89337521653371255</v>
      </c>
      <c r="D53" s="22"/>
      <c r="K53" s="5">
        <v>0.59217046725992617</v>
      </c>
      <c r="L53" s="6">
        <f t="shared" si="4"/>
        <v>1.7382927960767347E-3</v>
      </c>
    </row>
    <row r="54" spans="1:12" x14ac:dyDescent="0.25">
      <c r="A54" s="5">
        <v>53</v>
      </c>
      <c r="B54" s="5">
        <v>60.380692587345834</v>
      </c>
      <c r="C54" s="5">
        <v>-0.65379258734583345</v>
      </c>
      <c r="D54" s="22"/>
      <c r="K54" s="5">
        <v>0.73553522510731995</v>
      </c>
      <c r="L54" s="6">
        <f t="shared" si="4"/>
        <v>7.1682378923696888E-2</v>
      </c>
    </row>
    <row r="55" spans="1:12" x14ac:dyDescent="0.25">
      <c r="A55" s="5">
        <v>54</v>
      </c>
      <c r="B55" s="5">
        <v>60.530432242094825</v>
      </c>
      <c r="C55" s="5">
        <v>-0.29973224209482652</v>
      </c>
      <c r="D55" s="22"/>
      <c r="K55" s="5">
        <v>0.81992159659661468</v>
      </c>
      <c r="L55" s="6">
        <f t="shared" si="4"/>
        <v>4.2193185744647366E-2</v>
      </c>
    </row>
    <row r="56" spans="1:12" x14ac:dyDescent="0.25">
      <c r="A56" s="5">
        <v>55</v>
      </c>
      <c r="B56" s="5">
        <v>60.684994180780677</v>
      </c>
      <c r="C56" s="5">
        <v>0.53700581921932411</v>
      </c>
      <c r="D56" s="22"/>
      <c r="K56" s="5">
        <v>1.0059547627430661</v>
      </c>
      <c r="L56" s="6">
        <f t="shared" si="4"/>
        <v>9.3016583073225689E-2</v>
      </c>
    </row>
    <row r="57" spans="1:12" x14ac:dyDescent="0.25">
      <c r="A57" s="5">
        <v>56</v>
      </c>
      <c r="B57" s="5">
        <v>60.844378403403383</v>
      </c>
      <c r="C57" s="5">
        <v>0.81992159659661468</v>
      </c>
      <c r="D57" s="22"/>
      <c r="K57" s="5">
        <v>1.1347167742893447</v>
      </c>
      <c r="L57" s="6">
        <f t="shared" si="4"/>
        <v>6.4381005773139321E-2</v>
      </c>
    </row>
    <row r="58" spans="1:12" x14ac:dyDescent="0.25">
      <c r="A58" s="5">
        <v>57</v>
      </c>
      <c r="B58" s="5">
        <v>61.008584909962956</v>
      </c>
      <c r="C58" s="5">
        <v>1.325215090037041</v>
      </c>
      <c r="D58" s="22"/>
      <c r="K58" s="5">
        <v>1.1602862995406085</v>
      </c>
      <c r="L58" s="6">
        <f t="shared" si="4"/>
        <v>1.2784762625631885E-2</v>
      </c>
    </row>
    <row r="59" spans="1:12" x14ac:dyDescent="0.25">
      <c r="A59" s="5">
        <v>58</v>
      </c>
      <c r="B59" s="5">
        <v>61.177613700459389</v>
      </c>
      <c r="C59" s="5">
        <v>1.1602862995406085</v>
      </c>
      <c r="D59" s="22"/>
      <c r="K59" s="5">
        <v>1.325215090037041</v>
      </c>
      <c r="L59" s="6">
        <f t="shared" si="4"/>
        <v>8.2464395248216249E-2</v>
      </c>
    </row>
    <row r="60" spans="1:12" x14ac:dyDescent="0.25">
      <c r="A60" s="5">
        <v>59</v>
      </c>
      <c r="B60" s="5">
        <v>61.351464774892683</v>
      </c>
      <c r="C60" s="5">
        <v>0.73553522510731995</v>
      </c>
      <c r="D60" s="22"/>
      <c r="K60" s="5">
        <v>1.4054618667371628</v>
      </c>
      <c r="L60" s="6">
        <f t="shared" si="4"/>
        <v>4.0123388350060907E-2</v>
      </c>
    </row>
    <row r="61" spans="1:12" x14ac:dyDescent="0.25">
      <c r="A61" s="5">
        <v>60</v>
      </c>
      <c r="B61" s="5">
        <v>61.530138133262838</v>
      </c>
      <c r="C61" s="5">
        <v>1.4054618667371628</v>
      </c>
      <c r="D61" s="22"/>
      <c r="K61" s="5">
        <v>1.5027565018987659</v>
      </c>
      <c r="L61" s="6">
        <f t="shared" si="4"/>
        <v>4.8647317580801541E-2</v>
      </c>
    </row>
    <row r="63" spans="1:12" x14ac:dyDescent="0.25">
      <c r="D63" s="22"/>
    </row>
  </sheetData>
  <sortState xmlns:xlrd2="http://schemas.microsoft.com/office/spreadsheetml/2017/richdata2" ref="K2:K61">
    <sortCondition ref="K2"/>
  </sortState>
  <mergeCells count="3">
    <mergeCell ref="H18:H19"/>
    <mergeCell ref="U17:Y17"/>
    <mergeCell ref="U19:Y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4"/>
  <sheetViews>
    <sheetView zoomScale="80" zoomScaleNormal="80" workbookViewId="0">
      <selection activeCell="O7" sqref="O7:R7"/>
    </sheetView>
  </sheetViews>
  <sheetFormatPr defaultRowHeight="15" x14ac:dyDescent="0.25"/>
  <cols>
    <col min="1" max="1" width="13.85546875" customWidth="1"/>
    <col min="2" max="2" width="20" customWidth="1"/>
    <col min="3" max="3" width="17.7109375" customWidth="1"/>
    <col min="4" max="4" width="13.140625" customWidth="1"/>
    <col min="5" max="5" width="6.140625" customWidth="1"/>
    <col min="6" max="6" width="12.85546875" customWidth="1"/>
    <col min="7" max="7" width="11.5703125" customWidth="1"/>
    <col min="8" max="8" width="12.42578125" customWidth="1"/>
    <col min="9" max="9" width="13.85546875" customWidth="1"/>
    <col min="10" max="10" width="15.28515625" customWidth="1"/>
    <col min="11" max="11" width="16.28515625" customWidth="1"/>
    <col min="12" max="12" width="21.7109375" customWidth="1"/>
    <col min="13" max="13" width="14.5703125" customWidth="1"/>
    <col min="14" max="14" width="15.140625" customWidth="1"/>
    <col min="15" max="15" width="14.28515625" customWidth="1"/>
    <col min="16" max="16" width="12.42578125" customWidth="1"/>
    <col min="17" max="17" width="14.140625" customWidth="1"/>
    <col min="18" max="18" width="14" customWidth="1"/>
  </cols>
  <sheetData>
    <row r="1" spans="1:19" x14ac:dyDescent="0.25">
      <c r="A1" s="8" t="s">
        <v>1</v>
      </c>
      <c r="B1" s="8" t="s">
        <v>0</v>
      </c>
      <c r="C1" s="8" t="s">
        <v>2</v>
      </c>
      <c r="E1" s="41"/>
      <c r="G1" s="139" t="s">
        <v>85</v>
      </c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1"/>
    </row>
    <row r="2" spans="1:19" x14ac:dyDescent="0.25">
      <c r="A2" s="67">
        <v>43379</v>
      </c>
      <c r="B2" s="68">
        <v>1</v>
      </c>
      <c r="C2" s="70">
        <v>58.539700000000003</v>
      </c>
      <c r="D2" s="132">
        <v>1</v>
      </c>
      <c r="E2" s="86"/>
      <c r="G2" s="72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73"/>
    </row>
    <row r="3" spans="1:19" x14ac:dyDescent="0.25">
      <c r="A3" s="67">
        <v>43382</v>
      </c>
      <c r="B3" s="68">
        <v>2</v>
      </c>
      <c r="C3" s="70">
        <v>58.948500000000003</v>
      </c>
      <c r="D3" s="132"/>
      <c r="E3" s="86"/>
      <c r="G3" s="74" t="s">
        <v>84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73"/>
    </row>
    <row r="4" spans="1:19" x14ac:dyDescent="0.25">
      <c r="A4" s="67">
        <v>43383</v>
      </c>
      <c r="B4" s="68">
        <v>3</v>
      </c>
      <c r="C4" s="70">
        <v>58.678199999999997</v>
      </c>
      <c r="D4" s="132"/>
      <c r="E4" s="86"/>
      <c r="G4" s="134" t="s">
        <v>28</v>
      </c>
      <c r="H4" s="135"/>
      <c r="I4" s="135"/>
      <c r="J4" s="135"/>
      <c r="K4" s="135"/>
      <c r="L4" s="136"/>
      <c r="M4" s="55"/>
      <c r="N4" s="44" t="s">
        <v>86</v>
      </c>
      <c r="O4" s="44">
        <f>I14/I7</f>
        <v>7.4306067283379198</v>
      </c>
      <c r="P4" s="55"/>
      <c r="Q4" s="55"/>
      <c r="R4" s="55"/>
      <c r="S4" s="73"/>
    </row>
    <row r="5" spans="1:19" x14ac:dyDescent="0.25">
      <c r="A5" s="67">
        <v>43384</v>
      </c>
      <c r="B5" s="68">
        <v>4</v>
      </c>
      <c r="C5" s="70">
        <v>58.494100000000003</v>
      </c>
      <c r="D5" s="132"/>
      <c r="E5" s="86"/>
      <c r="G5" s="75"/>
      <c r="H5" s="69" t="s">
        <v>33</v>
      </c>
      <c r="I5" s="69" t="s">
        <v>34</v>
      </c>
      <c r="J5" s="69" t="s">
        <v>35</v>
      </c>
      <c r="K5" s="69" t="s">
        <v>36</v>
      </c>
      <c r="L5" s="69" t="s">
        <v>37</v>
      </c>
      <c r="M5" s="55"/>
      <c r="N5" s="44" t="s">
        <v>88</v>
      </c>
      <c r="O5" s="44">
        <f>FINV(0.05,20,20)</f>
        <v>2.1241552129197361</v>
      </c>
      <c r="P5" s="55"/>
      <c r="Q5" s="55"/>
      <c r="R5" s="55"/>
      <c r="S5" s="73"/>
    </row>
    <row r="6" spans="1:19" x14ac:dyDescent="0.25">
      <c r="A6" s="67">
        <v>43385</v>
      </c>
      <c r="B6" s="68">
        <v>5</v>
      </c>
      <c r="C6" s="70">
        <v>59.435400000000001</v>
      </c>
      <c r="D6" s="132"/>
      <c r="E6" s="86"/>
      <c r="G6" s="76" t="s">
        <v>29</v>
      </c>
      <c r="H6" s="5">
        <v>1</v>
      </c>
      <c r="I6" s="5">
        <v>0.67444446045489115</v>
      </c>
      <c r="J6" s="5">
        <v>0.67444446045489115</v>
      </c>
      <c r="K6" s="5">
        <v>7.2949546398913716</v>
      </c>
      <c r="L6" s="5">
        <v>1.4623145584046664E-2</v>
      </c>
      <c r="M6" s="55"/>
      <c r="N6" s="55"/>
      <c r="O6" s="55"/>
      <c r="P6" s="55"/>
      <c r="Q6" s="55"/>
      <c r="R6" s="55"/>
      <c r="S6" s="73"/>
    </row>
    <row r="7" spans="1:19" x14ac:dyDescent="0.25">
      <c r="A7" s="67">
        <v>43386</v>
      </c>
      <c r="B7" s="68">
        <v>6</v>
      </c>
      <c r="C7" s="70">
        <v>58.735900000000001</v>
      </c>
      <c r="D7" s="132"/>
      <c r="E7" s="86"/>
      <c r="G7" s="76" t="s">
        <v>30</v>
      </c>
      <c r="H7" s="5">
        <v>18</v>
      </c>
      <c r="I7" s="5">
        <v>1.6641639170451124</v>
      </c>
      <c r="J7" s="5">
        <v>9.245355094695068E-2</v>
      </c>
      <c r="K7" s="5"/>
      <c r="L7" s="5"/>
      <c r="M7" s="55"/>
      <c r="N7" s="51" t="s">
        <v>87</v>
      </c>
      <c r="O7" s="142" t="s">
        <v>99</v>
      </c>
      <c r="P7" s="143"/>
      <c r="Q7" s="143"/>
      <c r="R7" s="144"/>
      <c r="S7" s="73"/>
    </row>
    <row r="8" spans="1:19" x14ac:dyDescent="0.25">
      <c r="A8" s="67">
        <v>43389</v>
      </c>
      <c r="B8" s="68">
        <v>7</v>
      </c>
      <c r="C8" s="70">
        <v>58.84</v>
      </c>
      <c r="D8" s="132"/>
      <c r="E8" s="86"/>
      <c r="G8" s="76" t="s">
        <v>31</v>
      </c>
      <c r="H8" s="5">
        <v>19</v>
      </c>
      <c r="I8" s="5">
        <v>2.3386083775000035</v>
      </c>
      <c r="J8" s="5"/>
      <c r="K8" s="5"/>
      <c r="L8" s="5"/>
      <c r="M8" s="55"/>
      <c r="N8" s="55"/>
      <c r="O8" s="55"/>
      <c r="P8" s="55"/>
      <c r="Q8" s="55"/>
      <c r="R8" s="55"/>
      <c r="S8" s="73"/>
    </row>
    <row r="9" spans="1:19" x14ac:dyDescent="0.25">
      <c r="A9" s="67">
        <v>43390</v>
      </c>
      <c r="B9" s="68">
        <v>8</v>
      </c>
      <c r="C9" s="70">
        <v>58.4285</v>
      </c>
      <c r="D9" s="132"/>
      <c r="E9" s="86"/>
      <c r="G9" s="72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73"/>
    </row>
    <row r="10" spans="1:19" x14ac:dyDescent="0.25">
      <c r="A10" s="67">
        <v>43391</v>
      </c>
      <c r="B10" s="68">
        <v>9</v>
      </c>
      <c r="C10" s="70">
        <v>58.267699999999998</v>
      </c>
      <c r="D10" s="132"/>
      <c r="E10" s="86"/>
      <c r="G10" s="74" t="s">
        <v>98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73"/>
    </row>
    <row r="11" spans="1:19" x14ac:dyDescent="0.25">
      <c r="A11" s="67">
        <v>43392</v>
      </c>
      <c r="B11" s="68">
        <v>10</v>
      </c>
      <c r="C11" s="70">
        <v>58.382199999999997</v>
      </c>
      <c r="D11" s="132"/>
      <c r="E11" s="86"/>
      <c r="G11" s="134" t="s">
        <v>28</v>
      </c>
      <c r="H11" s="135"/>
      <c r="I11" s="135"/>
      <c r="J11" s="135"/>
      <c r="K11" s="135"/>
      <c r="L11" s="136"/>
      <c r="M11" s="55"/>
      <c r="N11" s="55"/>
      <c r="O11" s="55"/>
      <c r="P11" s="55"/>
      <c r="Q11" s="55"/>
      <c r="R11" s="55"/>
      <c r="S11" s="73"/>
    </row>
    <row r="12" spans="1:19" x14ac:dyDescent="0.25">
      <c r="A12" s="67">
        <v>43393</v>
      </c>
      <c r="B12" s="68">
        <v>11</v>
      </c>
      <c r="C12" s="70">
        <v>58.5456</v>
      </c>
      <c r="D12" s="132"/>
      <c r="E12" s="86"/>
      <c r="G12" s="75"/>
      <c r="H12" s="69" t="s">
        <v>33</v>
      </c>
      <c r="I12" s="69" t="s">
        <v>34</v>
      </c>
      <c r="J12" s="69" t="s">
        <v>35</v>
      </c>
      <c r="K12" s="69" t="s">
        <v>36</v>
      </c>
      <c r="L12" s="69" t="s">
        <v>37</v>
      </c>
      <c r="M12" s="55"/>
      <c r="N12" s="55"/>
      <c r="O12" s="55"/>
      <c r="P12" s="55"/>
      <c r="Q12" s="55"/>
      <c r="R12" s="55"/>
      <c r="S12" s="73"/>
    </row>
    <row r="13" spans="1:19" x14ac:dyDescent="0.25">
      <c r="A13" s="67">
        <v>43396</v>
      </c>
      <c r="B13" s="68">
        <v>12</v>
      </c>
      <c r="C13" s="70">
        <v>57.924100000000003</v>
      </c>
      <c r="D13" s="132"/>
      <c r="E13" s="86"/>
      <c r="G13" s="76" t="s">
        <v>29</v>
      </c>
      <c r="H13" s="5">
        <v>1</v>
      </c>
      <c r="I13" s="5">
        <v>33.780067092947363</v>
      </c>
      <c r="J13" s="5">
        <v>33.780067092947363</v>
      </c>
      <c r="K13" s="5">
        <v>49.171406969331763</v>
      </c>
      <c r="L13" s="5">
        <v>1.5175979549791884E-6</v>
      </c>
      <c r="M13" s="55"/>
      <c r="N13" s="55"/>
      <c r="O13" s="55"/>
      <c r="P13" s="55"/>
      <c r="Q13" s="55"/>
      <c r="R13" s="55"/>
      <c r="S13" s="73"/>
    </row>
    <row r="14" spans="1:19" x14ac:dyDescent="0.25">
      <c r="A14" s="67">
        <v>43397</v>
      </c>
      <c r="B14" s="68">
        <v>13</v>
      </c>
      <c r="C14" s="70">
        <v>58.159399999999998</v>
      </c>
      <c r="D14" s="132"/>
      <c r="E14" s="86"/>
      <c r="G14" s="76" t="s">
        <v>30</v>
      </c>
      <c r="H14" s="5">
        <v>18</v>
      </c>
      <c r="I14" s="5">
        <v>12.3657475990526</v>
      </c>
      <c r="J14" s="5">
        <v>0.68698597772514447</v>
      </c>
      <c r="K14" s="5"/>
      <c r="L14" s="5"/>
      <c r="M14" s="55"/>
      <c r="N14" s="55"/>
      <c r="O14" s="55"/>
      <c r="P14" s="55"/>
      <c r="Q14" s="55"/>
      <c r="R14" s="55"/>
      <c r="S14" s="73"/>
    </row>
    <row r="15" spans="1:19" ht="15.75" thickBot="1" x14ac:dyDescent="0.3">
      <c r="A15" s="67">
        <v>43398</v>
      </c>
      <c r="B15" s="68">
        <v>14</v>
      </c>
      <c r="C15" s="70">
        <v>58.345500000000001</v>
      </c>
      <c r="D15" s="132"/>
      <c r="E15" s="86"/>
      <c r="G15" s="77" t="s">
        <v>31</v>
      </c>
      <c r="H15" s="78">
        <v>19</v>
      </c>
      <c r="I15" s="78">
        <v>46.145814691999959</v>
      </c>
      <c r="J15" s="78"/>
      <c r="K15" s="78"/>
      <c r="L15" s="78"/>
      <c r="M15" s="79"/>
      <c r="N15" s="79"/>
      <c r="O15" s="79"/>
      <c r="P15" s="79"/>
      <c r="Q15" s="79"/>
      <c r="R15" s="79"/>
      <c r="S15" s="80"/>
    </row>
    <row r="16" spans="1:19" x14ac:dyDescent="0.25">
      <c r="A16" s="67">
        <v>43399</v>
      </c>
      <c r="B16" s="68">
        <v>15</v>
      </c>
      <c r="C16" s="70">
        <v>58.538600000000002</v>
      </c>
      <c r="D16" s="132"/>
      <c r="E16" s="86"/>
    </row>
    <row r="17" spans="1:5" x14ac:dyDescent="0.25">
      <c r="A17" s="67">
        <v>43400</v>
      </c>
      <c r="B17" s="68">
        <v>16</v>
      </c>
      <c r="C17" s="70">
        <v>58.5839</v>
      </c>
      <c r="D17" s="132"/>
      <c r="E17" s="86"/>
    </row>
    <row r="18" spans="1:5" x14ac:dyDescent="0.25">
      <c r="A18" s="67">
        <v>43403</v>
      </c>
      <c r="B18" s="68">
        <v>17</v>
      </c>
      <c r="C18" s="70">
        <v>58.790399999999998</v>
      </c>
      <c r="D18" s="132"/>
      <c r="E18" s="86"/>
    </row>
    <row r="19" spans="1:5" x14ac:dyDescent="0.25">
      <c r="A19" s="67">
        <v>43404</v>
      </c>
      <c r="B19" s="68">
        <v>18</v>
      </c>
      <c r="C19" s="70">
        <v>58.281999999999996</v>
      </c>
      <c r="D19" s="132"/>
      <c r="E19" s="86"/>
    </row>
    <row r="20" spans="1:5" x14ac:dyDescent="0.25">
      <c r="A20" s="67">
        <v>43405</v>
      </c>
      <c r="B20" s="68">
        <v>19</v>
      </c>
      <c r="C20" s="70">
        <v>57.995800000000003</v>
      </c>
      <c r="D20" s="132"/>
      <c r="E20" s="86"/>
    </row>
    <row r="21" spans="1:5" x14ac:dyDescent="0.25">
      <c r="A21" s="67">
        <v>43406</v>
      </c>
      <c r="B21" s="68">
        <v>20</v>
      </c>
      <c r="C21" s="70">
        <v>58.158000000000001</v>
      </c>
      <c r="D21" s="132"/>
      <c r="E21" s="86"/>
    </row>
    <row r="22" spans="1:5" x14ac:dyDescent="0.25">
      <c r="A22" s="67">
        <v>43407</v>
      </c>
      <c r="B22" s="68">
        <v>21</v>
      </c>
      <c r="C22" s="7">
        <v>58.0764</v>
      </c>
      <c r="D22" s="133">
        <v>2</v>
      </c>
      <c r="E22" s="86"/>
    </row>
    <row r="23" spans="1:5" x14ac:dyDescent="0.25">
      <c r="A23" s="67">
        <v>43411</v>
      </c>
      <c r="B23" s="68">
        <v>22</v>
      </c>
      <c r="C23" s="7">
        <v>58.247199999999999</v>
      </c>
      <c r="D23" s="133"/>
      <c r="E23" s="86"/>
    </row>
    <row r="24" spans="1:5" x14ac:dyDescent="0.25">
      <c r="A24" s="67">
        <v>43412</v>
      </c>
      <c r="B24" s="68">
        <v>23</v>
      </c>
      <c r="C24" s="7">
        <v>58.390099999999997</v>
      </c>
      <c r="D24" s="133"/>
      <c r="E24" s="86"/>
    </row>
    <row r="25" spans="1:5" x14ac:dyDescent="0.25">
      <c r="A25" s="67">
        <v>43413</v>
      </c>
      <c r="B25" s="68">
        <v>24</v>
      </c>
      <c r="C25" s="7">
        <v>58.229300000000002</v>
      </c>
      <c r="D25" s="133"/>
      <c r="E25" s="86"/>
    </row>
    <row r="26" spans="1:5" x14ac:dyDescent="0.25">
      <c r="A26" s="67">
        <v>43414</v>
      </c>
      <c r="B26" s="68">
        <v>25</v>
      </c>
      <c r="C26" s="7">
        <v>58.738</v>
      </c>
      <c r="D26" s="133"/>
      <c r="E26" s="86"/>
    </row>
    <row r="27" spans="1:5" x14ac:dyDescent="0.25">
      <c r="A27" s="67">
        <v>43417</v>
      </c>
      <c r="B27" s="68">
        <v>26</v>
      </c>
      <c r="C27" s="7">
        <v>59.166499999999999</v>
      </c>
      <c r="D27" s="133"/>
      <c r="E27" s="86"/>
    </row>
    <row r="28" spans="1:5" x14ac:dyDescent="0.25">
      <c r="A28" s="67">
        <v>43418</v>
      </c>
      <c r="B28" s="68">
        <v>27</v>
      </c>
      <c r="C28" s="7">
        <v>59.314799999999998</v>
      </c>
      <c r="D28" s="133"/>
      <c r="E28" s="86"/>
    </row>
    <row r="29" spans="1:5" x14ac:dyDescent="0.25">
      <c r="A29" s="67">
        <v>43419</v>
      </c>
      <c r="B29" s="68">
        <v>28</v>
      </c>
      <c r="C29" s="7">
        <v>59.7072</v>
      </c>
      <c r="D29" s="133"/>
      <c r="E29" s="86"/>
    </row>
    <row r="30" spans="1:5" x14ac:dyDescent="0.25">
      <c r="A30" s="67">
        <v>43420</v>
      </c>
      <c r="B30" s="68">
        <v>29</v>
      </c>
      <c r="C30" s="7">
        <v>58.715699999999998</v>
      </c>
      <c r="D30" s="133"/>
      <c r="E30" s="86"/>
    </row>
    <row r="31" spans="1:5" x14ac:dyDescent="0.25">
      <c r="A31" s="67">
        <v>43421</v>
      </c>
      <c r="B31" s="68">
        <v>30</v>
      </c>
      <c r="C31" s="7">
        <v>58.269500000000001</v>
      </c>
      <c r="D31" s="133"/>
      <c r="E31" s="86"/>
    </row>
    <row r="32" spans="1:5" x14ac:dyDescent="0.25">
      <c r="A32" s="67">
        <v>43424</v>
      </c>
      <c r="B32" s="68">
        <v>31</v>
      </c>
      <c r="C32" s="7">
        <v>58.51</v>
      </c>
      <c r="D32" s="133"/>
      <c r="E32" s="86"/>
    </row>
    <row r="33" spans="1:5" x14ac:dyDescent="0.25">
      <c r="A33" s="67">
        <v>43425</v>
      </c>
      <c r="B33" s="68">
        <v>32</v>
      </c>
      <c r="C33" s="7">
        <v>58.328200000000002</v>
      </c>
      <c r="D33" s="133"/>
      <c r="E33" s="86"/>
    </row>
    <row r="34" spans="1:5" x14ac:dyDescent="0.25">
      <c r="A34" s="67">
        <v>43426</v>
      </c>
      <c r="B34" s="68">
        <v>33</v>
      </c>
      <c r="C34" s="7">
        <v>58.428699999999999</v>
      </c>
      <c r="D34" s="133"/>
      <c r="E34" s="86"/>
    </row>
    <row r="35" spans="1:5" x14ac:dyDescent="0.25">
      <c r="A35" s="67">
        <v>43427</v>
      </c>
      <c r="B35" s="68">
        <v>34</v>
      </c>
      <c r="C35" s="7">
        <v>58.076999999999998</v>
      </c>
      <c r="D35" s="133"/>
      <c r="E35" s="86"/>
    </row>
    <row r="36" spans="1:5" x14ac:dyDescent="0.25">
      <c r="A36" s="67">
        <v>43428</v>
      </c>
      <c r="B36" s="68">
        <v>35</v>
      </c>
      <c r="C36" s="7">
        <v>58.186500000000002</v>
      </c>
      <c r="D36" s="133"/>
      <c r="E36" s="86"/>
    </row>
    <row r="37" spans="1:5" x14ac:dyDescent="0.25">
      <c r="A37" s="67">
        <v>43431</v>
      </c>
      <c r="B37" s="68">
        <v>36</v>
      </c>
      <c r="C37" s="7">
        <v>58.692300000000003</v>
      </c>
      <c r="D37" s="133"/>
      <c r="E37" s="86"/>
    </row>
    <row r="38" spans="1:5" x14ac:dyDescent="0.25">
      <c r="A38" s="67">
        <v>43432</v>
      </c>
      <c r="B38" s="68">
        <v>37</v>
      </c>
      <c r="C38" s="7">
        <v>58.800699999999999</v>
      </c>
      <c r="D38" s="133"/>
      <c r="E38" s="86"/>
    </row>
    <row r="39" spans="1:5" x14ac:dyDescent="0.25">
      <c r="A39" s="67">
        <v>43433</v>
      </c>
      <c r="B39" s="68">
        <v>38</v>
      </c>
      <c r="C39" s="7">
        <v>58.797199999999997</v>
      </c>
      <c r="D39" s="133"/>
      <c r="E39" s="86"/>
    </row>
    <row r="40" spans="1:5" x14ac:dyDescent="0.25">
      <c r="A40" s="67">
        <v>43434</v>
      </c>
      <c r="B40" s="68">
        <v>39</v>
      </c>
      <c r="C40" s="7">
        <v>58.825200000000002</v>
      </c>
      <c r="D40" s="133"/>
      <c r="E40" s="86"/>
    </row>
    <row r="41" spans="1:5" x14ac:dyDescent="0.25">
      <c r="A41" s="67">
        <v>43435</v>
      </c>
      <c r="B41" s="68">
        <v>40</v>
      </c>
      <c r="C41" s="7">
        <v>58.653399999999998</v>
      </c>
      <c r="D41" s="133"/>
      <c r="E41" s="86"/>
    </row>
    <row r="42" spans="1:5" x14ac:dyDescent="0.25">
      <c r="A42" s="67">
        <v>43438</v>
      </c>
      <c r="B42" s="68">
        <v>41</v>
      </c>
      <c r="C42" s="71">
        <v>58.409700000000001</v>
      </c>
      <c r="D42" s="132">
        <v>3</v>
      </c>
      <c r="E42" s="86"/>
    </row>
    <row r="43" spans="1:5" x14ac:dyDescent="0.25">
      <c r="A43" s="67">
        <v>43439</v>
      </c>
      <c r="B43" s="68">
        <v>42</v>
      </c>
      <c r="C43" s="71">
        <v>58.768599999999999</v>
      </c>
      <c r="D43" s="132"/>
      <c r="E43" s="86"/>
    </row>
    <row r="44" spans="1:5" x14ac:dyDescent="0.25">
      <c r="A44" s="67">
        <v>43440</v>
      </c>
      <c r="B44" s="68">
        <v>43</v>
      </c>
      <c r="C44" s="71">
        <v>59.118099999999998</v>
      </c>
      <c r="D44" s="132"/>
      <c r="E44" s="86"/>
    </row>
    <row r="45" spans="1:5" x14ac:dyDescent="0.25">
      <c r="A45" s="67">
        <v>43441</v>
      </c>
      <c r="B45" s="68">
        <v>44</v>
      </c>
      <c r="C45" s="71">
        <v>59.046799999999998</v>
      </c>
      <c r="D45" s="132"/>
      <c r="E45" s="86"/>
    </row>
    <row r="46" spans="1:5" x14ac:dyDescent="0.25">
      <c r="A46" s="67">
        <v>43442</v>
      </c>
      <c r="B46" s="68">
        <v>45</v>
      </c>
      <c r="C46" s="71">
        <v>59.326000000000001</v>
      </c>
      <c r="D46" s="132"/>
      <c r="E46" s="86"/>
    </row>
    <row r="47" spans="1:5" x14ac:dyDescent="0.25">
      <c r="A47" s="67">
        <v>43445</v>
      </c>
      <c r="B47" s="68">
        <v>46</v>
      </c>
      <c r="C47" s="71">
        <v>58.816099999999999</v>
      </c>
      <c r="D47" s="132"/>
      <c r="E47" s="86"/>
    </row>
    <row r="48" spans="1:5" x14ac:dyDescent="0.25">
      <c r="A48" s="67">
        <v>43446</v>
      </c>
      <c r="B48" s="68">
        <v>47</v>
      </c>
      <c r="C48" s="71">
        <v>58.817700000000002</v>
      </c>
      <c r="D48" s="132"/>
      <c r="E48" s="86"/>
    </row>
    <row r="49" spans="1:20" x14ac:dyDescent="0.25">
      <c r="A49" s="67">
        <v>43447</v>
      </c>
      <c r="B49" s="68">
        <v>48</v>
      </c>
      <c r="C49" s="71">
        <v>58.545200000000001</v>
      </c>
      <c r="D49" s="132"/>
      <c r="E49" s="86"/>
    </row>
    <row r="50" spans="1:20" x14ac:dyDescent="0.25">
      <c r="A50" s="67">
        <v>43448</v>
      </c>
      <c r="B50" s="68">
        <v>49</v>
      </c>
      <c r="C50" s="71">
        <v>58.379600000000003</v>
      </c>
      <c r="D50" s="132"/>
      <c r="E50" s="86"/>
    </row>
    <row r="51" spans="1:20" x14ac:dyDescent="0.25">
      <c r="A51" s="67">
        <v>43449</v>
      </c>
      <c r="B51" s="68">
        <v>50</v>
      </c>
      <c r="C51" s="71">
        <v>58.488100000000003</v>
      </c>
      <c r="D51" s="132"/>
      <c r="E51" s="86"/>
    </row>
    <row r="52" spans="1:20" x14ac:dyDescent="0.25">
      <c r="A52" s="67">
        <v>43452</v>
      </c>
      <c r="B52" s="68">
        <v>51</v>
      </c>
      <c r="C52" s="71">
        <v>58.751100000000001</v>
      </c>
      <c r="D52" s="132"/>
      <c r="E52" s="86"/>
    </row>
    <row r="53" spans="1:20" x14ac:dyDescent="0.25">
      <c r="A53" s="67">
        <v>43453</v>
      </c>
      <c r="B53" s="68">
        <v>52</v>
      </c>
      <c r="C53" s="71">
        <v>59.342399999999998</v>
      </c>
      <c r="D53" s="132"/>
      <c r="E53" s="86"/>
    </row>
    <row r="54" spans="1:20" x14ac:dyDescent="0.25">
      <c r="A54" s="67">
        <v>43454</v>
      </c>
      <c r="B54" s="68">
        <v>53</v>
      </c>
      <c r="C54" s="71">
        <v>59.726900000000001</v>
      </c>
      <c r="D54" s="132"/>
      <c r="E54" s="86"/>
    </row>
    <row r="55" spans="1:20" x14ac:dyDescent="0.25">
      <c r="A55" s="67">
        <v>43455</v>
      </c>
      <c r="B55" s="68">
        <v>54</v>
      </c>
      <c r="C55" s="71">
        <v>60.230699999999999</v>
      </c>
      <c r="D55" s="132"/>
      <c r="E55" s="86"/>
    </row>
    <row r="56" spans="1:20" x14ac:dyDescent="0.25">
      <c r="A56" s="67">
        <v>43456</v>
      </c>
      <c r="B56" s="68">
        <v>55</v>
      </c>
      <c r="C56" s="71">
        <v>61.222000000000001</v>
      </c>
      <c r="D56" s="132"/>
      <c r="E56" s="86"/>
    </row>
    <row r="57" spans="1:20" x14ac:dyDescent="0.25">
      <c r="A57" s="67">
        <v>43459</v>
      </c>
      <c r="B57" s="68">
        <v>56</v>
      </c>
      <c r="C57" s="71">
        <v>61.664299999999997</v>
      </c>
      <c r="D57" s="132"/>
      <c r="E57" s="86"/>
    </row>
    <row r="58" spans="1:20" x14ac:dyDescent="0.25">
      <c r="A58" s="67">
        <v>43460</v>
      </c>
      <c r="B58" s="68">
        <v>57</v>
      </c>
      <c r="C58" s="71">
        <v>62.333799999999997</v>
      </c>
      <c r="D58" s="132"/>
      <c r="E58" s="86"/>
    </row>
    <row r="59" spans="1:20" x14ac:dyDescent="0.25">
      <c r="A59" s="67">
        <v>43461</v>
      </c>
      <c r="B59" s="68">
        <v>58</v>
      </c>
      <c r="C59" s="71">
        <v>62.337899999999998</v>
      </c>
      <c r="D59" s="132"/>
      <c r="E59" s="86"/>
    </row>
    <row r="60" spans="1:20" x14ac:dyDescent="0.25">
      <c r="A60" s="67">
        <v>43462</v>
      </c>
      <c r="B60" s="68">
        <v>59</v>
      </c>
      <c r="C60" s="71">
        <v>62.087000000000003</v>
      </c>
      <c r="D60" s="132"/>
      <c r="E60" s="86"/>
    </row>
    <row r="61" spans="1:20" x14ac:dyDescent="0.25">
      <c r="A61" s="67">
        <v>43463</v>
      </c>
      <c r="B61" s="68">
        <v>60</v>
      </c>
      <c r="C61" s="71">
        <v>62.935600000000001</v>
      </c>
      <c r="D61" s="132"/>
      <c r="E61" s="86"/>
    </row>
    <row r="62" spans="1:20" ht="15.75" thickBot="1" x14ac:dyDescent="0.3">
      <c r="E62" s="41"/>
    </row>
    <row r="63" spans="1:20" x14ac:dyDescent="0.25">
      <c r="A63" s="69" t="s">
        <v>49</v>
      </c>
      <c r="B63" s="81" t="s">
        <v>89</v>
      </c>
      <c r="C63" s="81" t="s">
        <v>90</v>
      </c>
      <c r="D63" s="81" t="s">
        <v>91</v>
      </c>
      <c r="E63" s="81" t="s">
        <v>55</v>
      </c>
      <c r="F63" s="69" t="s">
        <v>47</v>
      </c>
      <c r="G63" s="69" t="s">
        <v>92</v>
      </c>
      <c r="J63" s="139" t="s">
        <v>94</v>
      </c>
      <c r="K63" s="140"/>
      <c r="L63" s="140"/>
      <c r="M63" s="140"/>
      <c r="N63" s="140"/>
      <c r="O63" s="140"/>
      <c r="P63" s="140"/>
      <c r="Q63" s="140"/>
      <c r="R63" s="140"/>
      <c r="S63" s="140"/>
      <c r="T63" s="141"/>
    </row>
    <row r="64" spans="1:20" x14ac:dyDescent="0.25">
      <c r="A64" s="5">
        <v>-0.69963780539398357</v>
      </c>
      <c r="B64" s="6">
        <f>ABS(A64)</f>
        <v>0.69963780539398357</v>
      </c>
      <c r="C64" s="6">
        <f>F64^0.5</f>
        <v>1</v>
      </c>
      <c r="D64" s="6">
        <f>F64^1.5</f>
        <v>1</v>
      </c>
      <c r="E64" s="6">
        <f>F64^2</f>
        <v>1</v>
      </c>
      <c r="F64" s="5">
        <v>1</v>
      </c>
      <c r="G64" s="6">
        <f>A64^2</f>
        <v>0.48949305873650961</v>
      </c>
      <c r="J64" s="74" t="s">
        <v>93</v>
      </c>
      <c r="K64" s="55"/>
      <c r="L64" s="55"/>
      <c r="M64" s="55"/>
      <c r="N64" s="55"/>
      <c r="O64" s="55"/>
      <c r="P64" s="55"/>
      <c r="Q64" s="55"/>
      <c r="R64" s="55"/>
      <c r="S64" s="55"/>
      <c r="T64" s="73"/>
    </row>
    <row r="65" spans="1:20" x14ac:dyDescent="0.25">
      <c r="A65" s="5">
        <v>-0.1898186954261547</v>
      </c>
      <c r="B65" s="6">
        <f t="shared" ref="B65:B123" si="0">ABS(A65)</f>
        <v>0.1898186954261547</v>
      </c>
      <c r="C65" s="6">
        <f t="shared" ref="C65:C123" si="1">F65^0.5</f>
        <v>1.4142135623730951</v>
      </c>
      <c r="D65" s="6">
        <f t="shared" ref="D65:D123" si="2">F65^1.5</f>
        <v>2.8284271247461898</v>
      </c>
      <c r="E65" s="6">
        <f t="shared" ref="E65:E123" si="3">F65^2</f>
        <v>4</v>
      </c>
      <c r="F65" s="5">
        <v>2</v>
      </c>
      <c r="G65" s="6">
        <f t="shared" ref="G65:G123" si="4">A65^2</f>
        <v>3.6031137133287282E-2</v>
      </c>
      <c r="J65" s="82" t="s">
        <v>28</v>
      </c>
      <c r="K65" s="6"/>
      <c r="L65" s="6"/>
      <c r="M65" s="6"/>
      <c r="N65" s="6"/>
      <c r="O65" s="6"/>
      <c r="P65" s="55"/>
      <c r="Q65" s="87"/>
      <c r="R65" s="87"/>
      <c r="S65" s="87"/>
      <c r="T65" s="88"/>
    </row>
    <row r="66" spans="1:20" x14ac:dyDescent="0.25">
      <c r="A66" s="5">
        <v>-0.36392186939520599</v>
      </c>
      <c r="B66" s="6">
        <f t="shared" si="0"/>
        <v>0.36392186939520599</v>
      </c>
      <c r="C66" s="6">
        <f t="shared" si="1"/>
        <v>1.7320508075688772</v>
      </c>
      <c r="D66" s="6">
        <f t="shared" si="2"/>
        <v>5.196152422706632</v>
      </c>
      <c r="E66" s="6">
        <f t="shared" si="3"/>
        <v>9</v>
      </c>
      <c r="F66" s="5">
        <v>3</v>
      </c>
      <c r="G66" s="6">
        <f t="shared" si="4"/>
        <v>0.13243912702410138</v>
      </c>
      <c r="J66" s="75"/>
      <c r="K66" s="69" t="s">
        <v>33</v>
      </c>
      <c r="L66" s="69" t="s">
        <v>34</v>
      </c>
      <c r="M66" s="69" t="s">
        <v>35</v>
      </c>
      <c r="N66" s="69" t="s">
        <v>36</v>
      </c>
      <c r="O66" s="69" t="s">
        <v>37</v>
      </c>
      <c r="P66" s="55"/>
      <c r="Q66" s="87"/>
      <c r="R66" s="87"/>
      <c r="S66" s="87"/>
      <c r="T66" s="88"/>
    </row>
    <row r="67" spans="1:20" x14ac:dyDescent="0.25">
      <c r="A67" s="5">
        <v>-0.45664732730109847</v>
      </c>
      <c r="B67" s="6">
        <f t="shared" si="0"/>
        <v>0.45664732730109847</v>
      </c>
      <c r="C67" s="6">
        <f t="shared" si="1"/>
        <v>2</v>
      </c>
      <c r="D67" s="6">
        <f t="shared" si="2"/>
        <v>7.9999999999999982</v>
      </c>
      <c r="E67" s="6">
        <f t="shared" si="3"/>
        <v>16</v>
      </c>
      <c r="F67" s="5">
        <v>4</v>
      </c>
      <c r="G67" s="6">
        <f t="shared" si="4"/>
        <v>0.20852678153123655</v>
      </c>
      <c r="J67" s="76" t="s">
        <v>29</v>
      </c>
      <c r="K67" s="5">
        <v>1</v>
      </c>
      <c r="L67" s="5">
        <v>1.6814357519756129E-2</v>
      </c>
      <c r="M67" s="5">
        <v>1.6814357519756129E-2</v>
      </c>
      <c r="N67" s="5">
        <v>3.9698661794802068E-2</v>
      </c>
      <c r="O67" s="5">
        <v>0.84276777660049662</v>
      </c>
      <c r="P67" s="55"/>
      <c r="Q67" s="87"/>
      <c r="R67" s="87"/>
      <c r="S67" s="87"/>
      <c r="T67" s="88"/>
    </row>
    <row r="68" spans="1:20" x14ac:dyDescent="0.25">
      <c r="A68" s="5">
        <v>0.57120493085613333</v>
      </c>
      <c r="B68" s="6">
        <f t="shared" si="0"/>
        <v>0.57120493085613333</v>
      </c>
      <c r="C68" s="6">
        <f t="shared" si="1"/>
        <v>2.2360679774997898</v>
      </c>
      <c r="D68" s="6">
        <f t="shared" si="2"/>
        <v>11.180339887498945</v>
      </c>
      <c r="E68" s="6">
        <f t="shared" si="3"/>
        <v>25</v>
      </c>
      <c r="F68" s="5">
        <v>5</v>
      </c>
      <c r="G68" s="6">
        <f t="shared" si="4"/>
        <v>0.32627507303436004</v>
      </c>
      <c r="J68" s="76" t="s">
        <v>30</v>
      </c>
      <c r="K68" s="5">
        <v>58</v>
      </c>
      <c r="L68" s="5">
        <v>24.565884391436771</v>
      </c>
      <c r="M68" s="5">
        <v>0.42354973088684089</v>
      </c>
      <c r="N68" s="5"/>
      <c r="O68" s="5"/>
      <c r="P68" s="55"/>
      <c r="Q68" s="87"/>
      <c r="R68" s="87"/>
      <c r="S68" s="87"/>
      <c r="T68" s="88"/>
    </row>
    <row r="69" spans="1:20" x14ac:dyDescent="0.25">
      <c r="A69" s="5">
        <v>-4.6565094923487038E-2</v>
      </c>
      <c r="B69" s="6">
        <f t="shared" si="0"/>
        <v>4.6565094923487038E-2</v>
      </c>
      <c r="C69" s="6">
        <f t="shared" si="1"/>
        <v>2.4494897427831779</v>
      </c>
      <c r="D69" s="6">
        <f t="shared" si="2"/>
        <v>14.696938456699071</v>
      </c>
      <c r="E69" s="6">
        <f t="shared" si="3"/>
        <v>36</v>
      </c>
      <c r="F69" s="5">
        <v>6</v>
      </c>
      <c r="G69" s="6">
        <f t="shared" si="4"/>
        <v>2.1683080652333585E-3</v>
      </c>
      <c r="J69" s="76" t="s">
        <v>31</v>
      </c>
      <c r="K69" s="5">
        <v>59</v>
      </c>
      <c r="L69" s="5">
        <v>24.582698748956528</v>
      </c>
      <c r="M69" s="5"/>
      <c r="N69" s="5"/>
      <c r="O69" s="5"/>
      <c r="P69" s="55"/>
      <c r="Q69" s="87"/>
      <c r="R69" s="87"/>
      <c r="S69" s="87"/>
      <c r="T69" s="88"/>
    </row>
    <row r="70" spans="1:20" x14ac:dyDescent="0.25">
      <c r="A70" s="5">
        <v>0.13444259536002789</v>
      </c>
      <c r="B70" s="6">
        <f t="shared" si="0"/>
        <v>0.13444259536002789</v>
      </c>
      <c r="C70" s="6">
        <f t="shared" si="1"/>
        <v>2.6457513110645907</v>
      </c>
      <c r="D70" s="6">
        <f t="shared" si="2"/>
        <v>18.520259177452129</v>
      </c>
      <c r="E70" s="6">
        <f t="shared" si="3"/>
        <v>49</v>
      </c>
      <c r="F70" s="5">
        <v>7</v>
      </c>
      <c r="G70" s="6">
        <f t="shared" si="4"/>
        <v>1.8074811447140193E-2</v>
      </c>
      <c r="J70" s="72"/>
      <c r="K70" s="55"/>
      <c r="L70" s="55"/>
      <c r="M70" s="55"/>
      <c r="N70" s="55"/>
      <c r="O70" s="55"/>
      <c r="P70" s="55"/>
      <c r="Q70" s="55"/>
      <c r="R70" s="55"/>
      <c r="S70" s="55"/>
      <c r="T70" s="73"/>
    </row>
    <row r="71" spans="1:20" x14ac:dyDescent="0.25">
      <c r="A71" s="5">
        <v>-0.20497199829332402</v>
      </c>
      <c r="B71" s="6">
        <f t="shared" si="0"/>
        <v>0.20497199829332402</v>
      </c>
      <c r="C71" s="6">
        <f t="shared" si="1"/>
        <v>2.8284271247461903</v>
      </c>
      <c r="D71" s="6">
        <f t="shared" si="2"/>
        <v>22.627416997969508</v>
      </c>
      <c r="E71" s="6">
        <f t="shared" si="3"/>
        <v>64</v>
      </c>
      <c r="F71" s="5">
        <v>8</v>
      </c>
      <c r="G71" s="6">
        <f t="shared" si="4"/>
        <v>4.2013520084358422E-2</v>
      </c>
      <c r="J71" s="75"/>
      <c r="K71" s="69" t="s">
        <v>38</v>
      </c>
      <c r="L71" s="69" t="s">
        <v>4</v>
      </c>
      <c r="M71" s="69" t="s">
        <v>39</v>
      </c>
      <c r="N71" s="69" t="s">
        <v>40</v>
      </c>
      <c r="O71" s="69" t="s">
        <v>41</v>
      </c>
      <c r="P71" s="69" t="s">
        <v>42</v>
      </c>
      <c r="Q71" s="69" t="s">
        <v>43</v>
      </c>
      <c r="R71" s="69" t="s">
        <v>44</v>
      </c>
      <c r="S71" s="55"/>
      <c r="T71" s="73"/>
    </row>
    <row r="72" spans="1:20" x14ac:dyDescent="0.25">
      <c r="A72" s="5">
        <v>-0.29850887588353459</v>
      </c>
      <c r="B72" s="6">
        <f t="shared" si="0"/>
        <v>0.29850887588353459</v>
      </c>
      <c r="C72" s="6">
        <f t="shared" si="1"/>
        <v>3</v>
      </c>
      <c r="D72" s="6">
        <f t="shared" si="2"/>
        <v>27</v>
      </c>
      <c r="E72" s="6">
        <f t="shared" si="3"/>
        <v>81</v>
      </c>
      <c r="F72" s="5">
        <v>9</v>
      </c>
      <c r="G72" s="6">
        <f t="shared" si="4"/>
        <v>8.910754898125145E-2</v>
      </c>
      <c r="J72" s="76" t="s">
        <v>32</v>
      </c>
      <c r="K72" s="5">
        <v>-4.8914657947839078E-2</v>
      </c>
      <c r="L72" s="5">
        <v>0.25947889818572611</v>
      </c>
      <c r="M72" s="5">
        <v>-0.18851112090366454</v>
      </c>
      <c r="N72" s="47">
        <v>0.8511340459733765</v>
      </c>
      <c r="O72" s="5">
        <v>-0.56831810102449565</v>
      </c>
      <c r="P72" s="5">
        <v>0.47048878512881748</v>
      </c>
      <c r="Q72" s="5">
        <v>-0.56831810102449565</v>
      </c>
      <c r="R72" s="5">
        <v>0.47048878512881748</v>
      </c>
      <c r="S72" s="55"/>
      <c r="T72" s="73"/>
    </row>
    <row r="73" spans="1:20" x14ac:dyDescent="0.25">
      <c r="A73" s="5">
        <v>-0.12156803741060429</v>
      </c>
      <c r="B73" s="6">
        <f t="shared" si="0"/>
        <v>0.12156803741060429</v>
      </c>
      <c r="C73" s="6">
        <f t="shared" si="1"/>
        <v>3.1622776601683795</v>
      </c>
      <c r="D73" s="6">
        <f t="shared" si="2"/>
        <v>31.622776601683803</v>
      </c>
      <c r="E73" s="6">
        <f t="shared" si="3"/>
        <v>100</v>
      </c>
      <c r="F73" s="5">
        <v>10</v>
      </c>
      <c r="G73" s="6">
        <f t="shared" si="4"/>
        <v>1.4778787719866085E-2</v>
      </c>
      <c r="J73" s="76" t="s">
        <v>45</v>
      </c>
      <c r="K73" s="5">
        <v>9.3613839773874791E-3</v>
      </c>
      <c r="L73" s="5">
        <v>4.6984231259070836E-2</v>
      </c>
      <c r="M73" s="5">
        <v>0.1992452302937309</v>
      </c>
      <c r="N73" s="47">
        <v>0.84276777660049662</v>
      </c>
      <c r="O73" s="5">
        <v>-8.4687772454608318E-2</v>
      </c>
      <c r="P73" s="5">
        <v>0.10341054040938327</v>
      </c>
      <c r="Q73" s="5">
        <v>-8.4687772454608318E-2</v>
      </c>
      <c r="R73" s="5">
        <v>0.10341054040938327</v>
      </c>
      <c r="S73" s="55"/>
      <c r="T73" s="73"/>
    </row>
    <row r="74" spans="1:20" x14ac:dyDescent="0.25">
      <c r="A74" s="5">
        <v>9.9450517125461602E-2</v>
      </c>
      <c r="B74" s="6">
        <f t="shared" si="0"/>
        <v>9.9450517125461602E-2</v>
      </c>
      <c r="C74" s="6">
        <f t="shared" si="1"/>
        <v>3.3166247903553998</v>
      </c>
      <c r="D74" s="6">
        <f t="shared" si="2"/>
        <v>36.482872693909407</v>
      </c>
      <c r="E74" s="6">
        <f t="shared" si="3"/>
        <v>121</v>
      </c>
      <c r="F74" s="5">
        <v>11</v>
      </c>
      <c r="G74" s="6">
        <f t="shared" si="4"/>
        <v>9.890405356521732E-3</v>
      </c>
      <c r="J74" s="72"/>
      <c r="K74" s="55"/>
      <c r="L74" s="55"/>
      <c r="M74" s="55"/>
      <c r="N74" s="55"/>
      <c r="O74" s="55"/>
      <c r="P74" s="55"/>
      <c r="Q74" s="55"/>
      <c r="R74" s="55"/>
      <c r="S74" s="55"/>
      <c r="T74" s="73"/>
    </row>
    <row r="75" spans="1:20" x14ac:dyDescent="0.25">
      <c r="A75" s="5">
        <v>-0.46925321227533345</v>
      </c>
      <c r="B75" s="6">
        <f t="shared" si="0"/>
        <v>0.46925321227533345</v>
      </c>
      <c r="C75" s="6">
        <f t="shared" si="1"/>
        <v>3.4641016151377544</v>
      </c>
      <c r="D75" s="6">
        <f t="shared" si="2"/>
        <v>41.56921938165307</v>
      </c>
      <c r="E75" s="6">
        <f t="shared" si="3"/>
        <v>144</v>
      </c>
      <c r="F75" s="5">
        <v>12</v>
      </c>
      <c r="G75" s="6">
        <f t="shared" si="4"/>
        <v>0.22019857723071917</v>
      </c>
      <c r="J75" s="74" t="s">
        <v>95</v>
      </c>
      <c r="K75" s="55"/>
      <c r="L75" s="55"/>
      <c r="M75" s="55"/>
      <c r="N75" s="55"/>
      <c r="O75" s="55"/>
      <c r="P75" s="55"/>
      <c r="Q75" s="55"/>
      <c r="R75" s="55"/>
      <c r="S75" s="55"/>
      <c r="T75" s="73"/>
    </row>
    <row r="76" spans="1:20" x14ac:dyDescent="0.25">
      <c r="A76" s="5">
        <v>-0.1859792256129893</v>
      </c>
      <c r="B76" s="6">
        <f t="shared" si="0"/>
        <v>0.1859792256129893</v>
      </c>
      <c r="C76" s="6">
        <f t="shared" si="1"/>
        <v>3.6055512754639891</v>
      </c>
      <c r="D76" s="6">
        <f t="shared" si="2"/>
        <v>46.87216658103187</v>
      </c>
      <c r="E76" s="6">
        <f t="shared" si="3"/>
        <v>169</v>
      </c>
      <c r="F76" s="5">
        <v>13</v>
      </c>
      <c r="G76" s="6">
        <f t="shared" si="4"/>
        <v>3.4588272359607174E-2</v>
      </c>
      <c r="J76" s="82" t="s">
        <v>28</v>
      </c>
      <c r="K76" s="6"/>
      <c r="L76" s="6"/>
      <c r="M76" s="6"/>
      <c r="N76" s="6"/>
      <c r="O76" s="6"/>
      <c r="P76" s="55"/>
      <c r="Q76" s="145" t="s">
        <v>100</v>
      </c>
      <c r="R76" s="145"/>
      <c r="S76" s="145"/>
      <c r="T76" s="146"/>
    </row>
    <row r="77" spans="1:20" x14ac:dyDescent="0.25">
      <c r="A77" s="5">
        <v>4.3272477112495267E-2</v>
      </c>
      <c r="B77" s="6">
        <f t="shared" si="0"/>
        <v>4.3272477112495267E-2</v>
      </c>
      <c r="C77" s="6">
        <f t="shared" si="1"/>
        <v>3.7416573867739413</v>
      </c>
      <c r="D77" s="6">
        <f t="shared" si="2"/>
        <v>52.383203414835151</v>
      </c>
      <c r="E77" s="6">
        <f t="shared" si="3"/>
        <v>196</v>
      </c>
      <c r="F77" s="5">
        <v>14</v>
      </c>
      <c r="G77" s="6">
        <f t="shared" si="4"/>
        <v>1.8725072754514267E-3</v>
      </c>
      <c r="J77" s="75"/>
      <c r="K77" s="69" t="s">
        <v>33</v>
      </c>
      <c r="L77" s="69" t="s">
        <v>34</v>
      </c>
      <c r="M77" s="69" t="s">
        <v>35</v>
      </c>
      <c r="N77" s="69" t="s">
        <v>36</v>
      </c>
      <c r="O77" s="69" t="s">
        <v>37</v>
      </c>
      <c r="P77" s="55"/>
      <c r="Q77" s="145"/>
      <c r="R77" s="145"/>
      <c r="S77" s="145"/>
      <c r="T77" s="146"/>
    </row>
    <row r="78" spans="1:20" x14ac:dyDescent="0.25">
      <c r="A78" s="5">
        <v>0.27470189590111715</v>
      </c>
      <c r="B78" s="6">
        <f t="shared" si="0"/>
        <v>0.27470189590111715</v>
      </c>
      <c r="C78" s="6">
        <f t="shared" si="1"/>
        <v>3.872983346207417</v>
      </c>
      <c r="D78" s="6">
        <f t="shared" si="2"/>
        <v>58.094750193111238</v>
      </c>
      <c r="E78" s="6">
        <f t="shared" si="3"/>
        <v>225</v>
      </c>
      <c r="F78" s="5">
        <v>15</v>
      </c>
      <c r="G78" s="6">
        <f t="shared" si="4"/>
        <v>7.5461131611668203E-2</v>
      </c>
      <c r="J78" s="76" t="s">
        <v>29</v>
      </c>
      <c r="K78" s="5">
        <v>1</v>
      </c>
      <c r="L78" s="5">
        <v>1.1718664362199149E-3</v>
      </c>
      <c r="M78" s="5">
        <v>1.1718664362199149E-3</v>
      </c>
      <c r="N78" s="5">
        <v>2.7650134845401586E-3</v>
      </c>
      <c r="O78" s="5">
        <v>0.95824453984421321</v>
      </c>
      <c r="P78" s="55"/>
      <c r="Q78" s="145"/>
      <c r="R78" s="145"/>
      <c r="S78" s="145"/>
      <c r="T78" s="146"/>
    </row>
    <row r="79" spans="1:20" x14ac:dyDescent="0.25">
      <c r="A79" s="5">
        <v>0.35350903075286766</v>
      </c>
      <c r="B79" s="6">
        <f t="shared" si="0"/>
        <v>0.35350903075286766</v>
      </c>
      <c r="C79" s="6">
        <f t="shared" si="1"/>
        <v>4</v>
      </c>
      <c r="D79" s="6">
        <f t="shared" si="2"/>
        <v>63.999999999999979</v>
      </c>
      <c r="E79" s="6">
        <f t="shared" si="3"/>
        <v>256</v>
      </c>
      <c r="F79" s="5">
        <v>16</v>
      </c>
      <c r="G79" s="6">
        <f t="shared" si="4"/>
        <v>0.12496863482383193</v>
      </c>
      <c r="J79" s="76" t="s">
        <v>30</v>
      </c>
      <c r="K79" s="5">
        <v>58</v>
      </c>
      <c r="L79" s="5">
        <v>24.581526882520308</v>
      </c>
      <c r="M79" s="5">
        <v>0.42381942900897085</v>
      </c>
      <c r="N79" s="5"/>
      <c r="O79" s="5"/>
      <c r="P79" s="55"/>
      <c r="Q79" s="145"/>
      <c r="R79" s="145"/>
      <c r="S79" s="145"/>
      <c r="T79" s="146"/>
    </row>
    <row r="80" spans="1:20" x14ac:dyDescent="0.25">
      <c r="A80" s="5">
        <v>0.5886938816677727</v>
      </c>
      <c r="B80" s="6">
        <f t="shared" si="0"/>
        <v>0.5886938816677727</v>
      </c>
      <c r="C80" s="6">
        <f t="shared" si="1"/>
        <v>4.1231056256176606</v>
      </c>
      <c r="D80" s="6">
        <f t="shared" si="2"/>
        <v>70.092795635500266</v>
      </c>
      <c r="E80" s="6">
        <f t="shared" si="3"/>
        <v>289</v>
      </c>
      <c r="F80" s="5">
        <v>17</v>
      </c>
      <c r="G80" s="6">
        <f t="shared" si="4"/>
        <v>0.34656048631306957</v>
      </c>
      <c r="J80" s="76" t="s">
        <v>31</v>
      </c>
      <c r="K80" s="5">
        <v>59</v>
      </c>
      <c r="L80" s="5">
        <v>24.582698748956528</v>
      </c>
      <c r="M80" s="5"/>
      <c r="N80" s="5"/>
      <c r="O80" s="5"/>
      <c r="P80" s="55"/>
      <c r="Q80" s="145"/>
      <c r="R80" s="145"/>
      <c r="S80" s="145"/>
      <c r="T80" s="146"/>
    </row>
    <row r="81" spans="1:20" x14ac:dyDescent="0.25">
      <c r="A81" s="5">
        <v>0.10415644864580287</v>
      </c>
      <c r="B81" s="6">
        <f t="shared" si="0"/>
        <v>0.10415644864580287</v>
      </c>
      <c r="C81" s="6">
        <f t="shared" si="1"/>
        <v>4.2426406871192848</v>
      </c>
      <c r="D81" s="6">
        <f t="shared" si="2"/>
        <v>76.367532368147081</v>
      </c>
      <c r="E81" s="6">
        <f t="shared" si="3"/>
        <v>324</v>
      </c>
      <c r="F81" s="5">
        <v>18</v>
      </c>
      <c r="G81" s="6">
        <f t="shared" si="4"/>
        <v>1.0848565794505769E-2</v>
      </c>
      <c r="J81" s="72"/>
      <c r="K81" s="55"/>
      <c r="L81" s="55"/>
      <c r="M81" s="55"/>
      <c r="N81" s="55"/>
      <c r="O81" s="55"/>
      <c r="P81" s="55"/>
      <c r="Q81" s="55"/>
      <c r="R81" s="55"/>
      <c r="S81" s="55"/>
      <c r="T81" s="73"/>
    </row>
    <row r="82" spans="1:20" x14ac:dyDescent="0.25">
      <c r="A82" s="5">
        <v>-0.16300326831301959</v>
      </c>
      <c r="B82" s="6">
        <f t="shared" si="0"/>
        <v>0.16300326831301959</v>
      </c>
      <c r="C82" s="6">
        <f t="shared" si="1"/>
        <v>4.358898943540674</v>
      </c>
      <c r="D82" s="6">
        <f t="shared" si="2"/>
        <v>82.819079927272767</v>
      </c>
      <c r="E82" s="6">
        <f t="shared" si="3"/>
        <v>361</v>
      </c>
      <c r="F82" s="5">
        <v>19</v>
      </c>
      <c r="G82" s="6">
        <f t="shared" si="4"/>
        <v>2.6570065480726258E-2</v>
      </c>
      <c r="J82" s="75"/>
      <c r="K82" s="69" t="s">
        <v>38</v>
      </c>
      <c r="L82" s="69" t="s">
        <v>4</v>
      </c>
      <c r="M82" s="69" t="s">
        <v>39</v>
      </c>
      <c r="N82" s="69" t="s">
        <v>40</v>
      </c>
      <c r="O82" s="69" t="s">
        <v>41</v>
      </c>
      <c r="P82" s="69" t="s">
        <v>42</v>
      </c>
      <c r="Q82" s="69" t="s">
        <v>43</v>
      </c>
      <c r="R82" s="69" t="s">
        <v>44</v>
      </c>
      <c r="S82" s="55"/>
      <c r="T82" s="73"/>
    </row>
    <row r="83" spans="1:20" x14ac:dyDescent="0.25">
      <c r="A83" s="5">
        <v>1.3414730791296847E-2</v>
      </c>
      <c r="B83" s="6">
        <f t="shared" si="0"/>
        <v>1.3414730791296847E-2</v>
      </c>
      <c r="C83" s="6">
        <f t="shared" si="1"/>
        <v>4.4721359549995796</v>
      </c>
      <c r="D83" s="6">
        <f t="shared" si="2"/>
        <v>89.442719099991592</v>
      </c>
      <c r="E83" s="6">
        <f t="shared" si="3"/>
        <v>400</v>
      </c>
      <c r="F83" s="5">
        <v>20</v>
      </c>
      <c r="G83" s="6">
        <f t="shared" si="4"/>
        <v>1.7995500220296774E-4</v>
      </c>
      <c r="J83" s="76" t="s">
        <v>32</v>
      </c>
      <c r="K83" s="5">
        <v>5.9617522056283605E-3</v>
      </c>
      <c r="L83" s="5">
        <v>0.14113121905960324</v>
      </c>
      <c r="M83" s="5">
        <v>4.2242618219789939E-2</v>
      </c>
      <c r="N83" s="47">
        <v>0.96645037644208931</v>
      </c>
      <c r="O83" s="5">
        <v>-0.27654307426660085</v>
      </c>
      <c r="P83" s="5">
        <v>0.28846657867785752</v>
      </c>
      <c r="Q83" s="5">
        <v>-0.27654307426660085</v>
      </c>
      <c r="R83" s="5">
        <v>0.28846657867785752</v>
      </c>
      <c r="S83" s="55"/>
      <c r="T83" s="73"/>
    </row>
    <row r="84" spans="1:20" x14ac:dyDescent="0.25">
      <c r="A84" s="5">
        <v>-5.8789554041254632E-2</v>
      </c>
      <c r="B84" s="6">
        <f t="shared" si="0"/>
        <v>5.8789554041254632E-2</v>
      </c>
      <c r="C84" s="6">
        <f t="shared" si="1"/>
        <v>4.5825756949558398</v>
      </c>
      <c r="D84" s="6">
        <f t="shared" si="2"/>
        <v>96.234089594072671</v>
      </c>
      <c r="E84" s="6">
        <f t="shared" si="3"/>
        <v>441</v>
      </c>
      <c r="F84" s="5">
        <v>21</v>
      </c>
      <c r="G84" s="6">
        <f t="shared" si="4"/>
        <v>3.4562116643695991E-3</v>
      </c>
      <c r="J84" s="76" t="s">
        <v>45</v>
      </c>
      <c r="K84" s="5">
        <v>-3.1412048198874793E-5</v>
      </c>
      <c r="L84" s="5">
        <v>5.9737580442381871E-4</v>
      </c>
      <c r="M84" s="5">
        <v>-5.2583395521303984E-2</v>
      </c>
      <c r="N84" s="47">
        <v>0.95824453984416502</v>
      </c>
      <c r="O84" s="5">
        <v>-1.227189630876645E-3</v>
      </c>
      <c r="P84" s="5">
        <v>1.1643655344788955E-3</v>
      </c>
      <c r="Q84" s="5">
        <v>-1.227189630876645E-3</v>
      </c>
      <c r="R84" s="5">
        <v>1.1643655344788955E-3</v>
      </c>
      <c r="S84" s="55"/>
      <c r="T84" s="73"/>
    </row>
    <row r="85" spans="1:20" x14ac:dyDescent="0.25">
      <c r="A85" s="5">
        <v>0.11658387718932772</v>
      </c>
      <c r="B85" s="6">
        <f t="shared" si="0"/>
        <v>0.11658387718932772</v>
      </c>
      <c r="C85" s="6">
        <f t="shared" si="1"/>
        <v>4.6904157598234297</v>
      </c>
      <c r="D85" s="6">
        <f t="shared" si="2"/>
        <v>103.18914671611549</v>
      </c>
      <c r="E85" s="6">
        <f t="shared" si="3"/>
        <v>484</v>
      </c>
      <c r="F85" s="5">
        <v>22</v>
      </c>
      <c r="G85" s="6">
        <f t="shared" si="4"/>
        <v>1.3591800420496248E-2</v>
      </c>
      <c r="J85" s="72"/>
      <c r="K85" s="55"/>
      <c r="L85" s="55"/>
      <c r="M85" s="55"/>
      <c r="N85" s="55"/>
      <c r="O85" s="55"/>
      <c r="P85" s="55"/>
      <c r="Q85" s="55"/>
      <c r="R85" s="55"/>
      <c r="S85" s="55"/>
      <c r="T85" s="73"/>
    </row>
    <row r="86" spans="1:20" x14ac:dyDescent="0.25">
      <c r="A86" s="5">
        <v>0.25923502448305413</v>
      </c>
      <c r="B86" s="6">
        <f t="shared" si="0"/>
        <v>0.25923502448305413</v>
      </c>
      <c r="C86" s="6">
        <f t="shared" si="1"/>
        <v>4.7958315233127191</v>
      </c>
      <c r="D86" s="6">
        <f t="shared" si="2"/>
        <v>110.30412503619254</v>
      </c>
      <c r="E86" s="6">
        <f t="shared" si="3"/>
        <v>529</v>
      </c>
      <c r="F86" s="5">
        <v>23</v>
      </c>
      <c r="G86" s="6">
        <f t="shared" si="4"/>
        <v>6.720279791872967E-2</v>
      </c>
      <c r="J86" s="74" t="s">
        <v>96</v>
      </c>
      <c r="K86" s="55"/>
      <c r="L86" s="55"/>
      <c r="M86" s="55"/>
      <c r="N86" s="55"/>
      <c r="O86" s="55"/>
      <c r="P86" s="55"/>
      <c r="Q86" s="55"/>
      <c r="R86" s="55"/>
      <c r="S86" s="55"/>
      <c r="T86" s="73"/>
    </row>
    <row r="87" spans="1:20" x14ac:dyDescent="0.25">
      <c r="A87" s="5">
        <v>9.3363887839927884E-2</v>
      </c>
      <c r="B87" s="6">
        <f t="shared" si="0"/>
        <v>9.3363887839927884E-2</v>
      </c>
      <c r="C87" s="6">
        <f t="shared" si="1"/>
        <v>4.8989794855663558</v>
      </c>
      <c r="D87" s="6">
        <f t="shared" si="2"/>
        <v>117.5755076535926</v>
      </c>
      <c r="E87" s="6">
        <f t="shared" si="3"/>
        <v>576</v>
      </c>
      <c r="F87" s="5">
        <v>24</v>
      </c>
      <c r="G87" s="6">
        <f t="shared" si="4"/>
        <v>8.7168155525866337E-3</v>
      </c>
      <c r="J87" s="82" t="s">
        <v>28</v>
      </c>
      <c r="K87" s="6"/>
      <c r="L87" s="6"/>
      <c r="M87" s="6"/>
      <c r="N87" s="6"/>
      <c r="O87" s="6"/>
      <c r="P87" s="55"/>
      <c r="Q87" s="55"/>
      <c r="R87" s="55"/>
      <c r="S87" s="55"/>
      <c r="T87" s="73"/>
    </row>
    <row r="88" spans="1:20" x14ac:dyDescent="0.25">
      <c r="A88" s="5">
        <v>0.59217046725992617</v>
      </c>
      <c r="B88" s="6">
        <f t="shared" si="0"/>
        <v>0.59217046725992617</v>
      </c>
      <c r="C88" s="6">
        <f t="shared" si="1"/>
        <v>5</v>
      </c>
      <c r="D88" s="6">
        <f t="shared" si="2"/>
        <v>124.99999999999994</v>
      </c>
      <c r="E88" s="6">
        <f t="shared" si="3"/>
        <v>625</v>
      </c>
      <c r="F88" s="5">
        <v>25</v>
      </c>
      <c r="G88" s="6">
        <f t="shared" si="4"/>
        <v>0.35066586229483931</v>
      </c>
      <c r="J88" s="75"/>
      <c r="K88" s="69" t="s">
        <v>33</v>
      </c>
      <c r="L88" s="69" t="s">
        <v>34</v>
      </c>
      <c r="M88" s="69" t="s">
        <v>35</v>
      </c>
      <c r="N88" s="69" t="s">
        <v>36</v>
      </c>
      <c r="O88" s="69" t="s">
        <v>37</v>
      </c>
      <c r="P88" s="55"/>
      <c r="Q88" s="55"/>
      <c r="R88" s="55"/>
      <c r="S88" s="55"/>
      <c r="T88" s="73"/>
    </row>
    <row r="89" spans="1:20" x14ac:dyDescent="0.25">
      <c r="A89" s="5">
        <v>1.0059547627430661</v>
      </c>
      <c r="B89" s="6">
        <f t="shared" si="0"/>
        <v>1.0059547627430661</v>
      </c>
      <c r="C89" s="6">
        <f t="shared" si="1"/>
        <v>5.0990195135927845</v>
      </c>
      <c r="D89" s="6">
        <f t="shared" si="2"/>
        <v>132.57450735341246</v>
      </c>
      <c r="E89" s="6">
        <f t="shared" si="3"/>
        <v>676</v>
      </c>
      <c r="F89" s="5">
        <v>26</v>
      </c>
      <c r="G89" s="6">
        <f t="shared" si="4"/>
        <v>1.0119449846854582</v>
      </c>
      <c r="J89" s="76" t="s">
        <v>29</v>
      </c>
      <c r="K89" s="5">
        <v>1</v>
      </c>
      <c r="L89" s="5">
        <v>0</v>
      </c>
      <c r="M89" s="5">
        <v>0</v>
      </c>
      <c r="N89" s="5">
        <v>0</v>
      </c>
      <c r="O89" s="5">
        <v>1</v>
      </c>
      <c r="P89" s="55"/>
      <c r="Q89" s="55"/>
      <c r="R89" s="55"/>
      <c r="S89" s="55"/>
      <c r="T89" s="73"/>
    </row>
    <row r="90" spans="1:20" x14ac:dyDescent="0.25">
      <c r="A90" s="5">
        <v>1.1347167742893447</v>
      </c>
      <c r="B90" s="6">
        <f t="shared" si="0"/>
        <v>1.1347167742893447</v>
      </c>
      <c r="C90" s="6">
        <f t="shared" si="1"/>
        <v>5.196152422706632</v>
      </c>
      <c r="D90" s="6">
        <f t="shared" si="2"/>
        <v>140.29611541307906</v>
      </c>
      <c r="E90" s="6">
        <f t="shared" si="3"/>
        <v>729</v>
      </c>
      <c r="F90" s="5">
        <v>27</v>
      </c>
      <c r="G90" s="6">
        <f t="shared" si="4"/>
        <v>1.2875821578536157</v>
      </c>
      <c r="J90" s="76" t="s">
        <v>30</v>
      </c>
      <c r="K90" s="5">
        <v>58</v>
      </c>
      <c r="L90" s="5">
        <v>24.582698748956528</v>
      </c>
      <c r="M90" s="5">
        <v>0.42383963360269877</v>
      </c>
      <c r="N90" s="5"/>
      <c r="O90" s="5"/>
      <c r="P90" s="55"/>
      <c r="Q90" s="55"/>
      <c r="R90" s="55"/>
      <c r="S90" s="55"/>
      <c r="T90" s="73"/>
    </row>
    <row r="91" spans="1:20" x14ac:dyDescent="0.25">
      <c r="A91" s="5">
        <v>1.5027565018987659</v>
      </c>
      <c r="B91" s="6">
        <f t="shared" si="0"/>
        <v>1.5027565018987659</v>
      </c>
      <c r="C91" s="6">
        <f t="shared" si="1"/>
        <v>5.2915026221291814</v>
      </c>
      <c r="D91" s="6">
        <f t="shared" si="2"/>
        <v>148.162073419617</v>
      </c>
      <c r="E91" s="6">
        <f t="shared" si="3"/>
        <v>784</v>
      </c>
      <c r="F91" s="5">
        <v>28</v>
      </c>
      <c r="G91" s="6">
        <f t="shared" si="4"/>
        <v>2.2582771039990153</v>
      </c>
      <c r="J91" s="76" t="s">
        <v>31</v>
      </c>
      <c r="K91" s="5">
        <v>59</v>
      </c>
      <c r="L91" s="5">
        <v>24.582698748956528</v>
      </c>
      <c r="M91" s="5"/>
      <c r="N91" s="5"/>
      <c r="O91" s="5"/>
      <c r="P91" s="55"/>
      <c r="Q91" s="55"/>
      <c r="R91" s="55"/>
      <c r="S91" s="55"/>
      <c r="T91" s="73"/>
    </row>
    <row r="92" spans="1:20" x14ac:dyDescent="0.25">
      <c r="A92" s="5">
        <v>0.48207394557132233</v>
      </c>
      <c r="B92" s="6">
        <f t="shared" si="0"/>
        <v>0.48207394557132233</v>
      </c>
      <c r="C92" s="6">
        <f t="shared" si="1"/>
        <v>5.3851648071345037</v>
      </c>
      <c r="D92" s="6">
        <f t="shared" si="2"/>
        <v>156.1697794069006</v>
      </c>
      <c r="E92" s="6">
        <f t="shared" si="3"/>
        <v>841</v>
      </c>
      <c r="F92" s="5">
        <v>29</v>
      </c>
      <c r="G92" s="6">
        <f t="shared" si="4"/>
        <v>0.23239528899870224</v>
      </c>
      <c r="J92" s="72"/>
      <c r="K92" s="55"/>
      <c r="L92" s="55"/>
      <c r="M92" s="55"/>
      <c r="N92" s="55"/>
      <c r="O92" s="55"/>
      <c r="P92" s="55"/>
      <c r="Q92" s="55"/>
      <c r="R92" s="55"/>
      <c r="S92" s="55"/>
      <c r="T92" s="73"/>
    </row>
    <row r="93" spans="1:20" x14ac:dyDescent="0.25">
      <c r="A93" s="5">
        <v>1.8691053070156727E-3</v>
      </c>
      <c r="B93" s="6">
        <f t="shared" si="0"/>
        <v>1.8691053070156727E-3</v>
      </c>
      <c r="C93" s="6">
        <f t="shared" si="1"/>
        <v>5.4772255750516612</v>
      </c>
      <c r="D93" s="6">
        <f t="shared" si="2"/>
        <v>164.31676725154981</v>
      </c>
      <c r="E93" s="6">
        <f t="shared" si="3"/>
        <v>900</v>
      </c>
      <c r="F93" s="5">
        <v>30</v>
      </c>
      <c r="G93" s="6">
        <f t="shared" si="4"/>
        <v>3.4935546487141518E-6</v>
      </c>
      <c r="J93" s="75"/>
      <c r="K93" s="69" t="s">
        <v>38</v>
      </c>
      <c r="L93" s="69" t="s">
        <v>4</v>
      </c>
      <c r="M93" s="69" t="s">
        <v>39</v>
      </c>
      <c r="N93" s="69" t="s">
        <v>40</v>
      </c>
      <c r="O93" s="69" t="s">
        <v>41</v>
      </c>
      <c r="P93" s="69" t="s">
        <v>42</v>
      </c>
      <c r="Q93" s="69" t="s">
        <v>43</v>
      </c>
      <c r="R93" s="69" t="s">
        <v>44</v>
      </c>
      <c r="S93" s="55"/>
      <c r="T93" s="73"/>
    </row>
    <row r="94" spans="1:20" x14ac:dyDescent="0.25">
      <c r="A94" s="5">
        <v>0.20354198110585031</v>
      </c>
      <c r="B94" s="6">
        <f t="shared" si="0"/>
        <v>0.20354198110585031</v>
      </c>
      <c r="C94" s="6">
        <f t="shared" si="1"/>
        <v>5.5677643628300215</v>
      </c>
      <c r="D94" s="6">
        <f t="shared" si="2"/>
        <v>172.60069524773075</v>
      </c>
      <c r="E94" s="6">
        <f t="shared" si="3"/>
        <v>961</v>
      </c>
      <c r="F94" s="5">
        <v>31</v>
      </c>
      <c r="G94" s="6">
        <f t="shared" si="4"/>
        <v>4.1429338072494326E-2</v>
      </c>
      <c r="J94" s="76" t="s">
        <v>32</v>
      </c>
      <c r="K94" s="5">
        <v>-1.3251202767857668E-14</v>
      </c>
      <c r="L94" s="5">
        <v>0.12674050213121429</v>
      </c>
      <c r="M94" s="5">
        <v>-1.0455381306710237E-13</v>
      </c>
      <c r="N94" s="47">
        <v>1</v>
      </c>
      <c r="O94" s="5">
        <v>-0.25369867701959337</v>
      </c>
      <c r="P94" s="5">
        <v>0.25369867701956683</v>
      </c>
      <c r="Q94" s="5">
        <v>-0.25369867701959337</v>
      </c>
      <c r="R94" s="5">
        <v>0.25369867701956683</v>
      </c>
      <c r="S94" s="55"/>
      <c r="T94" s="73"/>
    </row>
    <row r="95" spans="1:20" ht="15.75" thickBot="1" x14ac:dyDescent="0.3">
      <c r="A95" s="5">
        <v>-2.1907427032175519E-2</v>
      </c>
      <c r="B95" s="6">
        <f t="shared" si="0"/>
        <v>2.1907427032175519E-2</v>
      </c>
      <c r="C95" s="6">
        <f t="shared" si="1"/>
        <v>5.6568542494923806</v>
      </c>
      <c r="D95" s="6">
        <f t="shared" si="2"/>
        <v>181.01933598375612</v>
      </c>
      <c r="E95" s="6">
        <f t="shared" si="3"/>
        <v>1024</v>
      </c>
      <c r="F95" s="5">
        <v>32</v>
      </c>
      <c r="G95" s="6">
        <f t="shared" si="4"/>
        <v>4.7993535917009467E-4</v>
      </c>
      <c r="J95" s="77" t="s">
        <v>45</v>
      </c>
      <c r="K95" s="78">
        <v>-6.8383267149517877E-19</v>
      </c>
      <c r="L95" s="78">
        <v>7.7114679080644521E-5</v>
      </c>
      <c r="M95" s="78">
        <v>-8.8677367220843186E-15</v>
      </c>
      <c r="N95" s="89">
        <v>1</v>
      </c>
      <c r="O95" s="78">
        <v>-1.5436180015520701E-4</v>
      </c>
      <c r="P95" s="78">
        <v>1.5436180015520565E-4</v>
      </c>
      <c r="Q95" s="78">
        <v>-1.5436180015520701E-4</v>
      </c>
      <c r="R95" s="78">
        <v>1.5436180015520565E-4</v>
      </c>
      <c r="S95" s="79"/>
      <c r="T95" s="80"/>
    </row>
    <row r="96" spans="1:20" ht="15.75" thickBot="1" x14ac:dyDescent="0.3">
      <c r="A96" s="5">
        <v>3.0120880892930302E-2</v>
      </c>
      <c r="B96" s="6">
        <f t="shared" si="0"/>
        <v>3.0120880892930302E-2</v>
      </c>
      <c r="C96" s="6">
        <f t="shared" si="1"/>
        <v>5.7445626465380286</v>
      </c>
      <c r="D96" s="6">
        <f t="shared" si="2"/>
        <v>189.57056733575499</v>
      </c>
      <c r="E96" s="6">
        <f t="shared" si="3"/>
        <v>1089</v>
      </c>
      <c r="F96" s="5">
        <v>33</v>
      </c>
      <c r="G96" s="6">
        <f t="shared" si="4"/>
        <v>9.0726746576609378E-4</v>
      </c>
    </row>
    <row r="97" spans="1:18" x14ac:dyDescent="0.25">
      <c r="A97" s="5">
        <v>-0.37487309511882927</v>
      </c>
      <c r="B97" s="6">
        <f t="shared" si="0"/>
        <v>0.37487309511882927</v>
      </c>
      <c r="C97" s="6">
        <f t="shared" si="1"/>
        <v>5.8309518948453007</v>
      </c>
      <c r="D97" s="6">
        <f t="shared" si="2"/>
        <v>198.25236442474019</v>
      </c>
      <c r="E97" s="6">
        <f t="shared" si="3"/>
        <v>1156</v>
      </c>
      <c r="F97" s="5">
        <v>34</v>
      </c>
      <c r="G97" s="6">
        <f t="shared" si="4"/>
        <v>0.14052983744397082</v>
      </c>
      <c r="J97" s="139" t="s">
        <v>97</v>
      </c>
      <c r="K97" s="140"/>
      <c r="L97" s="140"/>
      <c r="M97" s="140"/>
      <c r="N97" s="140"/>
      <c r="O97" s="140"/>
      <c r="P97" s="140"/>
      <c r="Q97" s="140"/>
      <c r="R97" s="141"/>
    </row>
    <row r="98" spans="1:18" x14ac:dyDescent="0.25">
      <c r="A98" s="5">
        <v>-0.32348935506743004</v>
      </c>
      <c r="B98" s="6">
        <f t="shared" si="0"/>
        <v>0.32348935506743004</v>
      </c>
      <c r="C98" s="6">
        <f t="shared" si="1"/>
        <v>5.9160797830996161</v>
      </c>
      <c r="D98" s="6">
        <f t="shared" si="2"/>
        <v>207.06279240848656</v>
      </c>
      <c r="E98" s="6">
        <f t="shared" si="3"/>
        <v>1225</v>
      </c>
      <c r="F98" s="5">
        <v>35</v>
      </c>
      <c r="G98" s="6">
        <f t="shared" si="4"/>
        <v>0.10464536284194183</v>
      </c>
      <c r="J98" s="82" t="s">
        <v>28</v>
      </c>
      <c r="K98" s="6"/>
      <c r="L98" s="6"/>
      <c r="M98" s="6"/>
      <c r="N98" s="6"/>
      <c r="O98" s="6"/>
      <c r="P98" s="55"/>
      <c r="Q98" s="55"/>
      <c r="R98" s="73"/>
    </row>
    <row r="99" spans="1:18" x14ac:dyDescent="0.25">
      <c r="A99" s="5">
        <v>0.11937210104709095</v>
      </c>
      <c r="B99" s="6">
        <f t="shared" si="0"/>
        <v>0.11937210104709095</v>
      </c>
      <c r="C99" s="6">
        <f t="shared" si="1"/>
        <v>6</v>
      </c>
      <c r="D99" s="6">
        <f t="shared" si="2"/>
        <v>216.00000000000006</v>
      </c>
      <c r="E99" s="6">
        <f t="shared" si="3"/>
        <v>1296</v>
      </c>
      <c r="F99" s="5">
        <v>36</v>
      </c>
      <c r="G99" s="6">
        <f t="shared" si="4"/>
        <v>1.4249698508396892E-2</v>
      </c>
      <c r="J99" s="75"/>
      <c r="K99" s="69" t="s">
        <v>33</v>
      </c>
      <c r="L99" s="69" t="s">
        <v>34</v>
      </c>
      <c r="M99" s="69" t="s">
        <v>35</v>
      </c>
      <c r="N99" s="69" t="s">
        <v>36</v>
      </c>
      <c r="O99" s="69" t="s">
        <v>37</v>
      </c>
      <c r="P99" s="55"/>
      <c r="Q99" s="137" t="s">
        <v>101</v>
      </c>
      <c r="R99" s="138"/>
    </row>
    <row r="100" spans="1:18" x14ac:dyDescent="0.25">
      <c r="A100" s="5">
        <v>0.16001127322474673</v>
      </c>
      <c r="B100" s="6">
        <f t="shared" si="0"/>
        <v>0.16001127322474673</v>
      </c>
      <c r="C100" s="6">
        <f t="shared" si="1"/>
        <v>6.0827625302982193</v>
      </c>
      <c r="D100" s="6">
        <f t="shared" si="2"/>
        <v>225.06221362103415</v>
      </c>
      <c r="E100" s="6">
        <f t="shared" si="3"/>
        <v>1369</v>
      </c>
      <c r="F100" s="5">
        <v>37</v>
      </c>
      <c r="G100" s="6">
        <f t="shared" si="4"/>
        <v>2.5603607559004551E-2</v>
      </c>
      <c r="J100" s="76" t="s">
        <v>29</v>
      </c>
      <c r="K100" s="5">
        <v>2</v>
      </c>
      <c r="L100" s="5">
        <v>6.8040899971161011</v>
      </c>
      <c r="M100" s="5">
        <v>3.4020449985580505</v>
      </c>
      <c r="N100" s="5">
        <v>11.400615294331139</v>
      </c>
      <c r="O100" s="47">
        <v>6.8416383564349543E-5</v>
      </c>
      <c r="P100" s="55"/>
      <c r="Q100" s="137"/>
      <c r="R100" s="138"/>
    </row>
    <row r="101" spans="1:18" x14ac:dyDescent="0.25">
      <c r="A101" s="5">
        <v>8.3928161465550488E-2</v>
      </c>
      <c r="B101" s="6">
        <f t="shared" si="0"/>
        <v>8.3928161465550488E-2</v>
      </c>
      <c r="C101" s="6">
        <f t="shared" si="1"/>
        <v>6.164414002968976</v>
      </c>
      <c r="D101" s="6">
        <f t="shared" si="2"/>
        <v>234.24773211282107</v>
      </c>
      <c r="E101" s="6">
        <f t="shared" si="3"/>
        <v>1444</v>
      </c>
      <c r="F101" s="5">
        <v>38</v>
      </c>
      <c r="G101" s="6">
        <f t="shared" si="4"/>
        <v>7.0439362869875143E-3</v>
      </c>
      <c r="J101" s="76" t="s">
        <v>30</v>
      </c>
      <c r="K101" s="5">
        <v>57</v>
      </c>
      <c r="L101" s="5">
        <v>17.009306946286685</v>
      </c>
      <c r="M101" s="5">
        <v>0.29840889379450325</v>
      </c>
      <c r="N101" s="5"/>
      <c r="O101" s="5"/>
      <c r="P101" s="55"/>
      <c r="Q101" s="137"/>
      <c r="R101" s="138"/>
    </row>
    <row r="102" spans="1:18" x14ac:dyDescent="0.25">
      <c r="A102" s="5">
        <v>3.4522765769494868E-2</v>
      </c>
      <c r="B102" s="6">
        <f t="shared" si="0"/>
        <v>3.4522765769494868E-2</v>
      </c>
      <c r="C102" s="6">
        <f t="shared" si="1"/>
        <v>6.2449979983983983</v>
      </c>
      <c r="D102" s="6">
        <f t="shared" si="2"/>
        <v>243.55492193753739</v>
      </c>
      <c r="E102" s="6">
        <f t="shared" si="3"/>
        <v>1521</v>
      </c>
      <c r="F102" s="5">
        <v>39</v>
      </c>
      <c r="G102" s="6">
        <f t="shared" si="4"/>
        <v>1.1918213563754066E-3</v>
      </c>
      <c r="J102" s="76" t="s">
        <v>31</v>
      </c>
      <c r="K102" s="5">
        <v>59</v>
      </c>
      <c r="L102" s="5">
        <v>23.813396943402786</v>
      </c>
      <c r="M102" s="5"/>
      <c r="N102" s="5"/>
      <c r="O102" s="5"/>
      <c r="P102" s="55"/>
      <c r="Q102" s="55"/>
      <c r="R102" s="73"/>
    </row>
    <row r="103" spans="1:18" x14ac:dyDescent="0.25">
      <c r="A103" s="5">
        <v>-0.21950491386343174</v>
      </c>
      <c r="B103" s="6">
        <f t="shared" si="0"/>
        <v>0.21950491386343174</v>
      </c>
      <c r="C103" s="6">
        <f t="shared" si="1"/>
        <v>6.324555320336759</v>
      </c>
      <c r="D103" s="6">
        <f t="shared" si="2"/>
        <v>252.9822128134704</v>
      </c>
      <c r="E103" s="6">
        <f t="shared" si="3"/>
        <v>1600</v>
      </c>
      <c r="F103" s="5">
        <v>40</v>
      </c>
      <c r="G103" s="6">
        <f t="shared" si="4"/>
        <v>4.8182407210192589E-2</v>
      </c>
      <c r="J103" s="72"/>
      <c r="K103" s="55"/>
      <c r="L103" s="55"/>
      <c r="M103" s="55"/>
      <c r="N103" s="55"/>
      <c r="O103" s="55"/>
      <c r="P103" s="55"/>
      <c r="Q103" s="55"/>
      <c r="R103" s="73"/>
    </row>
    <row r="104" spans="1:18" x14ac:dyDescent="0.25">
      <c r="A104" s="5">
        <v>-0.55025487743321833</v>
      </c>
      <c r="B104" s="6">
        <f t="shared" si="0"/>
        <v>0.55025487743321833</v>
      </c>
      <c r="C104" s="6">
        <f t="shared" si="1"/>
        <v>6.4031242374328485</v>
      </c>
      <c r="D104" s="6">
        <f t="shared" si="2"/>
        <v>262.52809373474673</v>
      </c>
      <c r="E104" s="6">
        <f t="shared" si="3"/>
        <v>1681</v>
      </c>
      <c r="F104" s="5">
        <v>41</v>
      </c>
      <c r="G104" s="6">
        <f t="shared" si="4"/>
        <v>0.3027804301390461</v>
      </c>
      <c r="J104" s="75"/>
      <c r="K104" s="69" t="s">
        <v>38</v>
      </c>
      <c r="L104" s="69" t="s">
        <v>4</v>
      </c>
      <c r="M104" s="69" t="s">
        <v>39</v>
      </c>
      <c r="N104" s="69" t="s">
        <v>40</v>
      </c>
      <c r="O104" s="69" t="s">
        <v>41</v>
      </c>
      <c r="P104" s="69" t="s">
        <v>42</v>
      </c>
      <c r="Q104" s="69" t="s">
        <v>43</v>
      </c>
      <c r="R104" s="83" t="s">
        <v>44</v>
      </c>
    </row>
    <row r="105" spans="1:18" x14ac:dyDescent="0.25">
      <c r="A105" s="5">
        <v>-0.28322712493986302</v>
      </c>
      <c r="B105" s="6">
        <f t="shared" si="0"/>
        <v>0.28322712493986302</v>
      </c>
      <c r="C105" s="6">
        <f t="shared" si="1"/>
        <v>6.4807406984078604</v>
      </c>
      <c r="D105" s="6">
        <f t="shared" si="2"/>
        <v>272.19110933313021</v>
      </c>
      <c r="E105" s="6">
        <f t="shared" si="3"/>
        <v>1764</v>
      </c>
      <c r="F105" s="5">
        <v>42</v>
      </c>
      <c r="G105" s="6">
        <f t="shared" si="4"/>
        <v>8.0217604301700773E-2</v>
      </c>
      <c r="J105" s="76" t="s">
        <v>32</v>
      </c>
      <c r="K105" s="5">
        <v>0.26626948846237131</v>
      </c>
      <c r="L105" s="5">
        <v>0.21882231113919212</v>
      </c>
      <c r="M105" s="5">
        <v>1.2168297056921138</v>
      </c>
      <c r="N105" s="5">
        <v>0.22868345936348677</v>
      </c>
      <c r="O105" s="5">
        <v>-0.17191462794918505</v>
      </c>
      <c r="P105" s="5">
        <v>0.70445360487392761</v>
      </c>
      <c r="Q105" s="5">
        <v>-0.17191462794918505</v>
      </c>
      <c r="R105" s="84">
        <v>0.70445360487392761</v>
      </c>
    </row>
    <row r="106" spans="1:18" x14ac:dyDescent="0.25">
      <c r="A106" s="5">
        <v>-3.042165638336769E-2</v>
      </c>
      <c r="B106" s="6">
        <f t="shared" si="0"/>
        <v>3.042165638336769E-2</v>
      </c>
      <c r="C106" s="6">
        <f t="shared" si="1"/>
        <v>6.5574385243020004</v>
      </c>
      <c r="D106" s="6">
        <f t="shared" si="2"/>
        <v>281.9698565449861</v>
      </c>
      <c r="E106" s="6">
        <f t="shared" si="3"/>
        <v>1849</v>
      </c>
      <c r="F106" s="5">
        <v>43</v>
      </c>
      <c r="G106" s="6">
        <f t="shared" si="4"/>
        <v>9.2547717710769609E-4</v>
      </c>
      <c r="J106" s="76" t="s">
        <v>45</v>
      </c>
      <c r="K106" s="5">
        <v>5.9928850802850415E-4</v>
      </c>
      <c r="L106" s="5">
        <v>2.63006053069263E-4</v>
      </c>
      <c r="M106" s="5">
        <v>2.2786110853147576</v>
      </c>
      <c r="N106" s="47">
        <v>2.6456019093774985E-2</v>
      </c>
      <c r="O106" s="5">
        <v>7.2627975219585446E-5</v>
      </c>
      <c r="P106" s="5">
        <v>1.1259490408374229E-3</v>
      </c>
      <c r="Q106" s="5">
        <v>7.2627975219585446E-5</v>
      </c>
      <c r="R106" s="84">
        <v>1.1259490408374229E-3</v>
      </c>
    </row>
    <row r="107" spans="1:18" ht="15.75" thickBot="1" x14ac:dyDescent="0.3">
      <c r="A107" s="5">
        <v>-0.20323847176373988</v>
      </c>
      <c r="B107" s="6">
        <f t="shared" si="0"/>
        <v>0.20323847176373988</v>
      </c>
      <c r="C107" s="6">
        <f t="shared" si="1"/>
        <v>6.6332495807107996</v>
      </c>
      <c r="D107" s="6">
        <f t="shared" si="2"/>
        <v>291.86298155127508</v>
      </c>
      <c r="E107" s="6">
        <f t="shared" si="3"/>
        <v>1936</v>
      </c>
      <c r="F107" s="5">
        <v>44</v>
      </c>
      <c r="G107" s="6">
        <f t="shared" si="4"/>
        <v>4.1305876404860491E-2</v>
      </c>
      <c r="J107" s="77" t="s">
        <v>56</v>
      </c>
      <c r="K107" s="78">
        <v>-1.9468281604573576E-2</v>
      </c>
      <c r="L107" s="78">
        <v>1.6552116925471368E-2</v>
      </c>
      <c r="M107" s="78">
        <v>-1.1761807684317793</v>
      </c>
      <c r="N107" s="78">
        <v>0.24441163675419553</v>
      </c>
      <c r="O107" s="78">
        <v>-5.2613323771297196E-2</v>
      </c>
      <c r="P107" s="78">
        <v>1.3676760562150045E-2</v>
      </c>
      <c r="Q107" s="78">
        <v>-5.2613323771297196E-2</v>
      </c>
      <c r="R107" s="85">
        <v>1.3676760562150045E-2</v>
      </c>
    </row>
    <row r="108" spans="1:18" x14ac:dyDescent="0.25">
      <c r="A108" s="5">
        <v>-3.0377571080968835E-2</v>
      </c>
      <c r="B108" s="6">
        <f t="shared" si="0"/>
        <v>3.0377571080968835E-2</v>
      </c>
      <c r="C108" s="6">
        <f t="shared" si="1"/>
        <v>6.7082039324993694</v>
      </c>
      <c r="D108" s="6">
        <f t="shared" si="2"/>
        <v>301.86917696247156</v>
      </c>
      <c r="E108" s="6">
        <f t="shared" si="3"/>
        <v>2025</v>
      </c>
      <c r="F108" s="5">
        <v>45</v>
      </c>
      <c r="G108" s="6">
        <f t="shared" si="4"/>
        <v>9.2279682477931411E-4</v>
      </c>
    </row>
    <row r="109" spans="1:18" x14ac:dyDescent="0.25">
      <c r="A109" s="5">
        <v>-0.65143895433506316</v>
      </c>
      <c r="B109" s="6">
        <f t="shared" si="0"/>
        <v>0.65143895433506316</v>
      </c>
      <c r="C109" s="6">
        <f t="shared" si="1"/>
        <v>6.7823299831252681</v>
      </c>
      <c r="D109" s="6">
        <f t="shared" si="2"/>
        <v>311.98717922376238</v>
      </c>
      <c r="E109" s="6">
        <f t="shared" si="3"/>
        <v>2116</v>
      </c>
      <c r="F109" s="5">
        <v>46</v>
      </c>
      <c r="G109" s="6">
        <f t="shared" si="4"/>
        <v>0.42437271122516051</v>
      </c>
    </row>
    <row r="110" spans="1:18" x14ac:dyDescent="0.25">
      <c r="A110" s="5">
        <v>-0.76582262152601288</v>
      </c>
      <c r="B110" s="6">
        <f t="shared" si="0"/>
        <v>0.76582262152601288</v>
      </c>
      <c r="C110" s="6">
        <f t="shared" si="1"/>
        <v>6.8556546004010439</v>
      </c>
      <c r="D110" s="6">
        <f t="shared" si="2"/>
        <v>322.21576621884884</v>
      </c>
      <c r="E110" s="6">
        <f t="shared" si="3"/>
        <v>2209</v>
      </c>
      <c r="F110" s="5">
        <v>47</v>
      </c>
      <c r="G110" s="6">
        <f t="shared" si="4"/>
        <v>0.58648428764097482</v>
      </c>
    </row>
    <row r="111" spans="1:18" x14ac:dyDescent="0.25">
      <c r="A111" s="5">
        <v>-1.1591285726538345</v>
      </c>
      <c r="B111" s="6">
        <f t="shared" si="0"/>
        <v>1.1591285726538345</v>
      </c>
      <c r="C111" s="6">
        <f t="shared" si="1"/>
        <v>6.9282032302755088</v>
      </c>
      <c r="D111" s="6">
        <f t="shared" si="2"/>
        <v>332.55375505322462</v>
      </c>
      <c r="E111" s="6">
        <f t="shared" si="3"/>
        <v>2304</v>
      </c>
      <c r="F111" s="5">
        <v>48</v>
      </c>
      <c r="G111" s="6">
        <f t="shared" si="4"/>
        <v>1.3435790479425158</v>
      </c>
    </row>
    <row r="112" spans="1:18" x14ac:dyDescent="0.25">
      <c r="A112" s="5">
        <v>-1.4503568077185065</v>
      </c>
      <c r="B112" s="6">
        <f t="shared" si="0"/>
        <v>1.4503568077185065</v>
      </c>
      <c r="C112" s="6">
        <f t="shared" si="1"/>
        <v>7</v>
      </c>
      <c r="D112" s="6">
        <f t="shared" si="2"/>
        <v>342.99999999999983</v>
      </c>
      <c r="E112" s="6">
        <f t="shared" si="3"/>
        <v>2401</v>
      </c>
      <c r="F112" s="5">
        <v>49</v>
      </c>
      <c r="G112" s="6">
        <f t="shared" si="4"/>
        <v>2.1035348696954168</v>
      </c>
    </row>
    <row r="113" spans="1:7" x14ac:dyDescent="0.25">
      <c r="A113" s="5">
        <v>-1.472307326720049</v>
      </c>
      <c r="B113" s="6">
        <f t="shared" si="0"/>
        <v>1.472307326720049</v>
      </c>
      <c r="C113" s="6">
        <f t="shared" si="1"/>
        <v>7.0710678118654755</v>
      </c>
      <c r="D113" s="6">
        <f t="shared" si="2"/>
        <v>353.5533905932736</v>
      </c>
      <c r="E113" s="6">
        <f t="shared" si="3"/>
        <v>2500</v>
      </c>
      <c r="F113" s="5">
        <v>50</v>
      </c>
      <c r="G113" s="6">
        <f t="shared" si="4"/>
        <v>2.1676888643135372</v>
      </c>
    </row>
    <row r="114" spans="1:7" x14ac:dyDescent="0.25">
      <c r="A114" s="5">
        <v>-1.3445801296584534</v>
      </c>
      <c r="B114" s="6">
        <f t="shared" si="0"/>
        <v>1.3445801296584534</v>
      </c>
      <c r="C114" s="6">
        <f t="shared" si="1"/>
        <v>7.1414284285428504</v>
      </c>
      <c r="D114" s="6">
        <f t="shared" si="2"/>
        <v>364.21284985568525</v>
      </c>
      <c r="E114" s="6">
        <f t="shared" si="3"/>
        <v>2601</v>
      </c>
      <c r="F114" s="5">
        <v>51</v>
      </c>
      <c r="G114" s="6">
        <f t="shared" si="4"/>
        <v>1.8078957250723433</v>
      </c>
    </row>
    <row r="115" spans="1:7" x14ac:dyDescent="0.25">
      <c r="A115" s="5">
        <v>-0.89337521653371255</v>
      </c>
      <c r="B115" s="6">
        <f t="shared" si="0"/>
        <v>0.89337521653371255</v>
      </c>
      <c r="C115" s="6">
        <f t="shared" si="1"/>
        <v>7.2111025509279782</v>
      </c>
      <c r="D115" s="6">
        <f t="shared" si="2"/>
        <v>374.97733264825507</v>
      </c>
      <c r="E115" s="6">
        <f t="shared" si="3"/>
        <v>2704</v>
      </c>
      <c r="F115" s="5">
        <v>52</v>
      </c>
      <c r="G115" s="6">
        <f t="shared" si="4"/>
        <v>0.79811927751665779</v>
      </c>
    </row>
    <row r="116" spans="1:7" x14ac:dyDescent="0.25">
      <c r="A116" s="5">
        <v>-0.65379258734583345</v>
      </c>
      <c r="B116" s="6">
        <f t="shared" si="0"/>
        <v>0.65379258734583345</v>
      </c>
      <c r="C116" s="6">
        <f t="shared" si="1"/>
        <v>7.2801098892805181</v>
      </c>
      <c r="D116" s="6">
        <f t="shared" si="2"/>
        <v>385.84582413186746</v>
      </c>
      <c r="E116" s="6">
        <f t="shared" si="3"/>
        <v>2809</v>
      </c>
      <c r="F116" s="5">
        <v>53</v>
      </c>
      <c r="G116" s="6">
        <f t="shared" si="4"/>
        <v>0.42744474726835929</v>
      </c>
    </row>
    <row r="117" spans="1:7" x14ac:dyDescent="0.25">
      <c r="A117" s="5">
        <v>-0.29973224209482652</v>
      </c>
      <c r="B117" s="6">
        <f t="shared" si="0"/>
        <v>0.29973224209482652</v>
      </c>
      <c r="C117" s="6">
        <f t="shared" si="1"/>
        <v>7.3484692283495345</v>
      </c>
      <c r="D117" s="6">
        <f t="shared" si="2"/>
        <v>396.81733833087492</v>
      </c>
      <c r="E117" s="6">
        <f t="shared" si="3"/>
        <v>2916</v>
      </c>
      <c r="F117" s="5">
        <v>54</v>
      </c>
      <c r="G117" s="6">
        <f t="shared" si="4"/>
        <v>8.98394169511917E-2</v>
      </c>
    </row>
    <row r="118" spans="1:7" x14ac:dyDescent="0.25">
      <c r="A118" s="5">
        <v>0.53700581921932411</v>
      </c>
      <c r="B118" s="6">
        <f t="shared" si="0"/>
        <v>0.53700581921932411</v>
      </c>
      <c r="C118" s="6">
        <f t="shared" si="1"/>
        <v>7.416198487095663</v>
      </c>
      <c r="D118" s="6">
        <f t="shared" si="2"/>
        <v>407.89091679026143</v>
      </c>
      <c r="E118" s="6">
        <f t="shared" si="3"/>
        <v>3025</v>
      </c>
      <c r="F118" s="5">
        <v>55</v>
      </c>
      <c r="G118" s="6">
        <f t="shared" si="4"/>
        <v>0.28837524987541741</v>
      </c>
    </row>
    <row r="119" spans="1:7" x14ac:dyDescent="0.25">
      <c r="A119" s="5">
        <v>0.81992159659661468</v>
      </c>
      <c r="B119" s="6">
        <f t="shared" si="0"/>
        <v>0.81992159659661468</v>
      </c>
      <c r="C119" s="6">
        <f t="shared" si="1"/>
        <v>7.4833147735478827</v>
      </c>
      <c r="D119" s="6">
        <f t="shared" si="2"/>
        <v>419.06562731868172</v>
      </c>
      <c r="E119" s="6">
        <f t="shared" si="3"/>
        <v>3136</v>
      </c>
      <c r="F119" s="5">
        <v>56</v>
      </c>
      <c r="G119" s="6">
        <f t="shared" si="4"/>
        <v>0.67227142456554179</v>
      </c>
    </row>
    <row r="120" spans="1:7" x14ac:dyDescent="0.25">
      <c r="A120" s="5">
        <v>1.325215090037041</v>
      </c>
      <c r="B120" s="6">
        <f t="shared" si="0"/>
        <v>1.325215090037041</v>
      </c>
      <c r="C120" s="6">
        <f t="shared" si="1"/>
        <v>7.5498344352707498</v>
      </c>
      <c r="D120" s="6">
        <f t="shared" si="2"/>
        <v>430.34056281043297</v>
      </c>
      <c r="E120" s="6">
        <f t="shared" si="3"/>
        <v>3249</v>
      </c>
      <c r="F120" s="5">
        <v>57</v>
      </c>
      <c r="G120" s="6">
        <f t="shared" si="4"/>
        <v>1.7561950348618827</v>
      </c>
    </row>
    <row r="121" spans="1:7" x14ac:dyDescent="0.25">
      <c r="A121" s="5">
        <v>1.1602862995406085</v>
      </c>
      <c r="B121" s="6">
        <f t="shared" si="0"/>
        <v>1.1602862995406085</v>
      </c>
      <c r="C121" s="6">
        <f t="shared" si="1"/>
        <v>7.6157731058639087</v>
      </c>
      <c r="D121" s="6">
        <f t="shared" si="2"/>
        <v>441.71484014010673</v>
      </c>
      <c r="E121" s="6">
        <f t="shared" si="3"/>
        <v>3364</v>
      </c>
      <c r="F121" s="5">
        <v>58</v>
      </c>
      <c r="G121" s="6">
        <f t="shared" si="4"/>
        <v>1.3462642969016385</v>
      </c>
    </row>
    <row r="122" spans="1:7" x14ac:dyDescent="0.25">
      <c r="A122" s="5">
        <v>0.73553522510731995</v>
      </c>
      <c r="B122" s="6">
        <f t="shared" si="0"/>
        <v>0.73553522510731995</v>
      </c>
      <c r="C122" s="6">
        <f t="shared" si="1"/>
        <v>7.6811457478686078</v>
      </c>
      <c r="D122" s="6">
        <f t="shared" si="2"/>
        <v>453.18759912424827</v>
      </c>
      <c r="E122" s="6">
        <f t="shared" si="3"/>
        <v>3481</v>
      </c>
      <c r="F122" s="5">
        <v>59</v>
      </c>
      <c r="G122" s="6">
        <f t="shared" si="4"/>
        <v>0.5410120673736758</v>
      </c>
    </row>
    <row r="123" spans="1:7" x14ac:dyDescent="0.25">
      <c r="A123" s="5">
        <v>1.4054618667371628</v>
      </c>
      <c r="B123" s="6">
        <f t="shared" si="0"/>
        <v>1.4054618667371628</v>
      </c>
      <c r="C123" s="6">
        <f t="shared" si="1"/>
        <v>7.745966692414834</v>
      </c>
      <c r="D123" s="6">
        <f t="shared" si="2"/>
        <v>464.75800154488962</v>
      </c>
      <c r="E123" s="6">
        <f t="shared" si="3"/>
        <v>3600</v>
      </c>
      <c r="F123" s="5">
        <v>60</v>
      </c>
      <c r="G123" s="6">
        <f t="shared" si="4"/>
        <v>1.9753230588523103</v>
      </c>
    </row>
    <row r="124" spans="1:7" x14ac:dyDescent="0.25">
      <c r="A124" s="55"/>
    </row>
  </sheetData>
  <mergeCells count="11">
    <mergeCell ref="Q99:R101"/>
    <mergeCell ref="J97:R97"/>
    <mergeCell ref="O7:R7"/>
    <mergeCell ref="G1:S1"/>
    <mergeCell ref="J63:T63"/>
    <mergeCell ref="Q76:T80"/>
    <mergeCell ref="D2:D21"/>
    <mergeCell ref="D22:D41"/>
    <mergeCell ref="D42:D61"/>
    <mergeCell ref="G4:L4"/>
    <mergeCell ref="G11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48"/>
  <sheetViews>
    <sheetView workbookViewId="0">
      <selection activeCell="B2" sqref="B2"/>
    </sheetView>
  </sheetViews>
  <sheetFormatPr defaultRowHeight="15" x14ac:dyDescent="0.25"/>
  <cols>
    <col min="1" max="1" width="5.28515625" style="91" customWidth="1"/>
    <col min="2" max="2" width="10.42578125" customWidth="1"/>
    <col min="3" max="3" width="12.7109375" customWidth="1"/>
    <col min="4" max="4" width="12.85546875" customWidth="1"/>
    <col min="7" max="7" width="12.5703125" customWidth="1"/>
    <col min="8" max="8" width="10.85546875" customWidth="1"/>
    <col min="10" max="10" width="27.85546875" customWidth="1"/>
    <col min="11" max="11" width="17.7109375" customWidth="1"/>
    <col min="12" max="12" width="23.42578125" customWidth="1"/>
    <col min="13" max="13" width="14.7109375" customWidth="1"/>
    <col min="14" max="14" width="14.28515625" customWidth="1"/>
    <col min="15" max="15" width="15" customWidth="1"/>
    <col min="16" max="16" width="12.28515625" customWidth="1"/>
    <col min="17" max="17" width="14" customWidth="1"/>
    <col min="18" max="18" width="15.42578125" customWidth="1"/>
  </cols>
  <sheetData>
    <row r="1" spans="1:18" ht="30.75" customHeight="1" thickBot="1" x14ac:dyDescent="0.3">
      <c r="A1" s="17" t="s">
        <v>0</v>
      </c>
      <c r="B1" s="16" t="s">
        <v>49</v>
      </c>
      <c r="C1" s="17" t="s">
        <v>102</v>
      </c>
      <c r="D1" s="17" t="s">
        <v>103</v>
      </c>
      <c r="E1" s="92" t="s">
        <v>104</v>
      </c>
      <c r="F1" s="109" t="s">
        <v>129</v>
      </c>
      <c r="G1" s="107">
        <f>D63/E63</f>
        <v>0.34088177564095029</v>
      </c>
      <c r="H1" s="105" t="s">
        <v>108</v>
      </c>
      <c r="J1" s="147" t="s">
        <v>28</v>
      </c>
      <c r="K1" s="148"/>
      <c r="L1" s="148"/>
      <c r="M1" s="148"/>
      <c r="N1" s="148"/>
      <c r="O1" s="149"/>
    </row>
    <row r="2" spans="1:18" ht="15.75" thickBot="1" x14ac:dyDescent="0.3">
      <c r="A2" s="8">
        <v>1</v>
      </c>
      <c r="B2" s="5">
        <v>-0.69963780539398357</v>
      </c>
      <c r="C2" s="6"/>
      <c r="D2" s="6"/>
      <c r="E2" s="96"/>
      <c r="F2" s="156" t="s">
        <v>107</v>
      </c>
      <c r="G2" s="157"/>
      <c r="H2" s="106">
        <f>0.85*B2</f>
        <v>-0.59469213458488601</v>
      </c>
      <c r="J2" s="90"/>
      <c r="K2" s="90" t="s">
        <v>33</v>
      </c>
      <c r="L2" s="90" t="s">
        <v>34</v>
      </c>
      <c r="M2" s="90" t="s">
        <v>35</v>
      </c>
      <c r="N2" s="90" t="s">
        <v>36</v>
      </c>
      <c r="O2" s="90" t="s">
        <v>37</v>
      </c>
    </row>
    <row r="3" spans="1:18" x14ac:dyDescent="0.25">
      <c r="A3" s="8">
        <v>2</v>
      </c>
      <c r="B3" s="5">
        <v>-0.1898186954261547</v>
      </c>
      <c r="C3" s="5">
        <v>-0.69963780539398357</v>
      </c>
      <c r="D3" s="6">
        <f>(B3-C3)^2</f>
        <v>0.2599155248883892</v>
      </c>
      <c r="E3" s="96">
        <f>C3^2</f>
        <v>0.48949305873650961</v>
      </c>
      <c r="F3" s="110" t="s">
        <v>109</v>
      </c>
      <c r="G3" s="108">
        <v>1.51</v>
      </c>
      <c r="H3" s="106">
        <f t="shared" ref="H3:H61" si="0">0.85*B3</f>
        <v>-0.16134589111223149</v>
      </c>
      <c r="J3" s="5" t="s">
        <v>29</v>
      </c>
      <c r="K3" s="5">
        <v>1</v>
      </c>
      <c r="L3" s="5">
        <v>16.291367579125836</v>
      </c>
      <c r="M3" s="5">
        <v>16.291367579125836</v>
      </c>
      <c r="N3" s="5">
        <v>119.15095824947582</v>
      </c>
      <c r="O3" s="47">
        <v>1.3748238538886003E-15</v>
      </c>
    </row>
    <row r="4" spans="1:18" ht="15.75" thickBot="1" x14ac:dyDescent="0.3">
      <c r="A4" s="8">
        <v>3</v>
      </c>
      <c r="B4" s="5">
        <v>-0.36392186939520599</v>
      </c>
      <c r="C4" s="5">
        <v>-0.1898186954261547</v>
      </c>
      <c r="D4" s="6">
        <f t="shared" ref="D4:D61" si="1">(B4-C4)^2</f>
        <v>3.0311915186097736E-2</v>
      </c>
      <c r="E4" s="96">
        <f t="shared" ref="E4:E61" si="2">C4^2</f>
        <v>3.6031137133287282E-2</v>
      </c>
      <c r="F4" s="111" t="s">
        <v>110</v>
      </c>
      <c r="G4" s="73">
        <v>1.65</v>
      </c>
      <c r="H4" s="106">
        <f t="shared" si="0"/>
        <v>-0.30933358898592506</v>
      </c>
      <c r="J4" s="5" t="s">
        <v>30</v>
      </c>
      <c r="K4" s="5">
        <v>57</v>
      </c>
      <c r="L4" s="5">
        <v>7.7935416185732427</v>
      </c>
      <c r="M4" s="5">
        <v>0.13672880032584636</v>
      </c>
      <c r="N4" s="5"/>
      <c r="O4" s="5"/>
    </row>
    <row r="5" spans="1:18" x14ac:dyDescent="0.25">
      <c r="A5" s="8">
        <v>4</v>
      </c>
      <c r="B5" s="5">
        <v>-0.45664732730109847</v>
      </c>
      <c r="C5" s="5">
        <v>-0.36392186939520599</v>
      </c>
      <c r="D5" s="6">
        <f t="shared" si="1"/>
        <v>8.5980105438574397E-3</v>
      </c>
      <c r="E5" s="96">
        <f t="shared" si="2"/>
        <v>0.13243912702410138</v>
      </c>
      <c r="F5" s="158" t="s">
        <v>128</v>
      </c>
      <c r="G5" s="159"/>
      <c r="H5" s="106">
        <f t="shared" si="0"/>
        <v>-0.3881502282059337</v>
      </c>
      <c r="J5" s="5" t="s">
        <v>31</v>
      </c>
      <c r="K5" s="5">
        <v>58</v>
      </c>
      <c r="L5" s="5">
        <v>24.08490919769908</v>
      </c>
      <c r="M5" s="5"/>
      <c r="N5" s="5"/>
      <c r="O5" s="5"/>
    </row>
    <row r="6" spans="1:18" x14ac:dyDescent="0.25">
      <c r="A6" s="8">
        <v>5</v>
      </c>
      <c r="B6" s="5">
        <v>0.57120493085613333</v>
      </c>
      <c r="C6" s="5">
        <v>-0.45664732730109847</v>
      </c>
      <c r="D6" s="6">
        <f t="shared" si="1"/>
        <v>1.0564802645989206</v>
      </c>
      <c r="E6" s="96">
        <f t="shared" si="2"/>
        <v>0.20852678153123655</v>
      </c>
      <c r="F6" s="160"/>
      <c r="G6" s="161"/>
      <c r="H6" s="106">
        <f t="shared" si="0"/>
        <v>0.48552419122771334</v>
      </c>
    </row>
    <row r="7" spans="1:18" x14ac:dyDescent="0.25">
      <c r="A7" s="8">
        <v>6</v>
      </c>
      <c r="B7" s="5">
        <v>-4.6565094923487038E-2</v>
      </c>
      <c r="C7" s="5">
        <v>0.57120493085613333</v>
      </c>
      <c r="D7" s="6">
        <f t="shared" si="1"/>
        <v>0.3816398047517528</v>
      </c>
      <c r="E7" s="96">
        <f t="shared" si="2"/>
        <v>0.32627507303436004</v>
      </c>
      <c r="F7" s="160"/>
      <c r="G7" s="161"/>
      <c r="H7" s="106">
        <f t="shared" si="0"/>
        <v>-3.9580330684963978E-2</v>
      </c>
      <c r="J7" s="90"/>
      <c r="K7" s="90" t="s">
        <v>38</v>
      </c>
      <c r="L7" s="90" t="s">
        <v>4</v>
      </c>
      <c r="M7" s="90" t="s">
        <v>39</v>
      </c>
      <c r="N7" s="90" t="s">
        <v>40</v>
      </c>
      <c r="O7" s="90" t="s">
        <v>41</v>
      </c>
      <c r="P7" s="90" t="s">
        <v>42</v>
      </c>
      <c r="Q7" s="90" t="s">
        <v>43</v>
      </c>
      <c r="R7" s="90" t="s">
        <v>44</v>
      </c>
    </row>
    <row r="8" spans="1:18" x14ac:dyDescent="0.25">
      <c r="A8" s="8">
        <v>7</v>
      </c>
      <c r="B8" s="5">
        <v>0.13444259536002789</v>
      </c>
      <c r="C8" s="5">
        <v>-4.6565094923487038E-2</v>
      </c>
      <c r="D8" s="6">
        <f t="shared" si="1"/>
        <v>3.2763783941772866E-2</v>
      </c>
      <c r="E8" s="96">
        <f t="shared" si="2"/>
        <v>2.1683080652333585E-3</v>
      </c>
      <c r="F8" s="72"/>
      <c r="G8" s="73"/>
      <c r="H8" s="106">
        <f t="shared" si="0"/>
        <v>0.1142762060560237</v>
      </c>
      <c r="J8" s="5" t="s">
        <v>32</v>
      </c>
      <c r="K8" s="5">
        <v>3.2095101922837835E-2</v>
      </c>
      <c r="L8" s="5">
        <v>4.8175453890049437E-2</v>
      </c>
      <c r="M8" s="5">
        <v>0.66621275631545274</v>
      </c>
      <c r="N8" s="5">
        <v>0.50796262639971801</v>
      </c>
      <c r="O8" s="5">
        <v>-6.4374579736401968E-2</v>
      </c>
      <c r="P8" s="5">
        <v>0.12856478358207762</v>
      </c>
      <c r="Q8" s="5">
        <v>-6.4374579736401968E-2</v>
      </c>
      <c r="R8" s="5">
        <v>0.12856478358207762</v>
      </c>
    </row>
    <row r="9" spans="1:18" ht="15.75" thickBot="1" x14ac:dyDescent="0.3">
      <c r="A9" s="8">
        <v>8</v>
      </c>
      <c r="B9" s="5">
        <v>-0.20497199829332402</v>
      </c>
      <c r="C9" s="5">
        <v>0.13444259536002789</v>
      </c>
      <c r="D9" s="6">
        <f t="shared" si="1"/>
        <v>0.11520226638486999</v>
      </c>
      <c r="E9" s="96">
        <f t="shared" si="2"/>
        <v>1.8074811447140193E-2</v>
      </c>
      <c r="F9" s="97"/>
      <c r="G9" s="80"/>
      <c r="H9" s="106">
        <f t="shared" si="0"/>
        <v>-0.17422619854932542</v>
      </c>
      <c r="J9" s="5" t="s">
        <v>45</v>
      </c>
      <c r="K9" s="47">
        <v>0.84952373046266516</v>
      </c>
      <c r="L9" s="5">
        <v>7.7826364756759595E-2</v>
      </c>
      <c r="M9" s="5">
        <v>10.915629081710128</v>
      </c>
      <c r="N9" s="47">
        <v>1.3748238538885903E-15</v>
      </c>
      <c r="O9" s="5">
        <v>0.69367912441254509</v>
      </c>
      <c r="P9" s="5">
        <v>1.0053683365127852</v>
      </c>
      <c r="Q9" s="5">
        <v>0.69367912441254509</v>
      </c>
      <c r="R9" s="5">
        <v>1.0053683365127852</v>
      </c>
    </row>
    <row r="10" spans="1:18" x14ac:dyDescent="0.25">
      <c r="A10" s="8">
        <v>9</v>
      </c>
      <c r="B10" s="5">
        <v>-0.29850887588353459</v>
      </c>
      <c r="C10" s="5">
        <v>-0.20497199829332402</v>
      </c>
      <c r="D10" s="6">
        <f t="shared" si="1"/>
        <v>8.7491474693260352E-3</v>
      </c>
      <c r="E10" s="6">
        <f t="shared" si="2"/>
        <v>4.2013520084358422E-2</v>
      </c>
      <c r="H10" s="6">
        <f t="shared" si="0"/>
        <v>-0.25373254450100441</v>
      </c>
      <c r="K10" s="100" t="s">
        <v>134</v>
      </c>
    </row>
    <row r="11" spans="1:18" ht="15.75" thickBot="1" x14ac:dyDescent="0.3">
      <c r="A11" s="8">
        <v>10</v>
      </c>
      <c r="B11" s="5">
        <v>-0.12156803741060429</v>
      </c>
      <c r="C11" s="5">
        <v>-0.29850887588353459</v>
      </c>
      <c r="D11" s="6">
        <f t="shared" si="1"/>
        <v>3.130806031950361E-2</v>
      </c>
      <c r="E11" s="6">
        <f t="shared" si="2"/>
        <v>8.910754898125145E-2</v>
      </c>
      <c r="H11" s="6">
        <f t="shared" si="0"/>
        <v>-0.10333283179901365</v>
      </c>
    </row>
    <row r="12" spans="1:18" x14ac:dyDescent="0.25">
      <c r="A12" s="8">
        <v>11</v>
      </c>
      <c r="B12" s="5">
        <v>9.9450517125461602E-2</v>
      </c>
      <c r="C12" s="5">
        <v>-0.12156803741060429</v>
      </c>
      <c r="D12" s="6">
        <f t="shared" si="1"/>
        <v>4.8849201449211933E-2</v>
      </c>
      <c r="E12" s="6">
        <f t="shared" si="2"/>
        <v>1.4778787719866085E-2</v>
      </c>
      <c r="H12" s="6">
        <f t="shared" si="0"/>
        <v>8.4532939556642359E-2</v>
      </c>
      <c r="J12" s="152" t="s">
        <v>111</v>
      </c>
      <c r="K12" s="150" t="s">
        <v>115</v>
      </c>
    </row>
    <row r="13" spans="1:18" ht="15.75" customHeight="1" thickBot="1" x14ac:dyDescent="0.3">
      <c r="A13" s="8">
        <v>12</v>
      </c>
      <c r="B13" s="5">
        <v>-0.46925321227533345</v>
      </c>
      <c r="C13" s="5">
        <v>9.9450517125461602E-2</v>
      </c>
      <c r="D13" s="6">
        <f t="shared" si="1"/>
        <v>0.32342393183437274</v>
      </c>
      <c r="E13" s="6">
        <f t="shared" si="2"/>
        <v>9.890405356521732E-3</v>
      </c>
      <c r="H13" s="6">
        <f t="shared" si="0"/>
        <v>-0.39886523043403344</v>
      </c>
      <c r="J13" s="153"/>
      <c r="K13" s="151"/>
    </row>
    <row r="14" spans="1:18" ht="15.75" thickBot="1" x14ac:dyDescent="0.3">
      <c r="A14" s="8">
        <v>13</v>
      </c>
      <c r="B14" s="5">
        <v>-0.1859792256129893</v>
      </c>
      <c r="C14" s="5">
        <v>-0.46925321227533345</v>
      </c>
      <c r="D14" s="6">
        <f t="shared" si="1"/>
        <v>8.0244151519577936E-2</v>
      </c>
      <c r="E14" s="6">
        <f t="shared" si="2"/>
        <v>0.22019857723071917</v>
      </c>
      <c r="H14" s="6">
        <f t="shared" si="0"/>
        <v>-0.15808234177104089</v>
      </c>
    </row>
    <row r="15" spans="1:18" ht="17.25" customHeight="1" x14ac:dyDescent="0.25">
      <c r="A15" s="8">
        <v>14</v>
      </c>
      <c r="B15" s="5">
        <v>4.3272477112495267E-2</v>
      </c>
      <c r="C15" s="5">
        <v>-0.1859792256129893</v>
      </c>
      <c r="D15" s="6">
        <f t="shared" si="1"/>
        <v>5.2556343202533946E-2</v>
      </c>
      <c r="E15" s="6">
        <f t="shared" si="2"/>
        <v>3.4588272359607174E-2</v>
      </c>
      <c r="H15" s="6">
        <f t="shared" si="0"/>
        <v>3.6781605545620974E-2</v>
      </c>
      <c r="J15" s="101" t="s">
        <v>112</v>
      </c>
      <c r="K15" s="154" t="s">
        <v>113</v>
      </c>
    </row>
    <row r="16" spans="1:18" ht="15.75" thickBot="1" x14ac:dyDescent="0.3">
      <c r="A16" s="8">
        <v>15</v>
      </c>
      <c r="B16" s="5">
        <v>0.27470189590111715</v>
      </c>
      <c r="C16" s="5">
        <v>4.3272477112495267E-2</v>
      </c>
      <c r="D16" s="6">
        <f t="shared" si="1"/>
        <v>5.3559575880839337E-2</v>
      </c>
      <c r="E16" s="6">
        <f t="shared" si="2"/>
        <v>1.8725072754514267E-3</v>
      </c>
      <c r="H16" s="6">
        <f t="shared" si="0"/>
        <v>0.23349661151594958</v>
      </c>
      <c r="J16" s="102" t="s">
        <v>114</v>
      </c>
      <c r="K16" s="155"/>
    </row>
    <row r="17" spans="1:18" x14ac:dyDescent="0.25">
      <c r="A17" s="8">
        <v>16</v>
      </c>
      <c r="B17" s="5">
        <v>0.35350903075286766</v>
      </c>
      <c r="C17" s="5">
        <v>0.27470189590111715</v>
      </c>
      <c r="D17" s="6">
        <f t="shared" si="1"/>
        <v>6.2105645035419894E-3</v>
      </c>
      <c r="E17" s="6">
        <f t="shared" si="2"/>
        <v>7.5461131611668203E-2</v>
      </c>
      <c r="H17" s="6">
        <f t="shared" si="0"/>
        <v>0.30048267613993751</v>
      </c>
    </row>
    <row r="18" spans="1:18" x14ac:dyDescent="0.25">
      <c r="A18" s="8">
        <v>17</v>
      </c>
      <c r="B18" s="5">
        <v>0.5886938816677727</v>
      </c>
      <c r="C18" s="5">
        <v>0.35350903075286766</v>
      </c>
      <c r="D18" s="6">
        <f t="shared" si="1"/>
        <v>5.5311914099866112E-2</v>
      </c>
      <c r="E18" s="6">
        <f t="shared" si="2"/>
        <v>0.12496863482383193</v>
      </c>
      <c r="H18" s="6">
        <f t="shared" si="0"/>
        <v>0.50038979941760675</v>
      </c>
      <c r="J18" s="118"/>
      <c r="K18" s="118"/>
      <c r="L18" s="118"/>
      <c r="M18" s="118"/>
      <c r="N18" s="118"/>
      <c r="O18" s="118"/>
      <c r="P18" s="118"/>
      <c r="Q18" s="118"/>
      <c r="R18" s="118"/>
    </row>
    <row r="19" spans="1:18" x14ac:dyDescent="0.25">
      <c r="A19" s="8">
        <v>18</v>
      </c>
      <c r="B19" s="5">
        <v>0.10415644864580287</v>
      </c>
      <c r="C19" s="5">
        <v>0.5886938816677727</v>
      </c>
      <c r="D19" s="6">
        <f t="shared" si="1"/>
        <v>0.2347765239995199</v>
      </c>
      <c r="E19" s="6">
        <f t="shared" si="2"/>
        <v>0.34656048631306957</v>
      </c>
      <c r="H19" s="6">
        <f t="shared" si="0"/>
        <v>8.8532981348932435E-2</v>
      </c>
      <c r="J19" s="118"/>
      <c r="K19" s="118"/>
      <c r="L19" s="118"/>
      <c r="M19" s="118"/>
      <c r="N19" s="118"/>
      <c r="O19" s="118"/>
      <c r="P19" s="118"/>
      <c r="Q19" s="118"/>
      <c r="R19" s="118"/>
    </row>
    <row r="20" spans="1:18" x14ac:dyDescent="0.25">
      <c r="A20" s="8">
        <v>19</v>
      </c>
      <c r="B20" s="5">
        <v>-0.16300326831301959</v>
      </c>
      <c r="C20" s="5">
        <v>0.10415644864580287</v>
      </c>
      <c r="D20" s="6">
        <f t="shared" si="1"/>
        <v>7.1374314365518124E-2</v>
      </c>
      <c r="E20" s="6">
        <f t="shared" si="2"/>
        <v>1.0848565794505769E-2</v>
      </c>
      <c r="H20" s="6">
        <f t="shared" si="0"/>
        <v>-0.13855277806606664</v>
      </c>
      <c r="J20" t="s">
        <v>22</v>
      </c>
    </row>
    <row r="21" spans="1:18" ht="15.75" thickBot="1" x14ac:dyDescent="0.3">
      <c r="A21" s="8">
        <v>20</v>
      </c>
      <c r="B21" s="5">
        <v>1.3414730791296847E-2</v>
      </c>
      <c r="C21" s="5">
        <v>-0.16300326831301959</v>
      </c>
      <c r="D21" s="6">
        <f t="shared" si="1"/>
        <v>3.1123310407970596E-2</v>
      </c>
      <c r="E21" s="6">
        <f t="shared" si="2"/>
        <v>2.6570065480726258E-2</v>
      </c>
      <c r="H21" s="6">
        <f t="shared" si="0"/>
        <v>1.140252117260232E-2</v>
      </c>
    </row>
    <row r="22" spans="1:18" x14ac:dyDescent="0.25">
      <c r="A22" s="8">
        <v>21</v>
      </c>
      <c r="B22" s="5">
        <v>-5.8789554041254632E-2</v>
      </c>
      <c r="C22" s="5">
        <v>1.3414730791296847E-2</v>
      </c>
      <c r="D22" s="6">
        <f t="shared" si="1"/>
        <v>5.2134587481802233E-3</v>
      </c>
      <c r="E22" s="6">
        <f t="shared" si="2"/>
        <v>1.7995500220296774E-4</v>
      </c>
      <c r="H22" s="6">
        <f t="shared" si="0"/>
        <v>-4.9971120935066435E-2</v>
      </c>
      <c r="J22" s="25" t="s">
        <v>23</v>
      </c>
      <c r="K22" s="25"/>
    </row>
    <row r="23" spans="1:18" x14ac:dyDescent="0.25">
      <c r="A23" s="8">
        <v>22</v>
      </c>
      <c r="B23" s="5">
        <v>0.11658387718932772</v>
      </c>
      <c r="C23" s="5">
        <v>-5.8789554041254632E-2</v>
      </c>
      <c r="D23" s="6">
        <f t="shared" si="1"/>
        <v>3.0755840381587799E-2</v>
      </c>
      <c r="E23" s="6">
        <f t="shared" si="2"/>
        <v>3.4562116643695991E-3</v>
      </c>
      <c r="H23" s="6">
        <f t="shared" si="0"/>
        <v>9.9096295610928559E-2</v>
      </c>
      <c r="J23" s="22" t="s">
        <v>24</v>
      </c>
      <c r="K23" s="22">
        <v>0.82244386375802081</v>
      </c>
    </row>
    <row r="24" spans="1:18" x14ac:dyDescent="0.25">
      <c r="A24" s="8">
        <v>23</v>
      </c>
      <c r="B24" s="5">
        <v>0.25923502448305413</v>
      </c>
      <c r="C24" s="5">
        <v>0.11658387718932772</v>
      </c>
      <c r="D24" s="6">
        <f t="shared" si="1"/>
        <v>2.0349349824216427E-2</v>
      </c>
      <c r="E24" s="6">
        <f t="shared" si="2"/>
        <v>1.3591800420496248E-2</v>
      </c>
      <c r="H24" s="6">
        <f t="shared" si="0"/>
        <v>0.22034977081059601</v>
      </c>
      <c r="J24" s="22" t="s">
        <v>25</v>
      </c>
      <c r="K24" s="22">
        <v>0.67641390903322196</v>
      </c>
    </row>
    <row r="25" spans="1:18" x14ac:dyDescent="0.25">
      <c r="A25" s="8">
        <v>24</v>
      </c>
      <c r="B25" s="5">
        <v>9.3363887839927884E-2</v>
      </c>
      <c r="C25" s="5">
        <v>0.25923502448305413</v>
      </c>
      <c r="D25" s="6">
        <f t="shared" si="1"/>
        <v>2.751323397128266E-2</v>
      </c>
      <c r="E25" s="6">
        <f t="shared" si="2"/>
        <v>6.720279791872967E-2</v>
      </c>
      <c r="H25" s="6">
        <f t="shared" si="0"/>
        <v>7.9359304663938701E-2</v>
      </c>
      <c r="J25" s="22" t="s">
        <v>26</v>
      </c>
      <c r="K25" s="22">
        <v>0.6707369600688925</v>
      </c>
    </row>
    <row r="26" spans="1:18" x14ac:dyDescent="0.25">
      <c r="A26" s="8">
        <v>25</v>
      </c>
      <c r="B26" s="5">
        <v>0.59217046725992617</v>
      </c>
      <c r="C26" s="5">
        <v>9.3363887839927884E-2</v>
      </c>
      <c r="D26" s="6">
        <f t="shared" si="1"/>
        <v>0.24880800367267905</v>
      </c>
      <c r="E26" s="6">
        <f t="shared" si="2"/>
        <v>8.7168155525866337E-3</v>
      </c>
      <c r="H26" s="6">
        <f t="shared" si="0"/>
        <v>0.50334489717093722</v>
      </c>
      <c r="J26" s="22" t="s">
        <v>4</v>
      </c>
      <c r="K26" s="22">
        <v>0.3697685767150129</v>
      </c>
    </row>
    <row r="27" spans="1:18" ht="15.75" thickBot="1" x14ac:dyDescent="0.3">
      <c r="A27" s="8">
        <v>26</v>
      </c>
      <c r="B27" s="5">
        <v>1.0059547627430661</v>
      </c>
      <c r="C27" s="5">
        <v>0.59217046725992617</v>
      </c>
      <c r="D27" s="6">
        <f t="shared" si="1"/>
        <v>0.17121744318847842</v>
      </c>
      <c r="E27" s="6">
        <f t="shared" si="2"/>
        <v>0.35066586229483931</v>
      </c>
      <c r="H27" s="6">
        <f t="shared" si="0"/>
        <v>0.85506154833160608</v>
      </c>
      <c r="J27" s="23" t="s">
        <v>27</v>
      </c>
      <c r="K27" s="23">
        <v>59</v>
      </c>
    </row>
    <row r="28" spans="1:18" x14ac:dyDescent="0.25">
      <c r="A28" s="8">
        <v>27</v>
      </c>
      <c r="B28" s="5">
        <v>1.1347167742893447</v>
      </c>
      <c r="C28" s="5">
        <v>1.0059547627430661</v>
      </c>
      <c r="D28" s="6">
        <f t="shared" si="1"/>
        <v>1.6579655617443994E-2</v>
      </c>
      <c r="E28" s="6">
        <f t="shared" si="2"/>
        <v>1.0119449846854582</v>
      </c>
      <c r="H28" s="6">
        <f t="shared" si="0"/>
        <v>0.96450925814594302</v>
      </c>
    </row>
    <row r="29" spans="1:18" ht="15.75" thickBot="1" x14ac:dyDescent="0.3">
      <c r="A29" s="8">
        <v>28</v>
      </c>
      <c r="B29" s="5">
        <v>1.5027565018987659</v>
      </c>
      <c r="C29" s="5">
        <v>1.1347167742893447</v>
      </c>
      <c r="D29" s="6">
        <f t="shared" si="1"/>
        <v>0.13545324109881693</v>
      </c>
      <c r="E29" s="6">
        <f t="shared" si="2"/>
        <v>1.2875821578536157</v>
      </c>
      <c r="H29" s="6">
        <f t="shared" si="0"/>
        <v>1.2773430266139509</v>
      </c>
      <c r="J29" t="s">
        <v>28</v>
      </c>
    </row>
    <row r="30" spans="1:18" x14ac:dyDescent="0.25">
      <c r="A30" s="8">
        <v>29</v>
      </c>
      <c r="B30" s="5">
        <v>0.48207394557132233</v>
      </c>
      <c r="C30" s="5">
        <v>1.5027565018987659</v>
      </c>
      <c r="D30" s="6">
        <f t="shared" si="1"/>
        <v>1.041792880791125</v>
      </c>
      <c r="E30" s="6">
        <f t="shared" si="2"/>
        <v>2.2582771039990153</v>
      </c>
      <c r="H30" s="6">
        <f t="shared" si="0"/>
        <v>0.40976285373562399</v>
      </c>
      <c r="J30" s="24"/>
      <c r="K30" s="24" t="s">
        <v>33</v>
      </c>
      <c r="L30" s="24" t="s">
        <v>34</v>
      </c>
      <c r="M30" s="24" t="s">
        <v>35</v>
      </c>
      <c r="N30" s="24" t="s">
        <v>36</v>
      </c>
      <c r="O30" s="24" t="s">
        <v>37</v>
      </c>
    </row>
    <row r="31" spans="1:18" x14ac:dyDescent="0.25">
      <c r="A31" s="8">
        <v>30</v>
      </c>
      <c r="B31" s="5">
        <v>1.8691053070156727E-3</v>
      </c>
      <c r="C31" s="5">
        <v>0.48207394557132233</v>
      </c>
      <c r="D31" s="6">
        <f t="shared" si="1"/>
        <v>0.23059668861326826</v>
      </c>
      <c r="E31" s="6">
        <f t="shared" si="2"/>
        <v>0.23239528899870224</v>
      </c>
      <c r="H31" s="6">
        <f t="shared" si="0"/>
        <v>1.5887395109633218E-3</v>
      </c>
      <c r="J31" s="22" t="s">
        <v>29</v>
      </c>
      <c r="K31" s="22">
        <v>1</v>
      </c>
      <c r="L31" s="22">
        <v>16.291367579125836</v>
      </c>
      <c r="M31" s="22">
        <v>16.291367579125836</v>
      </c>
      <c r="N31" s="22">
        <v>119.15095824947582</v>
      </c>
      <c r="O31" s="22">
        <v>1.3748238538886003E-15</v>
      </c>
    </row>
    <row r="32" spans="1:18" x14ac:dyDescent="0.25">
      <c r="A32" s="8">
        <v>31</v>
      </c>
      <c r="B32" s="5">
        <v>0.20354198110585031</v>
      </c>
      <c r="C32" s="5">
        <v>1.8691053070156727E-3</v>
      </c>
      <c r="D32" s="6">
        <f t="shared" si="1"/>
        <v>4.0671948832972184E-2</v>
      </c>
      <c r="E32" s="6">
        <f t="shared" si="2"/>
        <v>3.4935546487141518E-6</v>
      </c>
      <c r="H32" s="6">
        <f t="shared" si="0"/>
        <v>0.17301068393997276</v>
      </c>
      <c r="J32" s="22" t="s">
        <v>30</v>
      </c>
      <c r="K32" s="22">
        <v>57</v>
      </c>
      <c r="L32" s="22">
        <v>7.7935416185732427</v>
      </c>
      <c r="M32" s="22">
        <v>0.13672880032584636</v>
      </c>
      <c r="N32" s="22"/>
      <c r="O32" s="22"/>
    </row>
    <row r="33" spans="1:18" ht="15.75" thickBot="1" x14ac:dyDescent="0.3">
      <c r="A33" s="8">
        <v>32</v>
      </c>
      <c r="B33" s="5">
        <v>-2.1907427032175519E-2</v>
      </c>
      <c r="C33" s="5">
        <v>0.20354198110585031</v>
      </c>
      <c r="D33" s="6">
        <f t="shared" si="1"/>
        <v>5.0827435629786151E-2</v>
      </c>
      <c r="E33" s="6">
        <f t="shared" si="2"/>
        <v>4.1429338072494326E-2</v>
      </c>
      <c r="H33" s="6">
        <f t="shared" si="0"/>
        <v>-1.8621312977349192E-2</v>
      </c>
      <c r="J33" s="23" t="s">
        <v>31</v>
      </c>
      <c r="K33" s="23">
        <v>58</v>
      </c>
      <c r="L33" s="23">
        <v>24.08490919769908</v>
      </c>
      <c r="M33" s="23"/>
      <c r="N33" s="23"/>
      <c r="O33" s="23"/>
    </row>
    <row r="34" spans="1:18" ht="15.75" thickBot="1" x14ac:dyDescent="0.3">
      <c r="A34" s="8">
        <v>33</v>
      </c>
      <c r="B34" s="5">
        <v>3.0120880892930302E-2</v>
      </c>
      <c r="C34" s="5">
        <v>-2.1907427032175519E-2</v>
      </c>
      <c r="D34" s="6">
        <f t="shared" si="1"/>
        <v>2.7069448255496293E-3</v>
      </c>
      <c r="E34" s="6">
        <f t="shared" si="2"/>
        <v>4.7993535917009467E-4</v>
      </c>
      <c r="H34" s="6">
        <f t="shared" si="0"/>
        <v>2.5602748758990757E-2</v>
      </c>
    </row>
    <row r="35" spans="1:18" x14ac:dyDescent="0.25">
      <c r="A35" s="8">
        <v>34</v>
      </c>
      <c r="B35" s="5">
        <v>-0.37487309511882927</v>
      </c>
      <c r="C35" s="5">
        <v>3.0120880892930302E-2</v>
      </c>
      <c r="D35" s="6">
        <f t="shared" si="1"/>
        <v>0.1640201206058137</v>
      </c>
      <c r="E35" s="6">
        <f t="shared" si="2"/>
        <v>9.0726746576609378E-4</v>
      </c>
      <c r="H35" s="6">
        <f t="shared" si="0"/>
        <v>-0.31864213085100485</v>
      </c>
      <c r="J35" s="24"/>
      <c r="K35" s="24" t="s">
        <v>38</v>
      </c>
      <c r="L35" s="24" t="s">
        <v>4</v>
      </c>
      <c r="M35" s="24" t="s">
        <v>39</v>
      </c>
      <c r="N35" s="24" t="s">
        <v>40</v>
      </c>
      <c r="O35" s="24" t="s">
        <v>41</v>
      </c>
      <c r="P35" s="24" t="s">
        <v>42</v>
      </c>
      <c r="Q35" s="24" t="s">
        <v>43</v>
      </c>
      <c r="R35" s="24" t="s">
        <v>44</v>
      </c>
    </row>
    <row r="36" spans="1:18" x14ac:dyDescent="0.25">
      <c r="A36" s="8">
        <v>35</v>
      </c>
      <c r="B36" s="5">
        <v>-0.32348935506743004</v>
      </c>
      <c r="C36" s="5">
        <v>-0.37487309511882927</v>
      </c>
      <c r="D36" s="6">
        <f t="shared" si="1"/>
        <v>2.6402887416697692E-3</v>
      </c>
      <c r="E36" s="6">
        <f t="shared" si="2"/>
        <v>0.14052983744397082</v>
      </c>
      <c r="H36" s="6">
        <f t="shared" si="0"/>
        <v>-0.27496595180731553</v>
      </c>
      <c r="J36" s="22" t="s">
        <v>32</v>
      </c>
      <c r="K36" s="22">
        <v>3.2095101922837835E-2</v>
      </c>
      <c r="L36" s="22">
        <v>4.8175453890049437E-2</v>
      </c>
      <c r="M36" s="22">
        <v>0.66621275631545274</v>
      </c>
      <c r="N36" s="22">
        <v>0.50796262639971801</v>
      </c>
      <c r="O36" s="22">
        <v>-6.4374579736401968E-2</v>
      </c>
      <c r="P36" s="22">
        <v>0.12856478358207765</v>
      </c>
      <c r="Q36" s="22">
        <v>-6.4374579736401968E-2</v>
      </c>
      <c r="R36" s="22">
        <v>0.12856478358207765</v>
      </c>
    </row>
    <row r="37" spans="1:18" ht="15.75" thickBot="1" x14ac:dyDescent="0.3">
      <c r="A37" s="8">
        <v>36</v>
      </c>
      <c r="B37" s="5">
        <v>0.11937210104709095</v>
      </c>
      <c r="C37" s="5">
        <v>-0.32348935506743004</v>
      </c>
      <c r="D37" s="6">
        <f t="shared" si="1"/>
        <v>0.1961262693118738</v>
      </c>
      <c r="E37" s="6">
        <f t="shared" si="2"/>
        <v>0.10464536284194183</v>
      </c>
      <c r="H37" s="6">
        <f t="shared" si="0"/>
        <v>0.10146628589002731</v>
      </c>
      <c r="J37" s="23" t="s">
        <v>45</v>
      </c>
      <c r="K37" s="23">
        <v>0.84952373046266516</v>
      </c>
      <c r="L37" s="23">
        <v>7.7826364756759595E-2</v>
      </c>
      <c r="M37" s="23">
        <v>10.915629081710128</v>
      </c>
      <c r="N37" s="23">
        <v>1.3748238538885903E-15</v>
      </c>
      <c r="O37" s="23">
        <v>0.69367912441254509</v>
      </c>
      <c r="P37" s="23">
        <v>1.0053683365127852</v>
      </c>
      <c r="Q37" s="23">
        <v>0.69367912441254509</v>
      </c>
      <c r="R37" s="23">
        <v>1.0053683365127852</v>
      </c>
    </row>
    <row r="38" spans="1:18" x14ac:dyDescent="0.25">
      <c r="A38" s="8">
        <v>37</v>
      </c>
      <c r="B38" s="5">
        <v>0.16001127322474673</v>
      </c>
      <c r="C38" s="5">
        <v>0.11937210104709095</v>
      </c>
      <c r="D38" s="6">
        <f t="shared" si="1"/>
        <v>1.6515423152851517E-3</v>
      </c>
      <c r="E38" s="6">
        <f t="shared" si="2"/>
        <v>1.4249698508396892E-2</v>
      </c>
      <c r="H38" s="6">
        <f t="shared" si="0"/>
        <v>0.13600958224103471</v>
      </c>
    </row>
    <row r="39" spans="1:18" x14ac:dyDescent="0.25">
      <c r="A39" s="8">
        <v>38</v>
      </c>
      <c r="B39" s="5">
        <v>8.3928161465550488E-2</v>
      </c>
      <c r="C39" s="5">
        <v>0.16001127322474673</v>
      </c>
      <c r="D39" s="6">
        <f t="shared" si="1"/>
        <v>5.7886398949623455E-3</v>
      </c>
      <c r="E39" s="6">
        <f t="shared" si="2"/>
        <v>2.5603607559004551E-2</v>
      </c>
      <c r="H39" s="6">
        <f t="shared" si="0"/>
        <v>7.1338937245717909E-2</v>
      </c>
    </row>
    <row r="40" spans="1:18" x14ac:dyDescent="0.25">
      <c r="A40" s="8">
        <v>39</v>
      </c>
      <c r="B40" s="5">
        <v>3.4522765769494868E-2</v>
      </c>
      <c r="C40" s="5">
        <v>8.3928161465550488E-2</v>
      </c>
      <c r="D40" s="6">
        <f t="shared" si="1"/>
        <v>2.4408931238838311E-3</v>
      </c>
      <c r="E40" s="6">
        <f t="shared" si="2"/>
        <v>7.0439362869875143E-3</v>
      </c>
      <c r="H40" s="6">
        <f t="shared" si="0"/>
        <v>2.9344350904070636E-2</v>
      </c>
    </row>
    <row r="41" spans="1:18" x14ac:dyDescent="0.25">
      <c r="A41" s="8">
        <v>40</v>
      </c>
      <c r="B41" s="5">
        <v>-0.21950491386343174</v>
      </c>
      <c r="C41" s="5">
        <v>3.4522765769494868E-2</v>
      </c>
      <c r="D41" s="6">
        <f t="shared" si="1"/>
        <v>6.4530062019688791E-2</v>
      </c>
      <c r="E41" s="6">
        <f t="shared" si="2"/>
        <v>1.1918213563754066E-3</v>
      </c>
      <c r="H41" s="6">
        <f t="shared" si="0"/>
        <v>-0.18657917678391697</v>
      </c>
      <c r="J41" t="s">
        <v>46</v>
      </c>
    </row>
    <row r="42" spans="1:18" ht="15.75" thickBot="1" x14ac:dyDescent="0.3">
      <c r="A42" s="8">
        <v>41</v>
      </c>
      <c r="B42" s="5">
        <v>-0.55025487743321833</v>
      </c>
      <c r="C42" s="5">
        <v>-0.21950491386343174</v>
      </c>
      <c r="D42" s="6">
        <f t="shared" si="1"/>
        <v>0.10939553840141515</v>
      </c>
      <c r="E42" s="6">
        <f t="shared" si="2"/>
        <v>4.8182407210192589E-2</v>
      </c>
      <c r="H42" s="6">
        <f t="shared" si="0"/>
        <v>-0.46771664581823558</v>
      </c>
    </row>
    <row r="43" spans="1:18" x14ac:dyDescent="0.25">
      <c r="A43" s="8">
        <v>42</v>
      </c>
      <c r="B43" s="5">
        <v>-0.28322712493986302</v>
      </c>
      <c r="C43" s="5">
        <v>-0.55025487743321833</v>
      </c>
      <c r="D43" s="6">
        <f t="shared" si="1"/>
        <v>7.130382060165262E-2</v>
      </c>
      <c r="E43" s="6">
        <f t="shared" si="2"/>
        <v>0.3027804301390461</v>
      </c>
      <c r="H43" s="6">
        <f t="shared" si="0"/>
        <v>-0.24074305619888356</v>
      </c>
      <c r="J43" s="24" t="s">
        <v>47</v>
      </c>
      <c r="K43" s="24" t="s">
        <v>48</v>
      </c>
      <c r="L43" s="24" t="s">
        <v>49</v>
      </c>
    </row>
    <row r="44" spans="1:18" x14ac:dyDescent="0.25">
      <c r="A44" s="8">
        <v>43</v>
      </c>
      <c r="B44" s="5">
        <v>-3.042165638336769E-2</v>
      </c>
      <c r="C44" s="5">
        <v>-0.28322712493986302</v>
      </c>
      <c r="D44" s="6">
        <f t="shared" si="1"/>
        <v>6.3910604932069154E-2</v>
      </c>
      <c r="E44" s="6">
        <f t="shared" si="2"/>
        <v>8.0217604301700773E-2</v>
      </c>
      <c r="H44" s="6">
        <f t="shared" si="0"/>
        <v>-2.5858407925862536E-2</v>
      </c>
      <c r="J44" s="22">
        <v>1</v>
      </c>
      <c r="K44" s="22">
        <v>-0.56226381648817125</v>
      </c>
      <c r="L44" s="22">
        <v>0.37244512106201655</v>
      </c>
    </row>
    <row r="45" spans="1:18" x14ac:dyDescent="0.25">
      <c r="A45" s="8">
        <v>44</v>
      </c>
      <c r="B45" s="5">
        <v>-0.20323847176373988</v>
      </c>
      <c r="C45" s="5">
        <v>-3.042165638336769E-2</v>
      </c>
      <c r="D45" s="6">
        <f t="shared" si="1"/>
        <v>2.9865651678213645E-2</v>
      </c>
      <c r="E45" s="6">
        <f t="shared" si="2"/>
        <v>9.2547717710769609E-4</v>
      </c>
      <c r="H45" s="6">
        <f t="shared" si="0"/>
        <v>-0.17275270099917889</v>
      </c>
      <c r="J45" s="22">
        <v>2</v>
      </c>
      <c r="K45" s="22">
        <v>-0.12916038432714555</v>
      </c>
      <c r="L45" s="22">
        <v>-0.23476148506806044</v>
      </c>
    </row>
    <row r="46" spans="1:18" x14ac:dyDescent="0.25">
      <c r="A46" s="8">
        <v>45</v>
      </c>
      <c r="B46" s="5">
        <v>-3.0377571080968835E-2</v>
      </c>
      <c r="C46" s="5">
        <v>-0.20323847176373988</v>
      </c>
      <c r="D46" s="6">
        <f t="shared" si="1"/>
        <v>2.9880890984858837E-2</v>
      </c>
      <c r="E46" s="6">
        <f t="shared" si="2"/>
        <v>4.1305876404860491E-2</v>
      </c>
      <c r="H46" s="6">
        <f t="shared" si="0"/>
        <v>-2.582093541882351E-2</v>
      </c>
      <c r="J46" s="22">
        <v>3</v>
      </c>
      <c r="K46" s="22">
        <v>-0.27706516216272437</v>
      </c>
      <c r="L46" s="22">
        <v>-0.17958216513837411</v>
      </c>
    </row>
    <row r="47" spans="1:18" x14ac:dyDescent="0.25">
      <c r="A47" s="8">
        <v>46</v>
      </c>
      <c r="B47" s="5">
        <v>-0.65143895433506316</v>
      </c>
      <c r="C47" s="5">
        <v>-3.0377571080968835E-2</v>
      </c>
      <c r="D47" s="6">
        <f t="shared" si="1"/>
        <v>0.38571724176948902</v>
      </c>
      <c r="E47" s="6">
        <f t="shared" si="2"/>
        <v>9.2279682477931411E-4</v>
      </c>
      <c r="H47" s="6">
        <f t="shared" si="0"/>
        <v>-0.55372311118480366</v>
      </c>
      <c r="J47" s="22">
        <v>4</v>
      </c>
      <c r="K47" s="22">
        <v>-0.355837639071797</v>
      </c>
      <c r="L47" s="22">
        <v>0.92704256992793033</v>
      </c>
    </row>
    <row r="48" spans="1:18" x14ac:dyDescent="0.25">
      <c r="A48" s="8">
        <v>47</v>
      </c>
      <c r="B48" s="5">
        <v>-0.76582262152601288</v>
      </c>
      <c r="C48" s="5">
        <v>-0.65143895433506316</v>
      </c>
      <c r="D48" s="6">
        <f t="shared" si="1"/>
        <v>1.3083623320049947E-2</v>
      </c>
      <c r="E48" s="6">
        <f t="shared" si="2"/>
        <v>0.42437271122516051</v>
      </c>
      <c r="H48" s="6">
        <f t="shared" si="0"/>
        <v>-0.65094922829711088</v>
      </c>
      <c r="J48" s="22">
        <v>5</v>
      </c>
      <c r="K48" s="22">
        <v>0.51734724564240897</v>
      </c>
      <c r="L48" s="22">
        <v>-0.56391234056589601</v>
      </c>
    </row>
    <row r="49" spans="1:12" x14ac:dyDescent="0.25">
      <c r="A49" s="8">
        <v>48</v>
      </c>
      <c r="B49" s="5">
        <v>-1.1591285726538345</v>
      </c>
      <c r="C49" s="5">
        <v>-0.76582262152601288</v>
      </c>
      <c r="D49" s="6">
        <f t="shared" si="1"/>
        <v>0.15468957119256041</v>
      </c>
      <c r="E49" s="6">
        <f t="shared" si="2"/>
        <v>0.58648428764097482</v>
      </c>
      <c r="H49" s="6">
        <f t="shared" si="0"/>
        <v>-0.98525928675575936</v>
      </c>
      <c r="J49" s="22">
        <v>6</v>
      </c>
      <c r="K49" s="22">
        <v>-7.4630512259109853E-3</v>
      </c>
      <c r="L49" s="22">
        <v>0.14190564658593888</v>
      </c>
    </row>
    <row r="50" spans="1:12" x14ac:dyDescent="0.25">
      <c r="A50" s="8">
        <v>49</v>
      </c>
      <c r="B50" s="5">
        <v>-1.4503568077185065</v>
      </c>
      <c r="C50" s="5">
        <v>-1.1591285726538345</v>
      </c>
      <c r="D50" s="6">
        <f t="shared" si="1"/>
        <v>8.4813884898883848E-2</v>
      </c>
      <c r="E50" s="6">
        <f t="shared" si="2"/>
        <v>1.3435790479425158</v>
      </c>
      <c r="H50" s="6">
        <f t="shared" si="0"/>
        <v>-1.2328032865607306</v>
      </c>
      <c r="J50" s="22">
        <v>7</v>
      </c>
      <c r="K50" s="22">
        <v>0.14630727706617133</v>
      </c>
      <c r="L50" s="22">
        <v>-0.35127927535949532</v>
      </c>
    </row>
    <row r="51" spans="1:12" x14ac:dyDescent="0.25">
      <c r="A51" s="8">
        <v>50</v>
      </c>
      <c r="B51" s="5">
        <v>-1.472307326720049</v>
      </c>
      <c r="C51" s="5">
        <v>-1.4503568077185065</v>
      </c>
      <c r="D51" s="6">
        <f t="shared" si="1"/>
        <v>4.8182528443708035E-4</v>
      </c>
      <c r="E51" s="6">
        <f t="shared" si="2"/>
        <v>2.1035348696954168</v>
      </c>
      <c r="H51" s="6">
        <f t="shared" si="0"/>
        <v>-1.2514612277120416</v>
      </c>
      <c r="J51" s="22">
        <v>8</v>
      </c>
      <c r="K51" s="22">
        <v>-0.14203347470769381</v>
      </c>
      <c r="L51" s="22">
        <v>-0.15647540117584077</v>
      </c>
    </row>
    <row r="52" spans="1:12" x14ac:dyDescent="0.25">
      <c r="A52" s="8">
        <v>51</v>
      </c>
      <c r="B52" s="5">
        <v>-1.3445801296584534</v>
      </c>
      <c r="C52" s="5">
        <v>-1.472307326720049</v>
      </c>
      <c r="D52" s="6">
        <f t="shared" si="1"/>
        <v>1.6314236869211685E-2</v>
      </c>
      <c r="E52" s="6">
        <f t="shared" si="2"/>
        <v>2.1676888643135372</v>
      </c>
      <c r="H52" s="6">
        <f t="shared" si="0"/>
        <v>-1.1428931102096853</v>
      </c>
      <c r="J52" s="22">
        <v>9</v>
      </c>
      <c r="K52" s="22">
        <v>-0.22149527189395918</v>
      </c>
      <c r="L52" s="22">
        <v>9.9927234483354888E-2</v>
      </c>
    </row>
    <row r="53" spans="1:12" x14ac:dyDescent="0.25">
      <c r="A53" s="8">
        <v>52</v>
      </c>
      <c r="B53" s="5">
        <v>-0.89337521653371255</v>
      </c>
      <c r="C53" s="5">
        <v>-1.3445801296584534</v>
      </c>
      <c r="D53" s="6">
        <f t="shared" si="1"/>
        <v>0.20358587362790495</v>
      </c>
      <c r="E53" s="6">
        <f t="shared" si="2"/>
        <v>1.8078957250723433</v>
      </c>
      <c r="H53" s="6">
        <f t="shared" si="0"/>
        <v>-0.75936893405365569</v>
      </c>
      <c r="J53" s="22">
        <v>10</v>
      </c>
      <c r="K53" s="22">
        <v>-7.1179830723243562E-2</v>
      </c>
      <c r="L53" s="22">
        <v>0.17063034784870518</v>
      </c>
    </row>
    <row r="54" spans="1:12" x14ac:dyDescent="0.25">
      <c r="A54" s="8">
        <v>53</v>
      </c>
      <c r="B54" s="5">
        <v>-0.65379258734583345</v>
      </c>
      <c r="C54" s="5">
        <v>-0.89337521653371255</v>
      </c>
      <c r="D54" s="6">
        <f t="shared" si="1"/>
        <v>5.7399836208576777E-2</v>
      </c>
      <c r="E54" s="6">
        <f t="shared" si="2"/>
        <v>0.79811927751665779</v>
      </c>
      <c r="H54" s="6">
        <f t="shared" si="0"/>
        <v>-0.55572369924395837</v>
      </c>
      <c r="J54" s="22">
        <v>11</v>
      </c>
      <c r="K54" s="22">
        <v>0.11658067622770114</v>
      </c>
      <c r="L54" s="22">
        <v>-0.58583388850303464</v>
      </c>
    </row>
    <row r="55" spans="1:12" x14ac:dyDescent="0.25">
      <c r="A55" s="8">
        <v>54</v>
      </c>
      <c r="B55" s="5">
        <v>-0.29973224209482652</v>
      </c>
      <c r="C55" s="5">
        <v>-0.65379258734583345</v>
      </c>
      <c r="D55" s="6">
        <f t="shared" si="1"/>
        <v>0.12535872807926224</v>
      </c>
      <c r="E55" s="6">
        <f t="shared" si="2"/>
        <v>0.42744474726835929</v>
      </c>
      <c r="H55" s="6">
        <f t="shared" si="0"/>
        <v>-0.25477240578060251</v>
      </c>
      <c r="J55" s="22">
        <v>12</v>
      </c>
      <c r="K55" s="22">
        <v>-0.36654663750089234</v>
      </c>
      <c r="L55" s="22">
        <v>0.18056741188790304</v>
      </c>
    </row>
    <row r="56" spans="1:12" x14ac:dyDescent="0.25">
      <c r="A56" s="8">
        <v>55</v>
      </c>
      <c r="B56" s="5">
        <v>0.53700581921932411</v>
      </c>
      <c r="C56" s="5">
        <v>-0.29973224209482652</v>
      </c>
      <c r="D56" s="6">
        <f t="shared" si="1"/>
        <v>0.70013058325176325</v>
      </c>
      <c r="E56" s="6">
        <f t="shared" si="2"/>
        <v>8.98394169511917E-2</v>
      </c>
      <c r="H56" s="6">
        <f t="shared" si="0"/>
        <v>0.45645494633642547</v>
      </c>
      <c r="J56" s="22">
        <v>13</v>
      </c>
      <c r="K56" s="22">
        <v>-0.12589866360846647</v>
      </c>
      <c r="L56" s="22">
        <v>0.16917114072096173</v>
      </c>
    </row>
    <row r="57" spans="1:12" x14ac:dyDescent="0.25">
      <c r="A57" s="8">
        <v>56</v>
      </c>
      <c r="B57" s="5">
        <v>0.81992159659661468</v>
      </c>
      <c r="C57" s="5">
        <v>0.53700581921932411</v>
      </c>
      <c r="D57" s="6">
        <f t="shared" si="1"/>
        <v>8.0041337088996634E-2</v>
      </c>
      <c r="E57" s="6">
        <f t="shared" si="2"/>
        <v>0.28837524987541741</v>
      </c>
      <c r="H57" s="6">
        <f t="shared" si="0"/>
        <v>0.69693335710712245</v>
      </c>
      <c r="J57" s="22">
        <v>14</v>
      </c>
      <c r="K57" s="22">
        <v>6.8856098105805105E-2</v>
      </c>
      <c r="L57" s="22">
        <v>0.20584579779531204</v>
      </c>
    </row>
    <row r="58" spans="1:12" x14ac:dyDescent="0.25">
      <c r="A58" s="8">
        <v>57</v>
      </c>
      <c r="B58" s="5">
        <v>1.325215090037041</v>
      </c>
      <c r="C58" s="5">
        <v>0.81992159659661468</v>
      </c>
      <c r="D58" s="6">
        <f t="shared" si="1"/>
        <v>0.25532151451323015</v>
      </c>
      <c r="E58" s="6">
        <f t="shared" si="2"/>
        <v>0.67227142456554179</v>
      </c>
      <c r="H58" s="6">
        <f t="shared" si="0"/>
        <v>1.1264328265314847</v>
      </c>
      <c r="J58" s="22">
        <v>15</v>
      </c>
      <c r="K58" s="22">
        <v>0.26546088129392159</v>
      </c>
      <c r="L58" s="22">
        <v>8.8048149458946068E-2</v>
      </c>
    </row>
    <row r="59" spans="1:12" x14ac:dyDescent="0.25">
      <c r="A59" s="8">
        <v>58</v>
      </c>
      <c r="B59" s="5">
        <v>1.1602862995406085</v>
      </c>
      <c r="C59" s="5">
        <v>1.325215090037041</v>
      </c>
      <c r="D59" s="6">
        <f t="shared" si="1"/>
        <v>2.7201505934616121E-2</v>
      </c>
      <c r="E59" s="6">
        <f t="shared" si="2"/>
        <v>1.7561950348618827</v>
      </c>
      <c r="H59" s="6">
        <f t="shared" si="0"/>
        <v>0.98624335460951718</v>
      </c>
      <c r="J59" s="22">
        <v>16</v>
      </c>
      <c r="K59" s="22">
        <v>0.33240941248025496</v>
      </c>
      <c r="L59" s="22">
        <v>0.25628446918751774</v>
      </c>
    </row>
    <row r="60" spans="1:12" x14ac:dyDescent="0.25">
      <c r="A60" s="8">
        <v>59</v>
      </c>
      <c r="B60" s="5">
        <v>0.73553522510731995</v>
      </c>
      <c r="C60" s="5">
        <v>1.1602862995406085</v>
      </c>
      <c r="D60" s="6">
        <f t="shared" si="1"/>
        <v>0.180413475232233</v>
      </c>
      <c r="E60" s="6">
        <f t="shared" si="2"/>
        <v>1.3462642969016385</v>
      </c>
      <c r="H60" s="6">
        <f t="shared" si="0"/>
        <v>0.62520494134122195</v>
      </c>
      <c r="J60" s="22">
        <v>17</v>
      </c>
      <c r="K60" s="22">
        <v>0.53220452437779087</v>
      </c>
      <c r="L60" s="22">
        <v>-0.428048075731988</v>
      </c>
    </row>
    <row r="61" spans="1:12" x14ac:dyDescent="0.25">
      <c r="A61" s="8">
        <v>60</v>
      </c>
      <c r="B61" s="5">
        <v>1.4054618667371628</v>
      </c>
      <c r="C61" s="5">
        <v>0.73553522510731995</v>
      </c>
      <c r="D61" s="6">
        <f t="shared" si="1"/>
        <v>0.44880170516543988</v>
      </c>
      <c r="E61" s="6">
        <f t="shared" si="2"/>
        <v>0.5410120673736758</v>
      </c>
      <c r="H61" s="6">
        <f t="shared" si="0"/>
        <v>1.1946425867265884</v>
      </c>
      <c r="J61" s="22">
        <v>18</v>
      </c>
      <c r="K61" s="22">
        <v>0.1205784767281633</v>
      </c>
      <c r="L61" s="22">
        <v>-0.28358174504118289</v>
      </c>
    </row>
    <row r="62" spans="1:12" ht="15.75" thickBot="1" x14ac:dyDescent="0.3">
      <c r="B62" s="5">
        <v>1.28447886212372</v>
      </c>
      <c r="C62" s="98">
        <v>1.4054618667371628</v>
      </c>
      <c r="E62" s="99">
        <f>C62^2</f>
        <v>1.9753230588523103</v>
      </c>
      <c r="J62" s="22">
        <v>19</v>
      </c>
      <c r="K62" s="22">
        <v>-0.1063800426520453</v>
      </c>
      <c r="L62" s="22">
        <v>0.11979477344334215</v>
      </c>
    </row>
    <row r="63" spans="1:12" ht="15.75" thickBot="1" x14ac:dyDescent="0.3">
      <c r="B63" s="5">
        <v>-2.4405263212446044</v>
      </c>
      <c r="C63" s="5">
        <v>1.28447886212372</v>
      </c>
      <c r="D63" s="93">
        <f>SUM(D3:D61)</f>
        <v>8.3797939995908681</v>
      </c>
      <c r="E63" s="94">
        <f>SUM(E3:E62)</f>
        <v>24.582698748956528</v>
      </c>
      <c r="J63" s="22">
        <v>20</v>
      </c>
      <c r="K63" s="22">
        <v>4.349123406781271E-2</v>
      </c>
      <c r="L63" s="22">
        <v>-0.10228078810906735</v>
      </c>
    </row>
    <row r="64" spans="1:12" x14ac:dyDescent="0.25">
      <c r="B64" s="5">
        <v>-2.3367252736724282</v>
      </c>
      <c r="C64" s="5">
        <v>-2.4405263212446044</v>
      </c>
      <c r="D64" s="95" t="s">
        <v>105</v>
      </c>
      <c r="E64" s="95" t="s">
        <v>106</v>
      </c>
      <c r="J64" s="22">
        <v>21</v>
      </c>
      <c r="K64" s="22">
        <v>-1.7848019338525253E-2</v>
      </c>
      <c r="L64" s="22">
        <v>0.13443189652785298</v>
      </c>
    </row>
    <row r="65" spans="1:12" x14ac:dyDescent="0.25">
      <c r="B65" s="5">
        <v>-2.7512451850902337</v>
      </c>
      <c r="C65" s="5">
        <v>-2.3367252736724282</v>
      </c>
      <c r="J65" s="22">
        <v>22</v>
      </c>
      <c r="K65" s="22">
        <v>0.13113587218451675</v>
      </c>
      <c r="L65" s="22">
        <v>0.12809915229853738</v>
      </c>
    </row>
    <row r="66" spans="1:12" x14ac:dyDescent="0.25">
      <c r="B66" s="5">
        <v>-3.17823067328343</v>
      </c>
      <c r="C66" s="5">
        <v>-2.7512451850902337</v>
      </c>
      <c r="J66" s="22">
        <v>23</v>
      </c>
      <c r="K66" s="22">
        <v>0.25232140698826233</v>
      </c>
      <c r="L66" s="22">
        <v>-0.15895751914833445</v>
      </c>
    </row>
    <row r="67" spans="1:12" x14ac:dyDescent="0.25">
      <c r="B67" s="5">
        <v>-3.825134420661108</v>
      </c>
      <c r="C67" s="5">
        <v>-3.17823067328343</v>
      </c>
      <c r="J67" s="22">
        <v>24</v>
      </c>
      <c r="K67" s="22">
        <v>0.11140994021111124</v>
      </c>
      <c r="L67" s="22">
        <v>0.48076052704881495</v>
      </c>
    </row>
    <row r="68" spans="1:12" x14ac:dyDescent="0.25">
      <c r="B68" s="5">
        <v>-4.3561591270287323</v>
      </c>
      <c r="C68" s="5">
        <v>-3.825134420661108</v>
      </c>
      <c r="J68" s="22">
        <v>25</v>
      </c>
      <c r="K68" s="22">
        <v>0.53515796633930979</v>
      </c>
      <c r="L68" s="22">
        <v>0.47079679640375627</v>
      </c>
    </row>
    <row r="69" spans="1:12" x14ac:dyDescent="0.25">
      <c r="B69" s="5">
        <v>-5.0253047923863434</v>
      </c>
      <c r="C69" s="5">
        <v>-4.3561591270287323</v>
      </c>
      <c r="J69" s="22">
        <v>26</v>
      </c>
      <c r="K69" s="22">
        <v>0.88667754464501258</v>
      </c>
      <c r="L69" s="22">
        <v>0.24803922964433212</v>
      </c>
    </row>
    <row r="70" spans="1:12" x14ac:dyDescent="0.25">
      <c r="B70" s="5">
        <v>-5.7878714167339211</v>
      </c>
      <c r="C70" s="5">
        <v>-5.0253047923863434</v>
      </c>
      <c r="J70" s="22">
        <v>27</v>
      </c>
      <c r="K70" s="22">
        <v>0.99606392903568397</v>
      </c>
      <c r="L70" s="22">
        <v>0.50669257286308189</v>
      </c>
    </row>
    <row r="71" spans="1:12" x14ac:dyDescent="0.25">
      <c r="B71" s="5">
        <v>-6.7372970437164383</v>
      </c>
      <c r="C71" s="5">
        <v>-5.7878714167339211</v>
      </c>
      <c r="J71" s="22">
        <v>28</v>
      </c>
      <c r="K71" s="22">
        <v>1.3087224113929026</v>
      </c>
      <c r="L71" s="22">
        <v>-0.82664846582158025</v>
      </c>
    </row>
    <row r="72" spans="1:12" x14ac:dyDescent="0.25">
      <c r="B72" s="5">
        <v>-6.7276475040238708</v>
      </c>
      <c r="C72" s="5">
        <v>-6.7372970437164383</v>
      </c>
      <c r="J72" s="22">
        <v>29</v>
      </c>
      <c r="K72" s="22">
        <v>0.4416283585234434</v>
      </c>
      <c r="L72" s="22">
        <v>-0.43975925321642773</v>
      </c>
    </row>
    <row r="73" spans="1:12" x14ac:dyDescent="0.25">
      <c r="C73" s="5">
        <v>-6.7276475040238708</v>
      </c>
      <c r="J73" s="22">
        <v>30</v>
      </c>
      <c r="K73" s="22">
        <v>3.3682951235881352E-2</v>
      </c>
      <c r="L73" s="22">
        <v>0.16985902986996895</v>
      </c>
    </row>
    <row r="74" spans="1:12" x14ac:dyDescent="0.25">
      <c r="J74" s="22">
        <v>31</v>
      </c>
      <c r="K74" s="22">
        <v>0.20500884501764111</v>
      </c>
      <c r="L74" s="22">
        <v>-0.22691627204981663</v>
      </c>
    </row>
    <row r="75" spans="1:12" x14ac:dyDescent="0.25">
      <c r="A75"/>
      <c r="B75" t="s">
        <v>46</v>
      </c>
      <c r="J75" s="22">
        <v>32</v>
      </c>
      <c r="K75" s="22">
        <v>1.3484222785625454E-2</v>
      </c>
      <c r="L75" s="22">
        <v>1.6636658107304848E-2</v>
      </c>
    </row>
    <row r="76" spans="1:12" ht="15.75" thickBot="1" x14ac:dyDescent="0.3">
      <c r="J76" s="22">
        <v>33</v>
      </c>
      <c r="K76" s="22">
        <v>5.76835050238216E-2</v>
      </c>
      <c r="L76" s="22">
        <v>-0.43255660014265085</v>
      </c>
    </row>
    <row r="77" spans="1:12" x14ac:dyDescent="0.25">
      <c r="B77" s="24" t="s">
        <v>47</v>
      </c>
      <c r="C77" s="24" t="s">
        <v>48</v>
      </c>
      <c r="D77" s="24" t="s">
        <v>49</v>
      </c>
      <c r="J77" s="22">
        <v>34</v>
      </c>
      <c r="K77" s="22">
        <v>-0.28636848829259554</v>
      </c>
      <c r="L77" s="22">
        <v>-3.7120866774834504E-2</v>
      </c>
    </row>
    <row r="78" spans="1:12" x14ac:dyDescent="0.25">
      <c r="B78" s="22">
        <v>1</v>
      </c>
      <c r="C78" s="22">
        <v>-0.79332196726050597</v>
      </c>
      <c r="D78" s="22">
        <v>0.60350327183435126</v>
      </c>
      <c r="J78" s="22">
        <v>35</v>
      </c>
      <c r="K78" s="22">
        <v>-0.24271678175900699</v>
      </c>
      <c r="L78" s="22">
        <v>0.36208888280609797</v>
      </c>
    </row>
    <row r="79" spans="1:12" x14ac:dyDescent="0.25">
      <c r="B79" s="22">
        <v>2</v>
      </c>
      <c r="C79" s="22">
        <v>-0.2639564427835242</v>
      </c>
      <c r="D79" s="22">
        <v>-9.9965426611681785E-2</v>
      </c>
      <c r="J79" s="22">
        <v>36</v>
      </c>
      <c r="K79" s="22">
        <v>0.13350453451752875</v>
      </c>
      <c r="L79" s="22">
        <v>2.6506738707217981E-2</v>
      </c>
    </row>
    <row r="80" spans="1:12" x14ac:dyDescent="0.25">
      <c r="B80" s="22">
        <v>3</v>
      </c>
      <c r="C80" s="22">
        <v>-0.44473471531051889</v>
      </c>
      <c r="D80" s="22">
        <v>-1.191261199057958E-2</v>
      </c>
      <c r="J80" s="22">
        <v>37</v>
      </c>
      <c r="K80" s="22">
        <v>0.16802847566880544</v>
      </c>
      <c r="L80" s="22">
        <v>-8.410031420325495E-2</v>
      </c>
    </row>
    <row r="81" spans="2:12" x14ac:dyDescent="0.25">
      <c r="B81" s="22">
        <v>4</v>
      </c>
      <c r="C81" s="22">
        <v>-0.54101525814819029</v>
      </c>
      <c r="D81" s="22">
        <v>1.1122201890043235</v>
      </c>
      <c r="J81" s="22">
        <v>38</v>
      </c>
      <c r="K81" s="22">
        <v>0.10339406674192519</v>
      </c>
      <c r="L81" s="22">
        <v>-6.8871300972430327E-2</v>
      </c>
    </row>
    <row r="82" spans="2:12" x14ac:dyDescent="0.25">
      <c r="B82" s="22">
        <v>5</v>
      </c>
      <c r="C82" s="22">
        <v>0.52624475444448782</v>
      </c>
      <c r="D82" s="22">
        <v>-0.57280984936797485</v>
      </c>
      <c r="J82" s="22">
        <v>39</v>
      </c>
      <c r="K82" s="22">
        <v>6.1423010685227916E-2</v>
      </c>
      <c r="L82" s="22">
        <v>-0.28092792454865967</v>
      </c>
    </row>
    <row r="83" spans="2:12" x14ac:dyDescent="0.25">
      <c r="B83" s="22">
        <v>6</v>
      </c>
      <c r="C83" s="22">
        <v>-0.11521051333396709</v>
      </c>
      <c r="D83" s="22">
        <v>0.24965310869399499</v>
      </c>
      <c r="J83" s="22">
        <v>40</v>
      </c>
      <c r="K83" s="22">
        <v>-0.1543795313573107</v>
      </c>
      <c r="L83" s="22">
        <v>-0.39587534607590763</v>
      </c>
    </row>
    <row r="84" spans="2:12" x14ac:dyDescent="0.25">
      <c r="B84" s="22">
        <v>7</v>
      </c>
      <c r="C84" s="22">
        <v>7.2736993983572321E-2</v>
      </c>
      <c r="D84" s="22">
        <v>-0.27770899227689633</v>
      </c>
      <c r="J84" s="22">
        <v>41</v>
      </c>
      <c r="K84" s="22">
        <v>-0.43535947425950638</v>
      </c>
      <c r="L84" s="22">
        <v>0.15213234931964337</v>
      </c>
    </row>
    <row r="85" spans="2:12" x14ac:dyDescent="0.25">
      <c r="B85" s="22">
        <v>8</v>
      </c>
      <c r="C85" s="22">
        <v>-0.27969072179151161</v>
      </c>
      <c r="D85" s="22">
        <v>-1.8818154092022976E-2</v>
      </c>
      <c r="J85" s="22">
        <v>42</v>
      </c>
      <c r="K85" s="22">
        <v>-0.20851306182428994</v>
      </c>
      <c r="L85" s="22">
        <v>0.17809140544092225</v>
      </c>
    </row>
    <row r="86" spans="2:12" x14ac:dyDescent="0.25">
      <c r="B86" s="22">
        <v>9</v>
      </c>
      <c r="C86" s="22">
        <v>-0.37681379406435289</v>
      </c>
      <c r="D86" s="22">
        <v>0.2552457566537486</v>
      </c>
      <c r="J86" s="22">
        <v>43</v>
      </c>
      <c r="K86" s="22">
        <v>6.2511829051859645E-3</v>
      </c>
      <c r="L86" s="22">
        <v>-0.20948965466892586</v>
      </c>
    </row>
    <row r="87" spans="2:12" x14ac:dyDescent="0.25">
      <c r="B87" s="22">
        <v>10</v>
      </c>
      <c r="C87" s="22">
        <v>-0.19308906125563122</v>
      </c>
      <c r="D87" s="22">
        <v>0.29253957838109279</v>
      </c>
      <c r="J87" s="22">
        <v>44</v>
      </c>
      <c r="K87" s="22">
        <v>-0.1405608027834255</v>
      </c>
      <c r="L87" s="22">
        <v>0.11018323170245667</v>
      </c>
    </row>
    <row r="88" spans="2:12" x14ac:dyDescent="0.25">
      <c r="B88" s="22">
        <v>11</v>
      </c>
      <c r="C88" s="22">
        <v>3.6403322912769077E-2</v>
      </c>
      <c r="D88" s="22">
        <v>-0.5056565351881025</v>
      </c>
      <c r="J88" s="22">
        <v>45</v>
      </c>
      <c r="K88" s="22">
        <v>6.2886344157384146E-3</v>
      </c>
      <c r="L88" s="22">
        <v>-0.65772758875080162</v>
      </c>
    </row>
    <row r="89" spans="2:12" x14ac:dyDescent="0.25">
      <c r="B89" s="22">
        <v>12</v>
      </c>
      <c r="C89" s="22">
        <v>-0.55410445151189824</v>
      </c>
      <c r="D89" s="22">
        <v>0.36812522589890895</v>
      </c>
      <c r="J89" s="22">
        <v>46</v>
      </c>
      <c r="K89" s="22">
        <v>-0.52131774873258285</v>
      </c>
      <c r="L89" s="22">
        <v>-0.24450487279343003</v>
      </c>
    </row>
    <row r="90" spans="2:12" x14ac:dyDescent="0.25">
      <c r="B90" s="22">
        <v>13</v>
      </c>
      <c r="C90" s="22">
        <v>-0.25996976807553202</v>
      </c>
      <c r="D90" s="22">
        <v>0.30324224518802728</v>
      </c>
      <c r="J90" s="22">
        <v>47</v>
      </c>
      <c r="K90" s="22">
        <v>-0.61848938838863832</v>
      </c>
      <c r="L90" s="22">
        <v>-0.54063918426519619</v>
      </c>
    </row>
    <row r="91" spans="2:12" x14ac:dyDescent="0.25">
      <c r="B91" s="22">
        <v>14</v>
      </c>
      <c r="C91" s="22">
        <v>-2.1928577626285629E-2</v>
      </c>
      <c r="D91" s="22">
        <v>0.29663047352740279</v>
      </c>
      <c r="J91" s="22">
        <v>48</v>
      </c>
      <c r="K91" s="22">
        <v>-0.95261212720391208</v>
      </c>
      <c r="L91" s="22">
        <v>-0.49774468051459442</v>
      </c>
    </row>
    <row r="92" spans="2:12" x14ac:dyDescent="0.25">
      <c r="B92" s="22">
        <v>15</v>
      </c>
      <c r="C92" s="22">
        <v>0.21837382230566801</v>
      </c>
      <c r="D92" s="22">
        <v>0.13513520844719965</v>
      </c>
      <c r="J92" s="22">
        <v>49</v>
      </c>
      <c r="K92" s="22">
        <v>-1.2000174238721102</v>
      </c>
      <c r="L92" s="22">
        <v>-0.27228990284793886</v>
      </c>
    </row>
    <row r="93" spans="2:12" x14ac:dyDescent="0.25">
      <c r="B93" s="22">
        <v>16</v>
      </c>
      <c r="C93" s="22">
        <v>0.30020241495288685</v>
      </c>
      <c r="D93" s="22">
        <v>0.28849146671488585</v>
      </c>
      <c r="J93" s="22">
        <v>50</v>
      </c>
      <c r="K93" s="22">
        <v>-1.2186649106598921</v>
      </c>
      <c r="L93" s="22">
        <v>-0.12591521899856128</v>
      </c>
    </row>
    <row r="94" spans="2:12" x14ac:dyDescent="0.25">
      <c r="B94" s="22">
        <v>17</v>
      </c>
      <c r="C94" s="22">
        <v>0.54440422990930482</v>
      </c>
      <c r="D94" s="22">
        <v>-0.44024778126350195</v>
      </c>
      <c r="J94" s="22">
        <v>51</v>
      </c>
      <c r="K94" s="22">
        <v>-1.1101576257305856</v>
      </c>
      <c r="L94" s="22">
        <v>0.21678240919687308</v>
      </c>
    </row>
    <row r="95" spans="2:12" x14ac:dyDescent="0.25">
      <c r="B95" s="22">
        <v>18</v>
      </c>
      <c r="C95" s="22">
        <v>4.1289679384529057E-2</v>
      </c>
      <c r="D95" s="22">
        <v>-0.20429294769754863</v>
      </c>
      <c r="J95" s="22">
        <v>52</v>
      </c>
      <c r="K95" s="22">
        <v>-0.72684834472977289</v>
      </c>
      <c r="L95" s="22">
        <v>7.3055757383939435E-2</v>
      </c>
    </row>
    <row r="96" spans="2:12" x14ac:dyDescent="0.25">
      <c r="B96" s="22">
        <v>19</v>
      </c>
      <c r="C96" s="22">
        <v>-0.23611291483355232</v>
      </c>
      <c r="D96" s="22">
        <v>0.24952764562484916</v>
      </c>
      <c r="J96" s="22">
        <v>53</v>
      </c>
      <c r="K96" s="22">
        <v>-0.52331721582803248</v>
      </c>
      <c r="L96" s="22">
        <v>0.22358497373320596</v>
      </c>
    </row>
    <row r="97" spans="2:12" x14ac:dyDescent="0.25">
      <c r="B97" s="22">
        <v>20</v>
      </c>
      <c r="C97" s="22">
        <v>-5.2931067003388926E-2</v>
      </c>
      <c r="D97" s="22">
        <v>-5.8584870378657061E-3</v>
      </c>
      <c r="J97" s="22">
        <v>54</v>
      </c>
      <c r="K97" s="22">
        <v>-0.22253455052149787</v>
      </c>
      <c r="L97" s="22">
        <v>0.75954036974082195</v>
      </c>
    </row>
    <row r="98" spans="2:12" x14ac:dyDescent="0.25">
      <c r="B98" s="22">
        <v>21</v>
      </c>
      <c r="C98" s="22">
        <v>-0.1279036570114036</v>
      </c>
      <c r="D98" s="22">
        <v>0.24448753420073133</v>
      </c>
      <c r="J98" s="22">
        <v>55</v>
      </c>
      <c r="K98" s="22">
        <v>0.48829428874619762</v>
      </c>
      <c r="L98" s="22">
        <v>0.33162730785041705</v>
      </c>
    </row>
    <row r="99" spans="2:12" x14ac:dyDescent="0.25">
      <c r="B99" s="22">
        <v>22</v>
      </c>
      <c r="C99" s="22">
        <v>5.4193574315533864E-2</v>
      </c>
      <c r="D99" s="22">
        <v>0.20504145016752026</v>
      </c>
      <c r="J99" s="22">
        <v>56</v>
      </c>
      <c r="K99" s="22">
        <v>0.72863795535049836</v>
      </c>
      <c r="L99" s="22">
        <v>0.59657713468654261</v>
      </c>
    </row>
    <row r="100" spans="2:12" x14ac:dyDescent="0.25">
      <c r="B100" s="22">
        <v>23</v>
      </c>
      <c r="C100" s="22">
        <v>0.20231395255940129</v>
      </c>
      <c r="D100" s="22">
        <v>-0.10895006471947341</v>
      </c>
      <c r="J100" s="22">
        <v>57</v>
      </c>
      <c r="K100" s="22">
        <v>1.1578967688765216</v>
      </c>
      <c r="L100" s="22">
        <v>2.3895306640868696E-3</v>
      </c>
    </row>
    <row r="101" spans="2:12" x14ac:dyDescent="0.25">
      <c r="B101" s="22">
        <v>24</v>
      </c>
      <c r="C101" s="22">
        <v>3.008333285936203E-2</v>
      </c>
      <c r="D101" s="22">
        <v>0.56208713440056413</v>
      </c>
      <c r="J101" s="22">
        <v>58</v>
      </c>
      <c r="K101" s="22">
        <v>1.0177858475132968</v>
      </c>
      <c r="L101" s="22">
        <v>-0.28225062240597687</v>
      </c>
    </row>
    <row r="102" spans="2:12" ht="15.75" thickBot="1" x14ac:dyDescent="0.3">
      <c r="B102" s="22">
        <v>25</v>
      </c>
      <c r="C102" s="22">
        <v>0.54801410745095991</v>
      </c>
      <c r="D102" s="22">
        <v>0.45794065529210615</v>
      </c>
      <c r="J102" s="23">
        <v>59</v>
      </c>
      <c r="K102" s="23">
        <v>0.65694973024270442</v>
      </c>
      <c r="L102" s="23">
        <v>0.74851213649445836</v>
      </c>
    </row>
    <row r="103" spans="2:12" x14ac:dyDescent="0.25">
      <c r="B103" s="22">
        <v>26</v>
      </c>
      <c r="C103" s="22">
        <v>0.97766285210588855</v>
      </c>
      <c r="D103" s="22">
        <v>0.15705392218345615</v>
      </c>
    </row>
    <row r="104" spans="2:12" x14ac:dyDescent="0.25">
      <c r="B104" s="22">
        <v>27</v>
      </c>
      <c r="C104" s="22">
        <v>1.1113615865044641</v>
      </c>
      <c r="D104" s="22">
        <v>0.39139491539430171</v>
      </c>
    </row>
    <row r="105" spans="2:12" x14ac:dyDescent="0.25">
      <c r="B105" s="22">
        <v>28</v>
      </c>
      <c r="C105" s="22">
        <v>1.4935119210547343</v>
      </c>
      <c r="D105" s="22">
        <v>-1.011437975483412</v>
      </c>
    </row>
    <row r="106" spans="2:12" x14ac:dyDescent="0.25">
      <c r="B106" s="22">
        <v>29</v>
      </c>
      <c r="C106" s="22">
        <v>0.43369649595448834</v>
      </c>
      <c r="D106" s="22">
        <v>-0.43182739064747266</v>
      </c>
    </row>
    <row r="107" spans="2:12" x14ac:dyDescent="0.25">
      <c r="B107" s="22">
        <v>30</v>
      </c>
      <c r="C107" s="22">
        <v>-6.4919350632629477E-2</v>
      </c>
      <c r="D107" s="22">
        <v>0.2684613317384798</v>
      </c>
    </row>
    <row r="108" spans="2:12" x14ac:dyDescent="0.25">
      <c r="B108" s="22">
        <v>31</v>
      </c>
      <c r="C108" s="22">
        <v>0.14448564337939979</v>
      </c>
      <c r="D108" s="22">
        <v>-0.16639307041157531</v>
      </c>
    </row>
    <row r="109" spans="2:12" x14ac:dyDescent="0.25">
      <c r="B109" s="22">
        <v>32</v>
      </c>
      <c r="C109" s="22">
        <v>-8.9607472882056546E-2</v>
      </c>
      <c r="D109" s="22">
        <v>0.11972835377498685</v>
      </c>
    </row>
    <row r="110" spans="2:12" x14ac:dyDescent="0.25">
      <c r="B110" s="22">
        <v>33</v>
      </c>
      <c r="C110" s="22">
        <v>-3.5584404750770668E-2</v>
      </c>
      <c r="D110" s="22">
        <v>-0.33928869036805859</v>
      </c>
    </row>
    <row r="111" spans="2:12" x14ac:dyDescent="0.25">
      <c r="B111" s="22">
        <v>34</v>
      </c>
      <c r="C111" s="22">
        <v>-0.45610580995076777</v>
      </c>
      <c r="D111" s="22">
        <v>0.13261645488333773</v>
      </c>
    </row>
    <row r="112" spans="2:12" x14ac:dyDescent="0.25">
      <c r="B112" s="22">
        <v>35</v>
      </c>
      <c r="C112" s="22">
        <v>-0.40275202236203989</v>
      </c>
      <c r="D112" s="22">
        <v>0.52212412340913084</v>
      </c>
    </row>
    <row r="113" spans="2:4" x14ac:dyDescent="0.25">
      <c r="B113" s="22">
        <v>36</v>
      </c>
      <c r="C113" s="22">
        <v>5.7088698401638056E-2</v>
      </c>
      <c r="D113" s="22">
        <v>0.10292257482310868</v>
      </c>
    </row>
    <row r="114" spans="2:4" x14ac:dyDescent="0.25">
      <c r="B114" s="22">
        <v>37</v>
      </c>
      <c r="C114" s="22">
        <v>9.9285972441625792E-2</v>
      </c>
      <c r="D114" s="22">
        <v>-1.5357810976075303E-2</v>
      </c>
    </row>
    <row r="115" spans="2:4" x14ac:dyDescent="0.25">
      <c r="B115" s="22">
        <v>38</v>
      </c>
      <c r="C115" s="22">
        <v>2.0285841664281531E-2</v>
      </c>
      <c r="D115" s="22">
        <v>1.4236924105213336E-2</v>
      </c>
    </row>
    <row r="116" spans="2:4" x14ac:dyDescent="0.25">
      <c r="B116" s="22">
        <v>39</v>
      </c>
      <c r="C116" s="22">
        <v>-3.1013752041191108E-2</v>
      </c>
      <c r="D116" s="22">
        <v>-0.18849116182224063</v>
      </c>
    </row>
    <row r="117" spans="2:4" x14ac:dyDescent="0.25">
      <c r="B117" s="22">
        <v>40</v>
      </c>
      <c r="C117" s="22">
        <v>-0.29478082791451521</v>
      </c>
      <c r="D117" s="22">
        <v>-0.25547404951870312</v>
      </c>
    </row>
    <row r="118" spans="2:4" x14ac:dyDescent="0.25">
      <c r="B118" s="22">
        <v>41</v>
      </c>
      <c r="C118" s="22">
        <v>-0.63821171254124331</v>
      </c>
      <c r="D118" s="22">
        <v>0.3549845876013803</v>
      </c>
    </row>
    <row r="119" spans="2:4" x14ac:dyDescent="0.25">
      <c r="B119" s="22">
        <v>42</v>
      </c>
      <c r="C119" s="22">
        <v>-0.36094614229324962</v>
      </c>
      <c r="D119" s="22">
        <v>0.33052448590988193</v>
      </c>
    </row>
    <row r="120" spans="2:4" x14ac:dyDescent="0.25">
      <c r="B120" s="22">
        <v>43</v>
      </c>
      <c r="C120" s="22">
        <v>-9.8448136948759674E-2</v>
      </c>
      <c r="D120" s="22">
        <v>-0.10479033481498021</v>
      </c>
    </row>
    <row r="121" spans="2:4" x14ac:dyDescent="0.25">
      <c r="B121" s="22">
        <v>44</v>
      </c>
      <c r="C121" s="22">
        <v>-0.27789073202536502</v>
      </c>
      <c r="D121" s="22">
        <v>0.24751316094439618</v>
      </c>
    </row>
    <row r="122" spans="2:4" x14ac:dyDescent="0.25">
      <c r="B122" s="22">
        <v>45</v>
      </c>
      <c r="C122" s="22">
        <v>-9.8402361420204906E-2</v>
      </c>
      <c r="D122" s="22">
        <v>-0.55303659291485829</v>
      </c>
    </row>
    <row r="123" spans="2:4" x14ac:dyDescent="0.25">
      <c r="B123" s="22">
        <v>46</v>
      </c>
      <c r="C123" s="22">
        <v>-0.74327517699483037</v>
      </c>
      <c r="D123" s="22">
        <v>-2.2547444531182514E-2</v>
      </c>
    </row>
    <row r="124" spans="2:4" x14ac:dyDescent="0.25">
      <c r="B124" s="22">
        <v>47</v>
      </c>
      <c r="C124" s="22">
        <v>-0.86204430273034571</v>
      </c>
      <c r="D124" s="22">
        <v>-0.2970842699234888</v>
      </c>
    </row>
    <row r="125" spans="2:4" x14ac:dyDescent="0.25">
      <c r="B125" s="22">
        <v>48</v>
      </c>
      <c r="C125" s="22">
        <v>-1.2704295653224751</v>
      </c>
      <c r="D125" s="22">
        <v>-0.17992724239603142</v>
      </c>
    </row>
    <row r="126" spans="2:4" x14ac:dyDescent="0.25">
      <c r="B126" s="22">
        <v>49</v>
      </c>
      <c r="C126" s="22">
        <v>-1.5728234622622037</v>
      </c>
      <c r="D126" s="22">
        <v>0.10051613554215466</v>
      </c>
    </row>
    <row r="127" spans="2:4" x14ac:dyDescent="0.25">
      <c r="B127" s="22">
        <v>50</v>
      </c>
      <c r="C127" s="22">
        <v>-1.5956155620022991</v>
      </c>
      <c r="D127" s="22">
        <v>0.25103543234384573</v>
      </c>
    </row>
    <row r="128" spans="2:4" x14ac:dyDescent="0.25">
      <c r="B128" s="22">
        <v>51</v>
      </c>
      <c r="C128" s="22">
        <v>-1.4629913167739219</v>
      </c>
      <c r="D128" s="22">
        <v>0.56961610024020937</v>
      </c>
    </row>
    <row r="129" spans="2:4" x14ac:dyDescent="0.25">
      <c r="B129" s="22">
        <v>52</v>
      </c>
      <c r="C129" s="22">
        <v>-0.99448725167926177</v>
      </c>
      <c r="D129" s="22">
        <v>0.34069466433342832</v>
      </c>
    </row>
    <row r="130" spans="2:4" x14ac:dyDescent="0.25">
      <c r="B130" s="22">
        <v>53</v>
      </c>
      <c r="C130" s="22">
        <v>-0.74571904806363232</v>
      </c>
      <c r="D130" s="22">
        <v>0.4459868059688058</v>
      </c>
    </row>
    <row r="131" spans="2:4" x14ac:dyDescent="0.25">
      <c r="B131" s="22">
        <v>54</v>
      </c>
      <c r="C131" s="22">
        <v>-0.37808406401580458</v>
      </c>
      <c r="D131" s="22">
        <v>0.91508988323512863</v>
      </c>
    </row>
    <row r="132" spans="2:4" x14ac:dyDescent="0.25">
      <c r="B132" s="22">
        <v>55</v>
      </c>
      <c r="C132" s="22">
        <v>0.49073445223277051</v>
      </c>
      <c r="D132" s="22">
        <v>0.32918714436384416</v>
      </c>
    </row>
    <row r="133" spans="2:4" x14ac:dyDescent="0.25">
      <c r="B133" s="22">
        <v>56</v>
      </c>
      <c r="C133" s="22">
        <v>0.78449719267534257</v>
      </c>
      <c r="D133" s="22">
        <v>0.5407178973616984</v>
      </c>
    </row>
    <row r="134" spans="2:4" x14ac:dyDescent="0.25">
      <c r="B134" s="22">
        <v>57</v>
      </c>
      <c r="C134" s="22">
        <v>1.309163588932589</v>
      </c>
      <c r="D134" s="22">
        <v>-0.14887728939198053</v>
      </c>
    </row>
    <row r="135" spans="2:4" x14ac:dyDescent="0.25">
      <c r="B135" s="22">
        <v>58</v>
      </c>
      <c r="C135" s="22">
        <v>1.1379114448377794</v>
      </c>
      <c r="D135" s="22">
        <v>-0.40237621973045945</v>
      </c>
    </row>
    <row r="136" spans="2:4" x14ac:dyDescent="0.25">
      <c r="B136" s="22">
        <v>59</v>
      </c>
      <c r="C136" s="22">
        <v>0.69687545600690193</v>
      </c>
      <c r="D136" s="22">
        <v>0.70858641073026085</v>
      </c>
    </row>
    <row r="137" spans="2:4" x14ac:dyDescent="0.25">
      <c r="B137" s="22">
        <v>60</v>
      </c>
      <c r="C137" s="22">
        <v>1.3924870191549825</v>
      </c>
      <c r="D137" s="22">
        <v>-0.10800815703126254</v>
      </c>
    </row>
    <row r="138" spans="2:4" x14ac:dyDescent="0.25">
      <c r="B138" s="22">
        <v>61</v>
      </c>
      <c r="C138" s="22">
        <v>1.266865538049581</v>
      </c>
      <c r="D138" s="22">
        <v>-3.7073918592941855</v>
      </c>
    </row>
    <row r="139" spans="2:4" x14ac:dyDescent="0.25">
      <c r="B139" s="22">
        <v>62</v>
      </c>
      <c r="C139" s="22">
        <v>-2.6009559775026325</v>
      </c>
      <c r="D139" s="22">
        <v>0.26423070383020431</v>
      </c>
    </row>
    <row r="140" spans="2:4" x14ac:dyDescent="0.25">
      <c r="B140" s="22">
        <v>63</v>
      </c>
      <c r="C140" s="22">
        <v>-2.4931752079807277</v>
      </c>
      <c r="D140" s="22">
        <v>-0.25806997710950608</v>
      </c>
    </row>
    <row r="141" spans="2:4" x14ac:dyDescent="0.25">
      <c r="B141" s="22">
        <v>64</v>
      </c>
      <c r="C141" s="22">
        <v>-2.9235877720128713</v>
      </c>
      <c r="D141" s="22">
        <v>-0.25464290127055866</v>
      </c>
    </row>
    <row r="142" spans="2:4" x14ac:dyDescent="0.25">
      <c r="B142" s="22">
        <v>65</v>
      </c>
      <c r="C142" s="22">
        <v>-3.3669438418073416</v>
      </c>
      <c r="D142" s="22">
        <v>-0.45819057885376635</v>
      </c>
    </row>
    <row r="143" spans="2:4" x14ac:dyDescent="0.25">
      <c r="B143" s="22">
        <v>66</v>
      </c>
      <c r="C143" s="22">
        <v>-4.0386498152031187</v>
      </c>
      <c r="D143" s="22">
        <v>-0.31750931182561359</v>
      </c>
    </row>
    <row r="144" spans="2:4" x14ac:dyDescent="0.25">
      <c r="B144" s="22">
        <v>67</v>
      </c>
      <c r="C144" s="22">
        <v>-4.5900339565591999</v>
      </c>
      <c r="D144" s="22">
        <v>-0.43527083582714354</v>
      </c>
    </row>
    <row r="145" spans="2:4" x14ac:dyDescent="0.25">
      <c r="B145" s="22">
        <v>68</v>
      </c>
      <c r="C145" s="22">
        <v>-5.2848346008816209</v>
      </c>
      <c r="D145" s="22">
        <v>-0.5030368158523002</v>
      </c>
    </row>
    <row r="146" spans="2:4" x14ac:dyDescent="0.25">
      <c r="B146" s="22">
        <v>69</v>
      </c>
      <c r="C146" s="22">
        <v>-6.0766379545689118</v>
      </c>
      <c r="D146" s="22">
        <v>-0.66065908914752658</v>
      </c>
    </row>
    <row r="147" spans="2:4" ht="15.75" thickBot="1" x14ac:dyDescent="0.3">
      <c r="B147" s="23">
        <v>70</v>
      </c>
      <c r="C147" s="23">
        <v>-7.0624644666649425</v>
      </c>
      <c r="D147" s="23">
        <v>0.33481696264107175</v>
      </c>
    </row>
    <row r="148" spans="2:4" x14ac:dyDescent="0.25">
      <c r="B148" s="91"/>
    </row>
  </sheetData>
  <mergeCells count="6">
    <mergeCell ref="J1:O1"/>
    <mergeCell ref="K12:K13"/>
    <mergeCell ref="J12:J13"/>
    <mergeCell ref="K15:K16"/>
    <mergeCell ref="F2:G2"/>
    <mergeCell ref="F5:G7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7" r:id="rId4">
          <objectPr defaultSize="0" r:id="rId5">
            <anchor moveWithCells="1">
              <from>
                <xdr:col>5</xdr:col>
                <xdr:colOff>57150</xdr:colOff>
                <xdr:row>7</xdr:row>
                <xdr:rowOff>19050</xdr:rowOff>
              </from>
              <to>
                <xdr:col>6</xdr:col>
                <xdr:colOff>609600</xdr:colOff>
                <xdr:row>8</xdr:row>
                <xdr:rowOff>114300</xdr:rowOff>
              </to>
            </anchor>
          </objectPr>
        </oleObject>
      </mc:Choice>
      <mc:Fallback>
        <oleObject progId="Word.Document.12" shapeId="102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51"/>
  <sheetViews>
    <sheetView topLeftCell="A71" workbookViewId="0">
      <selection activeCell="I105" sqref="I105"/>
    </sheetView>
  </sheetViews>
  <sheetFormatPr defaultRowHeight="15" x14ac:dyDescent="0.25"/>
  <cols>
    <col min="4" max="4" width="17.140625" customWidth="1"/>
    <col min="5" max="5" width="20" customWidth="1"/>
    <col min="14" max="14" width="11.28515625" customWidth="1"/>
  </cols>
  <sheetData>
    <row r="1" spans="1:26" ht="15.75" thickBot="1" x14ac:dyDescent="0.3">
      <c r="A1" s="60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</row>
    <row r="2" spans="1:26" x14ac:dyDescent="0.25">
      <c r="A2" s="5">
        <v>0.37244512106201655</v>
      </c>
      <c r="B2" s="115"/>
      <c r="C2" s="123"/>
      <c r="D2" s="123"/>
      <c r="E2" s="123"/>
      <c r="F2" s="123"/>
      <c r="G2" s="123"/>
      <c r="H2" s="123"/>
      <c r="I2" s="123"/>
      <c r="J2" s="123"/>
      <c r="K2" s="123"/>
      <c r="L2" s="123"/>
      <c r="N2" s="24"/>
      <c r="O2" s="24" t="s">
        <v>116</v>
      </c>
      <c r="P2" s="24" t="s">
        <v>117</v>
      </c>
      <c r="Q2" s="24" t="s">
        <v>118</v>
      </c>
      <c r="R2" s="24" t="s">
        <v>119</v>
      </c>
      <c r="S2" s="24" t="s">
        <v>120</v>
      </c>
      <c r="T2" s="24" t="s">
        <v>121</v>
      </c>
      <c r="U2" s="24" t="s">
        <v>122</v>
      </c>
      <c r="V2" s="24" t="s">
        <v>123</v>
      </c>
      <c r="W2" s="24" t="s">
        <v>124</v>
      </c>
      <c r="X2" s="24" t="s">
        <v>125</v>
      </c>
      <c r="Y2" s="24" t="s">
        <v>126</v>
      </c>
      <c r="Z2" s="24" t="s">
        <v>127</v>
      </c>
    </row>
    <row r="3" spans="1:26" x14ac:dyDescent="0.25">
      <c r="A3" s="5">
        <v>-0.23476148506806044</v>
      </c>
      <c r="B3" s="5">
        <v>0.37244512106201655</v>
      </c>
      <c r="C3" s="114"/>
      <c r="D3" s="112"/>
      <c r="E3" s="112"/>
      <c r="F3" s="112"/>
      <c r="G3" s="112"/>
      <c r="H3" s="112"/>
      <c r="I3" s="112"/>
      <c r="J3" s="112"/>
      <c r="K3" s="112"/>
      <c r="L3" s="112"/>
      <c r="N3" s="22" t="s">
        <v>116</v>
      </c>
      <c r="O3" s="22">
        <v>1</v>
      </c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5">
        <v>-0.17958216513837411</v>
      </c>
      <c r="B4" s="5">
        <v>-0.23476148506806044</v>
      </c>
      <c r="C4" s="5">
        <v>0.37244512106201655</v>
      </c>
      <c r="D4" s="114"/>
      <c r="E4" s="112"/>
      <c r="F4" s="112"/>
      <c r="G4" s="112"/>
      <c r="H4" s="112"/>
      <c r="I4" s="112"/>
      <c r="J4" s="112"/>
      <c r="K4" s="112"/>
      <c r="L4" s="112"/>
      <c r="N4" s="22" t="s">
        <v>117</v>
      </c>
      <c r="O4" s="22">
        <v>5.0446486588826368E-2</v>
      </c>
      <c r="P4" s="22">
        <v>1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5">
        <v>0.92704256992793033</v>
      </c>
      <c r="B5" s="5">
        <v>-0.17958216513837411</v>
      </c>
      <c r="C5" s="5">
        <v>-0.23476148506806044</v>
      </c>
      <c r="D5" s="5">
        <v>0.37244512106201655</v>
      </c>
      <c r="E5" s="114"/>
      <c r="F5" s="112"/>
      <c r="G5" s="112"/>
      <c r="H5" s="112"/>
      <c r="I5" s="112"/>
      <c r="J5" s="112"/>
      <c r="K5" s="112"/>
      <c r="L5" s="112"/>
      <c r="N5" s="22" t="s">
        <v>118</v>
      </c>
      <c r="O5" s="22">
        <v>0.10790678269156759</v>
      </c>
      <c r="P5" s="22">
        <v>8.1840457724975876E-2</v>
      </c>
      <c r="Q5" s="22">
        <v>1</v>
      </c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5">
        <v>-0.56391234056589601</v>
      </c>
      <c r="B6" s="5">
        <v>0.92704256992793033</v>
      </c>
      <c r="C6" s="5">
        <v>-0.17958216513837411</v>
      </c>
      <c r="D6" s="5">
        <v>-0.23476148506806044</v>
      </c>
      <c r="E6" s="5">
        <v>0.37244512106201655</v>
      </c>
      <c r="F6" s="114"/>
      <c r="G6" s="112"/>
      <c r="H6" s="112"/>
      <c r="I6" s="112"/>
      <c r="J6" s="112"/>
      <c r="K6" s="112"/>
      <c r="L6" s="112"/>
      <c r="N6" s="22" t="s">
        <v>119</v>
      </c>
      <c r="O6" s="22">
        <v>0.15348956010937959</v>
      </c>
      <c r="P6" s="22">
        <v>0.11108913567748825</v>
      </c>
      <c r="Q6" s="22">
        <v>8.2649472273115157E-2</v>
      </c>
      <c r="R6" s="22">
        <v>1</v>
      </c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5">
        <v>0.14190564658593888</v>
      </c>
      <c r="B7" s="5">
        <v>-0.56391234056589601</v>
      </c>
      <c r="C7" s="5">
        <v>0.92704256992793033</v>
      </c>
      <c r="D7" s="5">
        <v>-0.17958216513837411</v>
      </c>
      <c r="E7" s="5">
        <v>-0.23476148506806044</v>
      </c>
      <c r="F7" s="5">
        <v>0.37244512106201655</v>
      </c>
      <c r="G7" s="114"/>
      <c r="H7" s="112"/>
      <c r="I7" s="112"/>
      <c r="J7" s="112"/>
      <c r="K7" s="112"/>
      <c r="L7" s="112"/>
      <c r="N7" s="22" t="s">
        <v>120</v>
      </c>
      <c r="O7" s="22">
        <v>-0.17101805298731138</v>
      </c>
      <c r="P7" s="22">
        <v>9.7060214434253639E-2</v>
      </c>
      <c r="Q7" s="22">
        <v>0.13859965150234388</v>
      </c>
      <c r="R7" s="22">
        <v>8.3340214076336239E-2</v>
      </c>
      <c r="S7" s="22">
        <v>1</v>
      </c>
      <c r="T7" s="22"/>
      <c r="U7" s="22"/>
      <c r="V7" s="22"/>
      <c r="W7" s="22"/>
      <c r="X7" s="22"/>
      <c r="Y7" s="22"/>
      <c r="Z7" s="22"/>
    </row>
    <row r="8" spans="1:26" x14ac:dyDescent="0.25">
      <c r="A8" s="5">
        <v>-0.35127927535949532</v>
      </c>
      <c r="B8" s="5">
        <v>0.14190564658593888</v>
      </c>
      <c r="C8" s="5">
        <v>-0.56391234056589601</v>
      </c>
      <c r="D8" s="5">
        <v>0.92704256992793033</v>
      </c>
      <c r="E8" s="5">
        <v>-0.17958216513837411</v>
      </c>
      <c r="F8" s="5">
        <v>-0.23476148506806044</v>
      </c>
      <c r="G8" s="5">
        <v>0.37244512106201655</v>
      </c>
      <c r="H8" s="114"/>
      <c r="I8" s="112"/>
      <c r="J8" s="112"/>
      <c r="K8" s="112"/>
      <c r="L8" s="112"/>
      <c r="N8" s="22" t="s">
        <v>121</v>
      </c>
      <c r="O8" s="22">
        <v>9.2468158740940276E-2</v>
      </c>
      <c r="P8" s="22">
        <v>-0.22377277822541478</v>
      </c>
      <c r="Q8" s="22">
        <v>0.11268441821651838</v>
      </c>
      <c r="R8" s="22">
        <v>0.13919982930068209</v>
      </c>
      <c r="S8" s="22">
        <v>5.3549170930647275E-2</v>
      </c>
      <c r="T8" s="22">
        <v>1</v>
      </c>
      <c r="U8" s="22"/>
      <c r="V8" s="22"/>
      <c r="W8" s="22"/>
      <c r="X8" s="22"/>
      <c r="Y8" s="22"/>
      <c r="Z8" s="22"/>
    </row>
    <row r="9" spans="1:26" x14ac:dyDescent="0.25">
      <c r="A9" s="5">
        <v>-0.15647540117584077</v>
      </c>
      <c r="B9" s="5">
        <v>-0.35127927535949532</v>
      </c>
      <c r="C9" s="5">
        <v>0.14190564658593888</v>
      </c>
      <c r="D9" s="5">
        <v>-0.56391234056589601</v>
      </c>
      <c r="E9" s="5">
        <v>0.92704256992793033</v>
      </c>
      <c r="F9" s="5">
        <v>-0.17958216513837411</v>
      </c>
      <c r="G9" s="5">
        <v>-0.23476148506806044</v>
      </c>
      <c r="H9" s="5">
        <v>0.37244512106201655</v>
      </c>
      <c r="I9" s="114"/>
      <c r="J9" s="112"/>
      <c r="K9" s="112"/>
      <c r="L9" s="112"/>
      <c r="N9" s="22" t="s">
        <v>122</v>
      </c>
      <c r="O9" s="22">
        <v>-1.3163117956595388E-2</v>
      </c>
      <c r="P9" s="22">
        <v>-1.6619815910285686E-4</v>
      </c>
      <c r="Q9" s="22">
        <v>-0.20296480888705784</v>
      </c>
      <c r="R9" s="22">
        <v>0.11714885898226345</v>
      </c>
      <c r="S9" s="22">
        <v>7.3129887583795794E-2</v>
      </c>
      <c r="T9" s="22">
        <v>1.0984541034402976E-2</v>
      </c>
      <c r="U9" s="22">
        <v>1</v>
      </c>
      <c r="V9" s="22"/>
      <c r="W9" s="22"/>
      <c r="X9" s="22"/>
      <c r="Y9" s="22"/>
      <c r="Z9" s="22"/>
    </row>
    <row r="10" spans="1:26" x14ac:dyDescent="0.25">
      <c r="A10" s="5">
        <v>9.9927234483354888E-2</v>
      </c>
      <c r="B10" s="5">
        <v>-0.15647540117584077</v>
      </c>
      <c r="C10" s="5">
        <v>-0.35127927535949532</v>
      </c>
      <c r="D10" s="5">
        <v>0.14190564658593888</v>
      </c>
      <c r="E10" s="5">
        <v>-0.56391234056589601</v>
      </c>
      <c r="F10" s="5">
        <v>0.92704256992793033</v>
      </c>
      <c r="G10" s="5">
        <v>-0.17958216513837411</v>
      </c>
      <c r="H10" s="5">
        <v>-0.23476148506806044</v>
      </c>
      <c r="I10" s="5">
        <v>0.37244512106201655</v>
      </c>
      <c r="J10" s="114"/>
      <c r="K10" s="112"/>
      <c r="L10" s="112"/>
      <c r="N10" s="22" t="s">
        <v>123</v>
      </c>
      <c r="O10" s="48">
        <v>-0.35739351304838041</v>
      </c>
      <c r="P10" s="22">
        <v>-4.8665848883476803E-2</v>
      </c>
      <c r="Q10" s="22">
        <v>1.1910479465783653E-2</v>
      </c>
      <c r="R10" s="22">
        <v>-0.2054418736162357</v>
      </c>
      <c r="S10" s="22">
        <v>9.507173979507684E-2</v>
      </c>
      <c r="T10" s="22">
        <v>5.8887152450498664E-2</v>
      </c>
      <c r="U10" s="22">
        <v>-2.455811888552991E-2</v>
      </c>
      <c r="V10" s="22">
        <v>1</v>
      </c>
      <c r="W10" s="22"/>
      <c r="X10" s="22"/>
      <c r="Y10" s="22"/>
      <c r="Z10" s="22"/>
    </row>
    <row r="11" spans="1:26" x14ac:dyDescent="0.25">
      <c r="A11" s="5">
        <v>0.17063034784870518</v>
      </c>
      <c r="B11" s="5">
        <v>9.9927234483354888E-2</v>
      </c>
      <c r="C11" s="5">
        <v>-0.15647540117584077</v>
      </c>
      <c r="D11" s="5">
        <v>-0.35127927535949532</v>
      </c>
      <c r="E11" s="5">
        <v>0.14190564658593888</v>
      </c>
      <c r="F11" s="5">
        <v>-0.56391234056589601</v>
      </c>
      <c r="G11" s="5">
        <v>0.92704256992793033</v>
      </c>
      <c r="H11" s="5">
        <v>-0.17958216513837411</v>
      </c>
      <c r="I11" s="5">
        <v>-0.23476148506806044</v>
      </c>
      <c r="J11" s="5">
        <v>0.37244512106201655</v>
      </c>
      <c r="K11" s="114"/>
      <c r="L11" s="112"/>
      <c r="N11" s="22" t="s">
        <v>124</v>
      </c>
      <c r="O11" s="22">
        <v>-6.7930131923882489E-2</v>
      </c>
      <c r="P11" s="22">
        <v>-0.39118524203993876</v>
      </c>
      <c r="Q11" s="22">
        <v>-4.3628841616872756E-2</v>
      </c>
      <c r="R11" s="22">
        <v>1.1561292301950769E-2</v>
      </c>
      <c r="S11" s="22">
        <v>-0.22581688118250082</v>
      </c>
      <c r="T11" s="22">
        <v>8.9223711621514004E-2</v>
      </c>
      <c r="U11" s="22">
        <v>4.5823024005264286E-2</v>
      </c>
      <c r="V11" s="22">
        <v>-3.0381107817727401E-2</v>
      </c>
      <c r="W11" s="22">
        <v>1</v>
      </c>
      <c r="X11" s="22"/>
      <c r="Y11" s="22"/>
      <c r="Z11" s="22"/>
    </row>
    <row r="12" spans="1:26" x14ac:dyDescent="0.25">
      <c r="A12" s="5">
        <v>-0.58583388850303464</v>
      </c>
      <c r="B12" s="5">
        <v>0.17063034784870518</v>
      </c>
      <c r="C12" s="5">
        <v>9.9927234483354888E-2</v>
      </c>
      <c r="D12" s="5">
        <v>-0.15647540117584077</v>
      </c>
      <c r="E12" s="5">
        <v>-0.35127927535949532</v>
      </c>
      <c r="F12" s="5">
        <v>0.14190564658593888</v>
      </c>
      <c r="G12" s="5">
        <v>-0.56391234056589601</v>
      </c>
      <c r="H12" s="5">
        <v>0.92704256992793033</v>
      </c>
      <c r="I12" s="5">
        <v>-0.17958216513837411</v>
      </c>
      <c r="J12" s="5">
        <v>-0.23476148506806044</v>
      </c>
      <c r="K12" s="5">
        <v>0.37244512106201655</v>
      </c>
      <c r="L12" s="114"/>
      <c r="N12" s="22" t="s">
        <v>125</v>
      </c>
      <c r="O12" s="22">
        <v>-8.295559400221704E-2</v>
      </c>
      <c r="P12" s="22">
        <v>-0.1067890400009119</v>
      </c>
      <c r="Q12" s="22">
        <v>-0.38357041779442408</v>
      </c>
      <c r="R12" s="22">
        <v>-4.4857909766362399E-2</v>
      </c>
      <c r="S12" s="22">
        <v>-1.7463817650587306E-2</v>
      </c>
      <c r="T12" s="22">
        <v>-0.24765163730923692</v>
      </c>
      <c r="U12" s="22">
        <v>5.8094817613247994E-2</v>
      </c>
      <c r="V12" s="22">
        <v>3.3891573311439313E-2</v>
      </c>
      <c r="W12" s="22">
        <v>-3.651520210429459E-2</v>
      </c>
      <c r="X12" s="22">
        <v>1</v>
      </c>
      <c r="Y12" s="22"/>
      <c r="Z12" s="22"/>
    </row>
    <row r="13" spans="1:26" x14ac:dyDescent="0.25">
      <c r="A13" s="119">
        <v>0.18056741188790304</v>
      </c>
      <c r="B13" s="119">
        <v>-0.58583388850303464</v>
      </c>
      <c r="C13" s="119">
        <v>0.17063034784870518</v>
      </c>
      <c r="D13" s="119">
        <v>9.9927234483354888E-2</v>
      </c>
      <c r="E13" s="119">
        <v>-0.15647540117584077</v>
      </c>
      <c r="F13" s="119">
        <v>-0.35127927535949532</v>
      </c>
      <c r="G13" s="119">
        <v>0.14190564658593888</v>
      </c>
      <c r="H13" s="119">
        <v>-0.56391234056589601</v>
      </c>
      <c r="I13" s="119">
        <v>0.92704256992793033</v>
      </c>
      <c r="J13" s="119">
        <v>-0.17958216513837411</v>
      </c>
      <c r="K13" s="119">
        <v>-0.23476148506806044</v>
      </c>
      <c r="L13" s="119">
        <v>0.37244512106201655</v>
      </c>
      <c r="N13" s="22" t="s">
        <v>126</v>
      </c>
      <c r="O13" s="22">
        <v>1.2280238232476398E-2</v>
      </c>
      <c r="P13" s="22">
        <v>-7.7461668150276511E-2</v>
      </c>
      <c r="Q13" s="22">
        <v>-0.11100900209903848</v>
      </c>
      <c r="R13" s="22">
        <v>-0.38357257280144763</v>
      </c>
      <c r="S13" s="22">
        <v>-3.8328784280950462E-2</v>
      </c>
      <c r="T13" s="22">
        <v>-1.2884850769820745E-2</v>
      </c>
      <c r="U13" s="22">
        <v>-0.2529755650840752</v>
      </c>
      <c r="V13" s="22">
        <v>6.1883667385428019E-2</v>
      </c>
      <c r="W13" s="22">
        <v>3.5529694615475144E-2</v>
      </c>
      <c r="X13" s="22">
        <v>-3.3271266891862689E-2</v>
      </c>
      <c r="Y13" s="22">
        <v>1</v>
      </c>
      <c r="Z13" s="22"/>
    </row>
    <row r="14" spans="1:26" ht="15.75" thickBot="1" x14ac:dyDescent="0.3">
      <c r="A14" s="119">
        <v>0.16917114072096173</v>
      </c>
      <c r="B14" s="119">
        <v>0.18056741188790304</v>
      </c>
      <c r="C14" s="119">
        <v>-0.58583388850303464</v>
      </c>
      <c r="D14" s="119">
        <v>0.17063034784870518</v>
      </c>
      <c r="E14" s="119">
        <v>9.9927234483354888E-2</v>
      </c>
      <c r="F14" s="119">
        <v>-0.15647540117584077</v>
      </c>
      <c r="G14" s="119">
        <v>-0.35127927535949532</v>
      </c>
      <c r="H14" s="119">
        <v>0.14190564658593888</v>
      </c>
      <c r="I14" s="119">
        <v>-0.56391234056589601</v>
      </c>
      <c r="J14" s="119">
        <v>0.92704256992793033</v>
      </c>
      <c r="K14" s="119">
        <v>-0.17958216513837411</v>
      </c>
      <c r="L14" s="119">
        <v>-0.23476148506806044</v>
      </c>
      <c r="N14" s="23" t="s">
        <v>127</v>
      </c>
      <c r="O14" s="23">
        <v>6.8186469469493721E-2</v>
      </c>
      <c r="P14" s="23">
        <v>4.2646735758123847E-2</v>
      </c>
      <c r="Q14" s="23">
        <v>-8.8809402695052622E-2</v>
      </c>
      <c r="R14" s="23">
        <v>-0.11104834135220239</v>
      </c>
      <c r="S14" s="23">
        <v>-0.374052520593747</v>
      </c>
      <c r="T14" s="23">
        <v>-2.4127180355802889E-2</v>
      </c>
      <c r="U14" s="23">
        <v>2.0832018709644188E-2</v>
      </c>
      <c r="V14" s="23">
        <v>-0.24404130144081043</v>
      </c>
      <c r="W14" s="23">
        <v>6.6945467598229613E-2</v>
      </c>
      <c r="X14" s="23">
        <v>4.650108259082758E-2</v>
      </c>
      <c r="Y14" s="23">
        <v>-3.5925199121790825E-2</v>
      </c>
      <c r="Z14" s="23">
        <v>1</v>
      </c>
    </row>
    <row r="15" spans="1:26" x14ac:dyDescent="0.25">
      <c r="A15" s="119">
        <v>0.20584579779531204</v>
      </c>
      <c r="B15" s="119">
        <v>0.16917114072096173</v>
      </c>
      <c r="C15" s="119">
        <v>0.18056741188790304</v>
      </c>
      <c r="D15" s="119">
        <v>-0.58583388850303464</v>
      </c>
      <c r="E15" s="119">
        <v>0.17063034784870518</v>
      </c>
      <c r="F15" s="119">
        <v>9.9927234483354888E-2</v>
      </c>
      <c r="G15" s="119">
        <v>-0.15647540117584077</v>
      </c>
      <c r="H15" s="119">
        <v>-0.35127927535949532</v>
      </c>
      <c r="I15" s="119">
        <v>0.14190564658593888</v>
      </c>
      <c r="J15" s="119">
        <v>-0.56391234056589601</v>
      </c>
      <c r="K15" s="119">
        <v>0.92704256992793033</v>
      </c>
      <c r="L15" s="119">
        <v>-0.17958216513837411</v>
      </c>
    </row>
    <row r="16" spans="1:26" ht="15.75" thickBot="1" x14ac:dyDescent="0.3">
      <c r="A16" s="119">
        <v>8.8048149458946068E-2</v>
      </c>
      <c r="B16" s="119">
        <v>0.20584579779531204</v>
      </c>
      <c r="C16" s="119">
        <v>0.16917114072096173</v>
      </c>
      <c r="D16" s="119">
        <v>0.18056741188790304</v>
      </c>
      <c r="E16" s="119">
        <v>-0.58583388850303464</v>
      </c>
      <c r="F16" s="119">
        <v>0.17063034784870518</v>
      </c>
      <c r="G16" s="119">
        <v>9.9927234483354888E-2</v>
      </c>
      <c r="H16" s="119">
        <v>-0.15647540117584077</v>
      </c>
      <c r="I16" s="119">
        <v>-0.35127927535949532</v>
      </c>
      <c r="J16" s="119">
        <v>0.14190564658593888</v>
      </c>
      <c r="K16" s="119">
        <v>-0.56391234056589601</v>
      </c>
      <c r="L16" s="119">
        <v>0.92704256992793033</v>
      </c>
    </row>
    <row r="17" spans="1:20" x14ac:dyDescent="0.25">
      <c r="A17" s="119">
        <v>0.25628446918751774</v>
      </c>
      <c r="B17" s="119">
        <v>8.8048149458946068E-2</v>
      </c>
      <c r="C17" s="119">
        <v>0.20584579779531204</v>
      </c>
      <c r="D17" s="119">
        <v>0.16917114072096173</v>
      </c>
      <c r="E17" s="119">
        <v>0.18056741188790304</v>
      </c>
      <c r="F17" s="119">
        <v>-0.58583388850303464</v>
      </c>
      <c r="G17" s="119">
        <v>0.17063034784870518</v>
      </c>
      <c r="H17" s="119">
        <v>9.9927234483354888E-2</v>
      </c>
      <c r="I17" s="119">
        <v>-0.15647540117584077</v>
      </c>
      <c r="J17" s="119">
        <v>-0.35127927535949532</v>
      </c>
      <c r="K17" s="119">
        <v>0.14190564658593888</v>
      </c>
      <c r="L17" s="119">
        <v>-0.56391234056589601</v>
      </c>
      <c r="N17" s="35" t="s">
        <v>57</v>
      </c>
      <c r="O17" s="36">
        <v>59.345181972074705</v>
      </c>
    </row>
    <row r="18" spans="1:20" x14ac:dyDescent="0.25">
      <c r="A18" s="119">
        <v>-0.428048075731988</v>
      </c>
      <c r="B18" s="119">
        <v>0.25628446918751774</v>
      </c>
      <c r="C18" s="119">
        <v>8.8048149458946068E-2</v>
      </c>
      <c r="D18" s="119">
        <v>0.20584579779531204</v>
      </c>
      <c r="E18" s="119">
        <v>0.16917114072096173</v>
      </c>
      <c r="F18" s="119">
        <v>0.18056741188790304</v>
      </c>
      <c r="G18" s="119">
        <v>-0.58583388850303464</v>
      </c>
      <c r="H18" s="119">
        <v>0.17063034784870518</v>
      </c>
      <c r="I18" s="119">
        <v>9.9927234483354888E-2</v>
      </c>
      <c r="J18" s="119">
        <v>-0.15647540117584077</v>
      </c>
      <c r="K18" s="119">
        <v>-0.35127927535949532</v>
      </c>
      <c r="L18" s="119">
        <v>0.14190564658593888</v>
      </c>
      <c r="N18" s="37" t="s">
        <v>58</v>
      </c>
      <c r="O18" s="38">
        <v>-0.10822057434479676</v>
      </c>
    </row>
    <row r="19" spans="1:20" ht="15.75" thickBot="1" x14ac:dyDescent="0.3">
      <c r="A19" s="119">
        <v>-0.28358174504118289</v>
      </c>
      <c r="B19" s="119">
        <v>-0.428048075731988</v>
      </c>
      <c r="C19" s="119">
        <v>0.25628446918751774</v>
      </c>
      <c r="D19" s="119">
        <v>8.8048149458946068E-2</v>
      </c>
      <c r="E19" s="119">
        <v>0.20584579779531204</v>
      </c>
      <c r="F19" s="119">
        <v>0.16917114072096173</v>
      </c>
      <c r="G19" s="119">
        <v>0.18056741188790304</v>
      </c>
      <c r="H19" s="119">
        <v>-0.58583388850303464</v>
      </c>
      <c r="I19" s="119">
        <v>0.17063034784870518</v>
      </c>
      <c r="J19" s="119">
        <v>9.9927234483354888E-2</v>
      </c>
      <c r="K19" s="119">
        <v>-0.15647540117584077</v>
      </c>
      <c r="L19" s="119">
        <v>-0.35127927535949532</v>
      </c>
      <c r="N19" s="39" t="s">
        <v>59</v>
      </c>
      <c r="O19" s="40">
        <v>2.4104794949836531E-3</v>
      </c>
    </row>
    <row r="20" spans="1:20" x14ac:dyDescent="0.25">
      <c r="A20" s="119">
        <v>0.11979477344334215</v>
      </c>
      <c r="B20" s="119">
        <v>-0.28358174504118289</v>
      </c>
      <c r="C20" s="119">
        <v>-0.428048075731988</v>
      </c>
      <c r="D20" s="119">
        <v>0.25628446918751774</v>
      </c>
      <c r="E20" s="119">
        <v>8.8048149458946068E-2</v>
      </c>
      <c r="F20" s="119">
        <v>0.20584579779531204</v>
      </c>
      <c r="G20" s="119">
        <v>0.16917114072096173</v>
      </c>
      <c r="H20" s="119">
        <v>0.18056741188790304</v>
      </c>
      <c r="I20" s="119">
        <v>-0.58583388850303464</v>
      </c>
      <c r="J20" s="119">
        <v>0.17063034784870518</v>
      </c>
      <c r="K20" s="119">
        <v>9.9927234483354888E-2</v>
      </c>
      <c r="L20" s="119">
        <v>-0.15647540117584077</v>
      </c>
    </row>
    <row r="21" spans="1:20" x14ac:dyDescent="0.25">
      <c r="A21" s="119">
        <v>-0.10228078810906735</v>
      </c>
      <c r="B21" s="119">
        <v>0.11979477344334215</v>
      </c>
      <c r="C21" s="119">
        <v>-0.28358174504118289</v>
      </c>
      <c r="D21" s="119">
        <v>-0.428048075731988</v>
      </c>
      <c r="E21" s="119">
        <v>0.25628446918751774</v>
      </c>
      <c r="F21" s="119">
        <v>8.8048149458946068E-2</v>
      </c>
      <c r="G21" s="119">
        <v>0.20584579779531204</v>
      </c>
      <c r="H21" s="119">
        <v>0.16917114072096173</v>
      </c>
      <c r="I21" s="119">
        <v>0.18056741188790304</v>
      </c>
      <c r="J21" s="119">
        <v>-0.58583388850303464</v>
      </c>
      <c r="K21" s="119">
        <v>0.17063034784870518</v>
      </c>
      <c r="L21" s="119">
        <v>9.9927234483354888E-2</v>
      </c>
      <c r="T21" s="120" t="s">
        <v>130</v>
      </c>
    </row>
    <row r="22" spans="1:20" x14ac:dyDescent="0.25">
      <c r="A22" s="119">
        <v>0.13443189652785298</v>
      </c>
      <c r="B22" s="119">
        <v>-0.10228078810906735</v>
      </c>
      <c r="C22" s="119">
        <v>0.11979477344334215</v>
      </c>
      <c r="D22" s="119">
        <v>-0.28358174504118289</v>
      </c>
      <c r="E22" s="119">
        <v>-0.428048075731988</v>
      </c>
      <c r="F22" s="119">
        <v>0.25628446918751774</v>
      </c>
      <c r="G22" s="119">
        <v>8.8048149458946068E-2</v>
      </c>
      <c r="H22" s="119">
        <v>0.20584579779531204</v>
      </c>
      <c r="I22" s="119">
        <v>0.16917114072096173</v>
      </c>
      <c r="J22" s="119">
        <v>0.18056741188790304</v>
      </c>
      <c r="K22" s="119">
        <v>-0.58583388850303464</v>
      </c>
      <c r="L22" s="119">
        <v>0.17063034784870518</v>
      </c>
    </row>
    <row r="23" spans="1:20" x14ac:dyDescent="0.25">
      <c r="A23" s="119">
        <v>0.12809915229853738</v>
      </c>
      <c r="B23" s="119">
        <v>0.13443189652785298</v>
      </c>
      <c r="C23" s="119">
        <v>-0.10228078810906735</v>
      </c>
      <c r="D23" s="119">
        <v>0.11979477344334215</v>
      </c>
      <c r="E23" s="119">
        <v>-0.28358174504118289</v>
      </c>
      <c r="F23" s="119">
        <v>-0.428048075731988</v>
      </c>
      <c r="G23" s="119">
        <v>0.25628446918751774</v>
      </c>
      <c r="H23" s="119">
        <v>8.8048149458946068E-2</v>
      </c>
      <c r="I23" s="119">
        <v>0.20584579779531204</v>
      </c>
      <c r="J23" s="119">
        <v>0.16917114072096173</v>
      </c>
      <c r="K23" s="119">
        <v>0.18056741188790304</v>
      </c>
      <c r="L23" s="119">
        <v>-0.58583388850303464</v>
      </c>
    </row>
    <row r="24" spans="1:20" x14ac:dyDescent="0.25">
      <c r="A24" s="119">
        <v>-0.15895751914833445</v>
      </c>
      <c r="B24" s="119">
        <v>0.12809915229853738</v>
      </c>
      <c r="C24" s="119">
        <v>0.13443189652785298</v>
      </c>
      <c r="D24" s="119">
        <v>-0.10228078810906735</v>
      </c>
      <c r="E24" s="119">
        <v>0.11979477344334215</v>
      </c>
      <c r="F24" s="119">
        <v>-0.28358174504118289</v>
      </c>
      <c r="G24" s="119">
        <v>-0.428048075731988</v>
      </c>
      <c r="H24" s="119">
        <v>0.25628446918751774</v>
      </c>
      <c r="I24" s="119">
        <v>8.8048149458946068E-2</v>
      </c>
      <c r="J24" s="119">
        <v>0.20584579779531204</v>
      </c>
      <c r="K24" s="119">
        <v>0.16917114072096173</v>
      </c>
      <c r="L24" s="119">
        <v>0.18056741188790304</v>
      </c>
    </row>
    <row r="25" spans="1:20" x14ac:dyDescent="0.25">
      <c r="A25" s="119">
        <v>0.48076052704881495</v>
      </c>
      <c r="B25" s="119">
        <v>-0.15895751914833445</v>
      </c>
      <c r="C25" s="119">
        <v>0.12809915229853738</v>
      </c>
      <c r="D25" s="119">
        <v>0.13443189652785298</v>
      </c>
      <c r="E25" s="119">
        <v>-0.10228078810906735</v>
      </c>
      <c r="F25" s="119">
        <v>0.11979477344334215</v>
      </c>
      <c r="G25" s="119">
        <v>-0.28358174504118289</v>
      </c>
      <c r="H25" s="119">
        <v>-0.428048075731988</v>
      </c>
      <c r="I25" s="119">
        <v>0.25628446918751774</v>
      </c>
      <c r="J25" s="119">
        <v>8.8048149458946068E-2</v>
      </c>
      <c r="K25" s="119">
        <v>0.20584579779531204</v>
      </c>
      <c r="L25" s="119">
        <v>0.16917114072096173</v>
      </c>
    </row>
    <row r="26" spans="1:20" x14ac:dyDescent="0.25">
      <c r="A26" s="119">
        <v>0.47079679640375627</v>
      </c>
      <c r="B26" s="119">
        <v>0.48076052704881495</v>
      </c>
      <c r="C26" s="119">
        <v>-0.15895751914833445</v>
      </c>
      <c r="D26" s="119">
        <v>0.12809915229853738</v>
      </c>
      <c r="E26" s="119">
        <v>0.13443189652785298</v>
      </c>
      <c r="F26" s="119">
        <v>-0.10228078810906735</v>
      </c>
      <c r="G26" s="119">
        <v>0.11979477344334215</v>
      </c>
      <c r="H26" s="119">
        <v>-0.28358174504118289</v>
      </c>
      <c r="I26" s="119">
        <v>-0.428048075731988</v>
      </c>
      <c r="J26" s="119">
        <v>0.25628446918751774</v>
      </c>
      <c r="K26" s="119">
        <v>8.8048149458946068E-2</v>
      </c>
      <c r="L26" s="119">
        <v>0.20584579779531204</v>
      </c>
    </row>
    <row r="27" spans="1:20" x14ac:dyDescent="0.25">
      <c r="A27" s="119">
        <v>0.24803922964433212</v>
      </c>
      <c r="B27" s="119">
        <v>0.47079679640375627</v>
      </c>
      <c r="C27" s="119">
        <v>0.48076052704881495</v>
      </c>
      <c r="D27" s="119">
        <v>-0.15895751914833445</v>
      </c>
      <c r="E27" s="119">
        <v>0.12809915229853738</v>
      </c>
      <c r="F27" s="119">
        <v>0.13443189652785298</v>
      </c>
      <c r="G27" s="119">
        <v>-0.10228078810906735</v>
      </c>
      <c r="H27" s="119">
        <v>0.11979477344334215</v>
      </c>
      <c r="I27" s="119">
        <v>-0.28358174504118289</v>
      </c>
      <c r="J27" s="119">
        <v>-0.428048075731988</v>
      </c>
      <c r="K27" s="119">
        <v>0.25628446918751774</v>
      </c>
      <c r="L27" s="119">
        <v>8.8048149458946068E-2</v>
      </c>
    </row>
    <row r="28" spans="1:20" x14ac:dyDescent="0.25">
      <c r="A28" s="119">
        <v>0.50669257286308189</v>
      </c>
      <c r="B28" s="119">
        <v>0.24803922964433212</v>
      </c>
      <c r="C28" s="119">
        <v>0.47079679640375627</v>
      </c>
      <c r="D28" s="119">
        <v>0.48076052704881495</v>
      </c>
      <c r="E28" s="119">
        <v>-0.15895751914833445</v>
      </c>
      <c r="F28" s="119">
        <v>0.12809915229853738</v>
      </c>
      <c r="G28" s="119">
        <v>0.13443189652785298</v>
      </c>
      <c r="H28" s="119">
        <v>-0.10228078810906735</v>
      </c>
      <c r="I28" s="119">
        <v>0.11979477344334215</v>
      </c>
      <c r="J28" s="119">
        <v>-0.28358174504118289</v>
      </c>
      <c r="K28" s="119">
        <v>-0.428048075731988</v>
      </c>
      <c r="L28" s="119">
        <v>0.25628446918751774</v>
      </c>
    </row>
    <row r="29" spans="1:20" x14ac:dyDescent="0.25">
      <c r="A29" s="119">
        <v>-0.82664846582158025</v>
      </c>
      <c r="B29" s="119">
        <v>0.50669257286308189</v>
      </c>
      <c r="C29" s="119">
        <v>0.24803922964433212</v>
      </c>
      <c r="D29" s="119">
        <v>0.47079679640375627</v>
      </c>
      <c r="E29" s="119">
        <v>0.48076052704881495</v>
      </c>
      <c r="F29" s="119">
        <v>-0.15895751914833445</v>
      </c>
      <c r="G29" s="119">
        <v>0.12809915229853738</v>
      </c>
      <c r="H29" s="119">
        <v>0.13443189652785298</v>
      </c>
      <c r="I29" s="119">
        <v>-0.10228078810906735</v>
      </c>
      <c r="J29" s="119">
        <v>0.11979477344334215</v>
      </c>
      <c r="K29" s="119">
        <v>-0.28358174504118289</v>
      </c>
      <c r="L29" s="119">
        <v>-0.428048075731988</v>
      </c>
    </row>
    <row r="30" spans="1:20" x14ac:dyDescent="0.25">
      <c r="A30" s="119">
        <v>-0.43975925321642773</v>
      </c>
      <c r="B30" s="119">
        <v>-0.82664846582158025</v>
      </c>
      <c r="C30" s="119">
        <v>0.50669257286308189</v>
      </c>
      <c r="D30" s="119">
        <v>0.24803922964433212</v>
      </c>
      <c r="E30" s="119">
        <v>0.47079679640375627</v>
      </c>
      <c r="F30" s="119">
        <v>0.48076052704881495</v>
      </c>
      <c r="G30" s="119">
        <v>-0.15895751914833445</v>
      </c>
      <c r="H30" s="119">
        <v>0.12809915229853738</v>
      </c>
      <c r="I30" s="119">
        <v>0.13443189652785298</v>
      </c>
      <c r="J30" s="119">
        <v>-0.10228078810906735</v>
      </c>
      <c r="K30" s="119">
        <v>0.11979477344334215</v>
      </c>
      <c r="L30" s="119">
        <v>-0.28358174504118289</v>
      </c>
    </row>
    <row r="31" spans="1:20" x14ac:dyDescent="0.25">
      <c r="A31" s="119">
        <v>0.16985902986996895</v>
      </c>
      <c r="B31" s="119">
        <v>-0.43975925321642773</v>
      </c>
      <c r="C31" s="119">
        <v>-0.82664846582158025</v>
      </c>
      <c r="D31" s="119">
        <v>0.50669257286308189</v>
      </c>
      <c r="E31" s="119">
        <v>0.24803922964433212</v>
      </c>
      <c r="F31" s="119">
        <v>0.47079679640375627</v>
      </c>
      <c r="G31" s="119">
        <v>0.48076052704881495</v>
      </c>
      <c r="H31" s="119">
        <v>-0.15895751914833445</v>
      </c>
      <c r="I31" s="119">
        <v>0.12809915229853738</v>
      </c>
      <c r="J31" s="119">
        <v>0.13443189652785298</v>
      </c>
      <c r="K31" s="119">
        <v>-0.10228078810906735</v>
      </c>
      <c r="L31" s="119">
        <v>0.11979477344334215</v>
      </c>
    </row>
    <row r="32" spans="1:20" x14ac:dyDescent="0.25">
      <c r="A32" s="119">
        <v>-0.22691627204981663</v>
      </c>
      <c r="B32" s="119">
        <v>0.16985902986996895</v>
      </c>
      <c r="C32" s="119">
        <v>-0.43975925321642773</v>
      </c>
      <c r="D32" s="119">
        <v>-0.82664846582158025</v>
      </c>
      <c r="E32" s="119">
        <v>0.50669257286308189</v>
      </c>
      <c r="F32" s="119">
        <v>0.24803922964433212</v>
      </c>
      <c r="G32" s="119">
        <v>0.47079679640375627</v>
      </c>
      <c r="H32" s="119">
        <v>0.48076052704881495</v>
      </c>
      <c r="I32" s="119">
        <v>-0.15895751914833445</v>
      </c>
      <c r="J32" s="119">
        <v>0.12809915229853738</v>
      </c>
      <c r="K32" s="119">
        <v>0.13443189652785298</v>
      </c>
      <c r="L32" s="119">
        <v>-0.10228078810906735</v>
      </c>
    </row>
    <row r="33" spans="1:12" x14ac:dyDescent="0.25">
      <c r="A33" s="119">
        <v>1.6636658107304848E-2</v>
      </c>
      <c r="B33" s="119">
        <v>-0.22691627204981663</v>
      </c>
      <c r="C33" s="119">
        <v>0.16985902986996895</v>
      </c>
      <c r="D33" s="119">
        <v>-0.43975925321642773</v>
      </c>
      <c r="E33" s="119">
        <v>-0.82664846582158025</v>
      </c>
      <c r="F33" s="119">
        <v>0.50669257286308189</v>
      </c>
      <c r="G33" s="119">
        <v>0.24803922964433212</v>
      </c>
      <c r="H33" s="119">
        <v>0.47079679640375627</v>
      </c>
      <c r="I33" s="119">
        <v>0.48076052704881495</v>
      </c>
      <c r="J33" s="119">
        <v>-0.15895751914833445</v>
      </c>
      <c r="K33" s="119">
        <v>0.12809915229853738</v>
      </c>
      <c r="L33" s="119">
        <v>0.13443189652785298</v>
      </c>
    </row>
    <row r="34" spans="1:12" x14ac:dyDescent="0.25">
      <c r="A34" s="119">
        <v>-0.43255660014265085</v>
      </c>
      <c r="B34" s="119">
        <v>1.6636658107304848E-2</v>
      </c>
      <c r="C34" s="119">
        <v>-0.22691627204981663</v>
      </c>
      <c r="D34" s="119">
        <v>0.16985902986996895</v>
      </c>
      <c r="E34" s="119">
        <v>-0.43975925321642773</v>
      </c>
      <c r="F34" s="119">
        <v>-0.82664846582158025</v>
      </c>
      <c r="G34" s="119">
        <v>0.50669257286308189</v>
      </c>
      <c r="H34" s="119">
        <v>0.24803922964433212</v>
      </c>
      <c r="I34" s="119">
        <v>0.47079679640375627</v>
      </c>
      <c r="J34" s="119">
        <v>0.48076052704881495</v>
      </c>
      <c r="K34" s="119">
        <v>-0.15895751914833445</v>
      </c>
      <c r="L34" s="119">
        <v>0.12809915229853738</v>
      </c>
    </row>
    <row r="35" spans="1:12" x14ac:dyDescent="0.25">
      <c r="A35" s="119">
        <v>-3.7120866774834504E-2</v>
      </c>
      <c r="B35" s="119">
        <v>-0.43255660014265085</v>
      </c>
      <c r="C35" s="119">
        <v>1.6636658107304848E-2</v>
      </c>
      <c r="D35" s="119">
        <v>-0.22691627204981663</v>
      </c>
      <c r="E35" s="119">
        <v>0.16985902986996895</v>
      </c>
      <c r="F35" s="119">
        <v>-0.43975925321642773</v>
      </c>
      <c r="G35" s="119">
        <v>-0.82664846582158025</v>
      </c>
      <c r="H35" s="119">
        <v>0.50669257286308189</v>
      </c>
      <c r="I35" s="119">
        <v>0.24803922964433212</v>
      </c>
      <c r="J35" s="119">
        <v>0.47079679640375627</v>
      </c>
      <c r="K35" s="119">
        <v>0.48076052704881495</v>
      </c>
      <c r="L35" s="119">
        <v>-0.15895751914833445</v>
      </c>
    </row>
    <row r="36" spans="1:12" x14ac:dyDescent="0.25">
      <c r="A36" s="119">
        <v>0.36208888280609797</v>
      </c>
      <c r="B36" s="119">
        <v>-3.7120866774834504E-2</v>
      </c>
      <c r="C36" s="119">
        <v>-0.43255660014265085</v>
      </c>
      <c r="D36" s="119">
        <v>1.6636658107304848E-2</v>
      </c>
      <c r="E36" s="119">
        <v>-0.22691627204981663</v>
      </c>
      <c r="F36" s="119">
        <v>0.16985902986996895</v>
      </c>
      <c r="G36" s="119">
        <v>-0.43975925321642773</v>
      </c>
      <c r="H36" s="119">
        <v>-0.82664846582158025</v>
      </c>
      <c r="I36" s="119">
        <v>0.50669257286308189</v>
      </c>
      <c r="J36" s="119">
        <v>0.24803922964433212</v>
      </c>
      <c r="K36" s="119">
        <v>0.47079679640375627</v>
      </c>
      <c r="L36" s="119">
        <v>0.48076052704881495</v>
      </c>
    </row>
    <row r="37" spans="1:12" x14ac:dyDescent="0.25">
      <c r="A37" s="119">
        <v>2.6506738707217981E-2</v>
      </c>
      <c r="B37" s="119">
        <v>0.36208888280609797</v>
      </c>
      <c r="C37" s="119">
        <v>-3.7120866774834504E-2</v>
      </c>
      <c r="D37" s="119">
        <v>-0.43255660014265085</v>
      </c>
      <c r="E37" s="119">
        <v>1.6636658107304848E-2</v>
      </c>
      <c r="F37" s="119">
        <v>-0.22691627204981663</v>
      </c>
      <c r="G37" s="119">
        <v>0.16985902986996895</v>
      </c>
      <c r="H37" s="119">
        <v>-0.43975925321642773</v>
      </c>
      <c r="I37" s="119">
        <v>-0.82664846582158025</v>
      </c>
      <c r="J37" s="119">
        <v>0.50669257286308189</v>
      </c>
      <c r="K37" s="119">
        <v>0.24803922964433212</v>
      </c>
      <c r="L37" s="119">
        <v>0.47079679640375627</v>
      </c>
    </row>
    <row r="38" spans="1:12" x14ac:dyDescent="0.25">
      <c r="A38" s="119">
        <v>-8.410031420325495E-2</v>
      </c>
      <c r="B38" s="119">
        <v>2.6506738707217981E-2</v>
      </c>
      <c r="C38" s="119">
        <v>0.36208888280609797</v>
      </c>
      <c r="D38" s="119">
        <v>-3.7120866774834504E-2</v>
      </c>
      <c r="E38" s="119">
        <v>-0.43255660014265085</v>
      </c>
      <c r="F38" s="119">
        <v>1.6636658107304848E-2</v>
      </c>
      <c r="G38" s="119">
        <v>-0.22691627204981663</v>
      </c>
      <c r="H38" s="119">
        <v>0.16985902986996895</v>
      </c>
      <c r="I38" s="119">
        <v>-0.43975925321642773</v>
      </c>
      <c r="J38" s="119">
        <v>-0.82664846582158025</v>
      </c>
      <c r="K38" s="119">
        <v>0.50669257286308189</v>
      </c>
      <c r="L38" s="119">
        <v>0.24803922964433212</v>
      </c>
    </row>
    <row r="39" spans="1:12" x14ac:dyDescent="0.25">
      <c r="A39" s="119">
        <v>-6.8871300972430327E-2</v>
      </c>
      <c r="B39" s="119">
        <v>-8.410031420325495E-2</v>
      </c>
      <c r="C39" s="119">
        <v>2.6506738707217981E-2</v>
      </c>
      <c r="D39" s="119">
        <v>0.36208888280609797</v>
      </c>
      <c r="E39" s="119">
        <v>-3.7120866774834504E-2</v>
      </c>
      <c r="F39" s="119">
        <v>-0.43255660014265085</v>
      </c>
      <c r="G39" s="119">
        <v>1.6636658107304848E-2</v>
      </c>
      <c r="H39" s="119">
        <v>-0.22691627204981663</v>
      </c>
      <c r="I39" s="119">
        <v>0.16985902986996895</v>
      </c>
      <c r="J39" s="119">
        <v>-0.43975925321642773</v>
      </c>
      <c r="K39" s="119">
        <v>-0.82664846582158025</v>
      </c>
      <c r="L39" s="119">
        <v>0.50669257286308189</v>
      </c>
    </row>
    <row r="40" spans="1:12" x14ac:dyDescent="0.25">
      <c r="A40" s="119">
        <v>-0.28092792454865967</v>
      </c>
      <c r="B40" s="119">
        <v>-6.8871300972430327E-2</v>
      </c>
      <c r="C40" s="119">
        <v>-8.410031420325495E-2</v>
      </c>
      <c r="D40" s="119">
        <v>2.6506738707217981E-2</v>
      </c>
      <c r="E40" s="119">
        <v>0.36208888280609797</v>
      </c>
      <c r="F40" s="119">
        <v>-3.7120866774834504E-2</v>
      </c>
      <c r="G40" s="119">
        <v>-0.43255660014265085</v>
      </c>
      <c r="H40" s="119">
        <v>1.6636658107304848E-2</v>
      </c>
      <c r="I40" s="119">
        <v>-0.22691627204981663</v>
      </c>
      <c r="J40" s="119">
        <v>0.16985902986996895</v>
      </c>
      <c r="K40" s="119">
        <v>-0.43975925321642773</v>
      </c>
      <c r="L40" s="119">
        <v>-0.82664846582158025</v>
      </c>
    </row>
    <row r="41" spans="1:12" x14ac:dyDescent="0.25">
      <c r="A41" s="119">
        <v>-0.39587534607590763</v>
      </c>
      <c r="B41" s="119">
        <v>-0.28092792454865967</v>
      </c>
      <c r="C41" s="119">
        <v>-6.8871300972430327E-2</v>
      </c>
      <c r="D41" s="119">
        <v>-8.410031420325495E-2</v>
      </c>
      <c r="E41" s="119">
        <v>2.6506738707217981E-2</v>
      </c>
      <c r="F41" s="119">
        <v>0.36208888280609797</v>
      </c>
      <c r="G41" s="119">
        <v>-3.7120866774834504E-2</v>
      </c>
      <c r="H41" s="119">
        <v>-0.43255660014265085</v>
      </c>
      <c r="I41" s="119">
        <v>1.6636658107304848E-2</v>
      </c>
      <c r="J41" s="119">
        <v>-0.22691627204981663</v>
      </c>
      <c r="K41" s="119">
        <v>0.16985902986996895</v>
      </c>
      <c r="L41" s="119">
        <v>-0.43975925321642773</v>
      </c>
    </row>
    <row r="42" spans="1:12" x14ac:dyDescent="0.25">
      <c r="A42" s="119">
        <v>0.15213234931964337</v>
      </c>
      <c r="B42" s="119">
        <v>-0.39587534607590763</v>
      </c>
      <c r="C42" s="119">
        <v>-0.28092792454865967</v>
      </c>
      <c r="D42" s="119">
        <v>-6.8871300972430327E-2</v>
      </c>
      <c r="E42" s="119">
        <v>-8.410031420325495E-2</v>
      </c>
      <c r="F42" s="119">
        <v>2.6506738707217981E-2</v>
      </c>
      <c r="G42" s="119">
        <v>0.36208888280609797</v>
      </c>
      <c r="H42" s="119">
        <v>-3.7120866774834504E-2</v>
      </c>
      <c r="I42" s="119">
        <v>-0.43255660014265085</v>
      </c>
      <c r="J42" s="119">
        <v>1.6636658107304848E-2</v>
      </c>
      <c r="K42" s="119">
        <v>-0.22691627204981663</v>
      </c>
      <c r="L42" s="119">
        <v>0.16985902986996895</v>
      </c>
    </row>
    <row r="43" spans="1:12" x14ac:dyDescent="0.25">
      <c r="A43" s="119">
        <v>0.17809140544092225</v>
      </c>
      <c r="B43" s="119">
        <v>0.15213234931964337</v>
      </c>
      <c r="C43" s="119">
        <v>-0.39587534607590763</v>
      </c>
      <c r="D43" s="119">
        <v>-0.28092792454865967</v>
      </c>
      <c r="E43" s="119">
        <v>-6.8871300972430327E-2</v>
      </c>
      <c r="F43" s="119">
        <v>-8.410031420325495E-2</v>
      </c>
      <c r="G43" s="119">
        <v>2.6506738707217981E-2</v>
      </c>
      <c r="H43" s="119">
        <v>0.36208888280609797</v>
      </c>
      <c r="I43" s="119">
        <v>-3.7120866774834504E-2</v>
      </c>
      <c r="J43" s="119">
        <v>-0.43255660014265085</v>
      </c>
      <c r="K43" s="119">
        <v>1.6636658107304848E-2</v>
      </c>
      <c r="L43" s="119">
        <v>-0.22691627204981663</v>
      </c>
    </row>
    <row r="44" spans="1:12" x14ac:dyDescent="0.25">
      <c r="A44" s="119">
        <v>-0.20948965466892586</v>
      </c>
      <c r="B44" s="119">
        <v>0.17809140544092225</v>
      </c>
      <c r="C44" s="119">
        <v>0.15213234931964337</v>
      </c>
      <c r="D44" s="119">
        <v>-0.39587534607590763</v>
      </c>
      <c r="E44" s="119">
        <v>-0.28092792454865967</v>
      </c>
      <c r="F44" s="119">
        <v>-6.8871300972430327E-2</v>
      </c>
      <c r="G44" s="119">
        <v>-8.410031420325495E-2</v>
      </c>
      <c r="H44" s="119">
        <v>2.6506738707217981E-2</v>
      </c>
      <c r="I44" s="119">
        <v>0.36208888280609797</v>
      </c>
      <c r="J44" s="119">
        <v>-3.7120866774834504E-2</v>
      </c>
      <c r="K44" s="119">
        <v>-0.43255660014265085</v>
      </c>
      <c r="L44" s="119">
        <v>1.6636658107304848E-2</v>
      </c>
    </row>
    <row r="45" spans="1:12" x14ac:dyDescent="0.25">
      <c r="A45" s="119">
        <v>0.11018323170245667</v>
      </c>
      <c r="B45" s="119">
        <v>-0.20948965466892586</v>
      </c>
      <c r="C45" s="119">
        <v>0.17809140544092225</v>
      </c>
      <c r="D45" s="119">
        <v>0.15213234931964337</v>
      </c>
      <c r="E45" s="119">
        <v>-0.39587534607590763</v>
      </c>
      <c r="F45" s="119">
        <v>-0.28092792454865967</v>
      </c>
      <c r="G45" s="119">
        <v>-6.8871300972430327E-2</v>
      </c>
      <c r="H45" s="119">
        <v>-8.410031420325495E-2</v>
      </c>
      <c r="I45" s="119">
        <v>2.6506738707217981E-2</v>
      </c>
      <c r="J45" s="119">
        <v>0.36208888280609797</v>
      </c>
      <c r="K45" s="119">
        <v>-3.7120866774834504E-2</v>
      </c>
      <c r="L45" s="119">
        <v>-0.43255660014265085</v>
      </c>
    </row>
    <row r="46" spans="1:12" x14ac:dyDescent="0.25">
      <c r="A46" s="119">
        <v>-0.65772758875080162</v>
      </c>
      <c r="B46" s="119">
        <v>0.11018323170245667</v>
      </c>
      <c r="C46" s="119">
        <v>-0.20948965466892586</v>
      </c>
      <c r="D46" s="119">
        <v>0.17809140544092225</v>
      </c>
      <c r="E46" s="119">
        <v>0.15213234931964337</v>
      </c>
      <c r="F46" s="119">
        <v>-0.39587534607590763</v>
      </c>
      <c r="G46" s="119">
        <v>-0.28092792454865967</v>
      </c>
      <c r="H46" s="119">
        <v>-6.8871300972430327E-2</v>
      </c>
      <c r="I46" s="119">
        <v>-8.410031420325495E-2</v>
      </c>
      <c r="J46" s="119">
        <v>2.6506738707217981E-2</v>
      </c>
      <c r="K46" s="119">
        <v>0.36208888280609797</v>
      </c>
      <c r="L46" s="119">
        <v>-3.7120866774834504E-2</v>
      </c>
    </row>
    <row r="47" spans="1:12" x14ac:dyDescent="0.25">
      <c r="A47" s="119">
        <v>-0.24450487279343003</v>
      </c>
      <c r="B47" s="119">
        <v>-0.65772758875080162</v>
      </c>
      <c r="C47" s="119">
        <v>0.11018323170245667</v>
      </c>
      <c r="D47" s="119">
        <v>-0.20948965466892586</v>
      </c>
      <c r="E47" s="119">
        <v>0.17809140544092225</v>
      </c>
      <c r="F47" s="119">
        <v>0.15213234931964337</v>
      </c>
      <c r="G47" s="119">
        <v>-0.39587534607590763</v>
      </c>
      <c r="H47" s="119">
        <v>-0.28092792454865967</v>
      </c>
      <c r="I47" s="119">
        <v>-6.8871300972430327E-2</v>
      </c>
      <c r="J47" s="119">
        <v>-8.410031420325495E-2</v>
      </c>
      <c r="K47" s="119">
        <v>2.6506738707217981E-2</v>
      </c>
      <c r="L47" s="119">
        <v>0.36208888280609797</v>
      </c>
    </row>
    <row r="48" spans="1:12" x14ac:dyDescent="0.25">
      <c r="A48" s="119">
        <v>-0.54063918426519619</v>
      </c>
      <c r="B48" s="119">
        <v>-0.24450487279343003</v>
      </c>
      <c r="C48" s="119">
        <v>-0.65772758875080162</v>
      </c>
      <c r="D48" s="119">
        <v>0.11018323170245667</v>
      </c>
      <c r="E48" s="119">
        <v>-0.20948965466892586</v>
      </c>
      <c r="F48" s="119">
        <v>0.17809140544092225</v>
      </c>
      <c r="G48" s="119">
        <v>0.15213234931964337</v>
      </c>
      <c r="H48" s="119">
        <v>-0.39587534607590763</v>
      </c>
      <c r="I48" s="119">
        <v>-0.28092792454865967</v>
      </c>
      <c r="J48" s="119">
        <v>-6.8871300972430327E-2</v>
      </c>
      <c r="K48" s="119">
        <v>-8.410031420325495E-2</v>
      </c>
      <c r="L48" s="119">
        <v>2.6506738707217981E-2</v>
      </c>
    </row>
    <row r="49" spans="1:12" x14ac:dyDescent="0.25">
      <c r="A49" s="119">
        <v>-0.49774468051459442</v>
      </c>
      <c r="B49" s="119">
        <v>-0.54063918426519619</v>
      </c>
      <c r="C49" s="119">
        <v>-0.24450487279343003</v>
      </c>
      <c r="D49" s="119">
        <v>-0.65772758875080162</v>
      </c>
      <c r="E49" s="119">
        <v>0.11018323170245667</v>
      </c>
      <c r="F49" s="119">
        <v>-0.20948965466892586</v>
      </c>
      <c r="G49" s="119">
        <v>0.17809140544092225</v>
      </c>
      <c r="H49" s="119">
        <v>0.15213234931964337</v>
      </c>
      <c r="I49" s="119">
        <v>-0.39587534607590763</v>
      </c>
      <c r="J49" s="119">
        <v>-0.28092792454865967</v>
      </c>
      <c r="K49" s="119">
        <v>-6.8871300972430327E-2</v>
      </c>
      <c r="L49" s="119">
        <v>-8.410031420325495E-2</v>
      </c>
    </row>
    <row r="50" spans="1:12" x14ac:dyDescent="0.25">
      <c r="A50" s="119">
        <v>-0.27228990284793886</v>
      </c>
      <c r="B50" s="119">
        <v>-0.49774468051459442</v>
      </c>
      <c r="C50" s="119">
        <v>-0.54063918426519619</v>
      </c>
      <c r="D50" s="119">
        <v>-0.24450487279343003</v>
      </c>
      <c r="E50" s="119">
        <v>-0.65772758875080162</v>
      </c>
      <c r="F50" s="119">
        <v>0.11018323170245667</v>
      </c>
      <c r="G50" s="119">
        <v>-0.20948965466892586</v>
      </c>
      <c r="H50" s="119">
        <v>0.17809140544092225</v>
      </c>
      <c r="I50" s="119">
        <v>0.15213234931964337</v>
      </c>
      <c r="J50" s="119">
        <v>-0.39587534607590763</v>
      </c>
      <c r="K50" s="119">
        <v>-0.28092792454865967</v>
      </c>
      <c r="L50" s="119">
        <v>-6.8871300972430327E-2</v>
      </c>
    </row>
    <row r="51" spans="1:12" x14ac:dyDescent="0.25">
      <c r="A51" s="119">
        <v>-0.12591521899856128</v>
      </c>
      <c r="B51" s="119">
        <v>-0.27228990284793886</v>
      </c>
      <c r="C51" s="119">
        <v>-0.49774468051459442</v>
      </c>
      <c r="D51" s="119">
        <v>-0.54063918426519619</v>
      </c>
      <c r="E51" s="119">
        <v>-0.24450487279343003</v>
      </c>
      <c r="F51" s="119">
        <v>-0.65772758875080162</v>
      </c>
      <c r="G51" s="119">
        <v>0.11018323170245667</v>
      </c>
      <c r="H51" s="119">
        <v>-0.20948965466892586</v>
      </c>
      <c r="I51" s="119">
        <v>0.17809140544092225</v>
      </c>
      <c r="J51" s="119">
        <v>0.15213234931964337</v>
      </c>
      <c r="K51" s="119">
        <v>-0.39587534607590763</v>
      </c>
      <c r="L51" s="119">
        <v>-0.28092792454865967</v>
      </c>
    </row>
    <row r="52" spans="1:12" x14ac:dyDescent="0.25">
      <c r="A52" s="119">
        <v>0.21678240919687308</v>
      </c>
      <c r="B52" s="119">
        <v>-0.12591521899856128</v>
      </c>
      <c r="C52" s="119">
        <v>-0.27228990284793886</v>
      </c>
      <c r="D52" s="119">
        <v>-0.49774468051459442</v>
      </c>
      <c r="E52" s="119">
        <v>-0.54063918426519619</v>
      </c>
      <c r="F52" s="119">
        <v>-0.24450487279343003</v>
      </c>
      <c r="G52" s="119">
        <v>-0.65772758875080162</v>
      </c>
      <c r="H52" s="119">
        <v>0.11018323170245667</v>
      </c>
      <c r="I52" s="119">
        <v>-0.20948965466892586</v>
      </c>
      <c r="J52" s="119">
        <v>0.17809140544092225</v>
      </c>
      <c r="K52" s="119">
        <v>0.15213234931964337</v>
      </c>
      <c r="L52" s="119">
        <v>-0.39587534607590763</v>
      </c>
    </row>
    <row r="53" spans="1:12" x14ac:dyDescent="0.25">
      <c r="A53" s="119">
        <v>7.3055757383939435E-2</v>
      </c>
      <c r="B53" s="119">
        <v>0.21678240919687308</v>
      </c>
      <c r="C53" s="119">
        <v>-0.12591521899856128</v>
      </c>
      <c r="D53" s="119">
        <v>-0.27228990284793886</v>
      </c>
      <c r="E53" s="119">
        <v>-0.49774468051459442</v>
      </c>
      <c r="F53" s="119">
        <v>-0.54063918426519619</v>
      </c>
      <c r="G53" s="119">
        <v>-0.24450487279343003</v>
      </c>
      <c r="H53" s="119">
        <v>-0.65772758875080162</v>
      </c>
      <c r="I53" s="119">
        <v>0.11018323170245667</v>
      </c>
      <c r="J53" s="119">
        <v>-0.20948965466892586</v>
      </c>
      <c r="K53" s="119">
        <v>0.17809140544092225</v>
      </c>
      <c r="L53" s="119">
        <v>0.15213234931964337</v>
      </c>
    </row>
    <row r="54" spans="1:12" x14ac:dyDescent="0.25">
      <c r="A54" s="119">
        <v>0.22358497373320596</v>
      </c>
      <c r="B54" s="119">
        <v>7.3055757383939435E-2</v>
      </c>
      <c r="C54" s="119">
        <v>0.21678240919687308</v>
      </c>
      <c r="D54" s="119">
        <v>-0.12591521899856128</v>
      </c>
      <c r="E54" s="119">
        <v>-0.27228990284793886</v>
      </c>
      <c r="F54" s="119">
        <v>-0.49774468051459442</v>
      </c>
      <c r="G54" s="119">
        <v>-0.54063918426519619</v>
      </c>
      <c r="H54" s="119">
        <v>-0.24450487279343003</v>
      </c>
      <c r="I54" s="119">
        <v>-0.65772758875080162</v>
      </c>
      <c r="J54" s="119">
        <v>0.11018323170245667</v>
      </c>
      <c r="K54" s="119">
        <v>-0.20948965466892586</v>
      </c>
      <c r="L54" s="119">
        <v>0.17809140544092225</v>
      </c>
    </row>
    <row r="55" spans="1:12" x14ac:dyDescent="0.25">
      <c r="A55" s="119">
        <v>0.75954036974082195</v>
      </c>
      <c r="B55" s="119">
        <v>0.22358497373320596</v>
      </c>
      <c r="C55" s="119">
        <v>7.3055757383939435E-2</v>
      </c>
      <c r="D55" s="119">
        <v>0.21678240919687308</v>
      </c>
      <c r="E55" s="119">
        <v>-0.12591521899856128</v>
      </c>
      <c r="F55" s="119">
        <v>-0.27228990284793886</v>
      </c>
      <c r="G55" s="119">
        <v>-0.49774468051459442</v>
      </c>
      <c r="H55" s="119">
        <v>-0.54063918426519619</v>
      </c>
      <c r="I55" s="119">
        <v>-0.24450487279343003</v>
      </c>
      <c r="J55" s="119">
        <v>-0.65772758875080162</v>
      </c>
      <c r="K55" s="119">
        <v>0.11018323170245667</v>
      </c>
      <c r="L55" s="119">
        <v>-0.20948965466892586</v>
      </c>
    </row>
    <row r="56" spans="1:12" x14ac:dyDescent="0.25">
      <c r="A56" s="119">
        <v>0.33162730785041705</v>
      </c>
      <c r="B56" s="119">
        <v>0.75954036974082195</v>
      </c>
      <c r="C56" s="119">
        <v>0.22358497373320596</v>
      </c>
      <c r="D56" s="119">
        <v>7.3055757383939435E-2</v>
      </c>
      <c r="E56" s="119">
        <v>0.21678240919687308</v>
      </c>
      <c r="F56" s="119">
        <v>-0.12591521899856128</v>
      </c>
      <c r="G56" s="119">
        <v>-0.27228990284793886</v>
      </c>
      <c r="H56" s="119">
        <v>-0.49774468051459442</v>
      </c>
      <c r="I56" s="119">
        <v>-0.54063918426519619</v>
      </c>
      <c r="J56" s="119">
        <v>-0.24450487279343003</v>
      </c>
      <c r="K56" s="119">
        <v>-0.65772758875080162</v>
      </c>
      <c r="L56" s="119">
        <v>0.11018323170245667</v>
      </c>
    </row>
    <row r="57" spans="1:12" x14ac:dyDescent="0.25">
      <c r="A57" s="119">
        <v>0.59657713468654261</v>
      </c>
      <c r="B57" s="119">
        <v>0.33162730785041705</v>
      </c>
      <c r="C57" s="119">
        <v>0.75954036974082195</v>
      </c>
      <c r="D57" s="119">
        <v>0.22358497373320596</v>
      </c>
      <c r="E57" s="119">
        <v>7.3055757383939435E-2</v>
      </c>
      <c r="F57" s="119">
        <v>0.21678240919687308</v>
      </c>
      <c r="G57" s="119">
        <v>-0.12591521899856128</v>
      </c>
      <c r="H57" s="119">
        <v>-0.27228990284793886</v>
      </c>
      <c r="I57" s="119">
        <v>-0.49774468051459442</v>
      </c>
      <c r="J57" s="119">
        <v>-0.54063918426519619</v>
      </c>
      <c r="K57" s="119">
        <v>-0.24450487279343003</v>
      </c>
      <c r="L57" s="119">
        <v>-0.65772758875080162</v>
      </c>
    </row>
    <row r="58" spans="1:12" x14ac:dyDescent="0.25">
      <c r="A58" s="119">
        <v>2.3895306640868696E-3</v>
      </c>
      <c r="B58" s="119">
        <v>0.59657713468654261</v>
      </c>
      <c r="C58" s="119">
        <v>0.33162730785041705</v>
      </c>
      <c r="D58" s="119">
        <v>0.75954036974082195</v>
      </c>
      <c r="E58" s="119">
        <v>0.22358497373320596</v>
      </c>
      <c r="F58" s="119">
        <v>7.3055757383939435E-2</v>
      </c>
      <c r="G58" s="119">
        <v>0.21678240919687308</v>
      </c>
      <c r="H58" s="119">
        <v>-0.12591521899856128</v>
      </c>
      <c r="I58" s="119">
        <v>-0.27228990284793886</v>
      </c>
      <c r="J58" s="119">
        <v>-0.49774468051459442</v>
      </c>
      <c r="K58" s="119">
        <v>-0.54063918426519619</v>
      </c>
      <c r="L58" s="119">
        <v>-0.24450487279343003</v>
      </c>
    </row>
    <row r="59" spans="1:12" x14ac:dyDescent="0.25">
      <c r="A59" s="119">
        <v>-0.28225062240597687</v>
      </c>
      <c r="B59" s="119">
        <v>2.3895306640868696E-3</v>
      </c>
      <c r="C59" s="119">
        <v>0.59657713468654261</v>
      </c>
      <c r="D59" s="119">
        <v>0.33162730785041705</v>
      </c>
      <c r="E59" s="119">
        <v>0.75954036974082195</v>
      </c>
      <c r="F59" s="119">
        <v>0.22358497373320596</v>
      </c>
      <c r="G59" s="119">
        <v>7.3055757383939435E-2</v>
      </c>
      <c r="H59" s="119">
        <v>0.21678240919687308</v>
      </c>
      <c r="I59" s="119">
        <v>-0.12591521899856128</v>
      </c>
      <c r="J59" s="119">
        <v>-0.27228990284793886</v>
      </c>
      <c r="K59" s="119">
        <v>-0.49774468051459442</v>
      </c>
      <c r="L59" s="119">
        <v>-0.54063918426519619</v>
      </c>
    </row>
    <row r="60" spans="1:12" x14ac:dyDescent="0.25">
      <c r="A60" s="119">
        <v>0.74851213649445836</v>
      </c>
      <c r="B60" s="119">
        <v>-0.28225062240597687</v>
      </c>
      <c r="C60" s="119">
        <v>2.3895306640868696E-3</v>
      </c>
      <c r="D60" s="119">
        <v>0.59657713468654261</v>
      </c>
      <c r="E60" s="119">
        <v>0.33162730785041705</v>
      </c>
      <c r="F60" s="119">
        <v>0.75954036974082195</v>
      </c>
      <c r="G60" s="119">
        <v>0.22358497373320596</v>
      </c>
      <c r="H60" s="119">
        <v>7.3055757383939435E-2</v>
      </c>
      <c r="I60" s="119">
        <v>0.21678240919687308</v>
      </c>
      <c r="J60" s="119">
        <v>-0.12591521899856128</v>
      </c>
      <c r="K60" s="119">
        <v>-0.27228990284793886</v>
      </c>
      <c r="L60" s="119">
        <v>-0.49774468051459442</v>
      </c>
    </row>
    <row r="61" spans="1:12" x14ac:dyDescent="0.25">
      <c r="A61" s="113"/>
      <c r="B61" s="5">
        <v>0.74851213649445836</v>
      </c>
      <c r="C61" s="5">
        <v>-0.28225062240597687</v>
      </c>
      <c r="D61" s="5">
        <v>2.3895306640868696E-3</v>
      </c>
      <c r="E61" s="5">
        <v>0.59657713468654261</v>
      </c>
      <c r="F61" s="5">
        <v>0.33162730785041705</v>
      </c>
      <c r="G61" s="5">
        <v>0.75954036974082195</v>
      </c>
      <c r="H61" s="5">
        <v>0.22358497373320596</v>
      </c>
      <c r="I61" s="5">
        <v>7.3055757383939435E-2</v>
      </c>
      <c r="J61" s="5">
        <v>0.21678240919687308</v>
      </c>
      <c r="K61" s="5">
        <v>-0.12591521899856128</v>
      </c>
      <c r="L61" s="5">
        <v>-0.27228990284793886</v>
      </c>
    </row>
    <row r="62" spans="1:12" x14ac:dyDescent="0.25">
      <c r="A62" s="112"/>
      <c r="B62" s="113"/>
      <c r="C62" s="5">
        <v>0.74851213649445836</v>
      </c>
      <c r="D62" s="5">
        <v>-0.28225062240597687</v>
      </c>
      <c r="E62" s="5">
        <v>2.3895306640868696E-3</v>
      </c>
      <c r="F62" s="5">
        <v>0.59657713468654261</v>
      </c>
      <c r="G62" s="5">
        <v>0.33162730785041705</v>
      </c>
      <c r="H62" s="5">
        <v>0.75954036974082195</v>
      </c>
      <c r="I62" s="5">
        <v>0.22358497373320596</v>
      </c>
      <c r="J62" s="5">
        <v>7.3055757383939435E-2</v>
      </c>
      <c r="K62" s="5">
        <v>0.21678240919687308</v>
      </c>
      <c r="L62" s="5">
        <v>-0.12591521899856128</v>
      </c>
    </row>
    <row r="63" spans="1:12" x14ac:dyDescent="0.25">
      <c r="A63" s="112"/>
      <c r="B63" s="112"/>
      <c r="C63" s="113"/>
      <c r="D63" s="5">
        <v>0.74851213649445836</v>
      </c>
      <c r="E63" s="5">
        <v>-0.28225062240597687</v>
      </c>
      <c r="F63" s="5">
        <v>2.3895306640868696E-3</v>
      </c>
      <c r="G63" s="5">
        <v>0.59657713468654261</v>
      </c>
      <c r="H63" s="5">
        <v>0.33162730785041705</v>
      </c>
      <c r="I63" s="5">
        <v>0.75954036974082195</v>
      </c>
      <c r="J63" s="5">
        <v>0.22358497373320596</v>
      </c>
      <c r="K63" s="5">
        <v>7.3055757383939435E-2</v>
      </c>
      <c r="L63" s="5">
        <v>0.21678240919687308</v>
      </c>
    </row>
    <row r="64" spans="1:12" x14ac:dyDescent="0.25">
      <c r="A64" s="112"/>
      <c r="B64" s="112"/>
      <c r="C64" s="112"/>
      <c r="D64" s="113"/>
      <c r="E64" s="5">
        <v>0.74851213649445836</v>
      </c>
      <c r="F64" s="5">
        <v>-0.28225062240597687</v>
      </c>
      <c r="G64" s="5">
        <v>2.3895306640868696E-3</v>
      </c>
      <c r="H64" s="5">
        <v>0.59657713468654261</v>
      </c>
      <c r="I64" s="5">
        <v>0.33162730785041705</v>
      </c>
      <c r="J64" s="5">
        <v>0.75954036974082195</v>
      </c>
      <c r="K64" s="5">
        <v>0.22358497373320596</v>
      </c>
      <c r="L64" s="5">
        <v>7.3055757383939435E-2</v>
      </c>
    </row>
    <row r="65" spans="1:12" x14ac:dyDescent="0.25">
      <c r="A65" s="112"/>
      <c r="B65" s="112"/>
      <c r="C65" s="112"/>
      <c r="D65" s="112"/>
      <c r="E65" s="113"/>
      <c r="F65" s="5">
        <v>0.74851213649445836</v>
      </c>
      <c r="G65" s="5">
        <v>-0.28225062240597687</v>
      </c>
      <c r="H65" s="5">
        <v>2.3895306640868696E-3</v>
      </c>
      <c r="I65" s="5">
        <v>0.59657713468654261</v>
      </c>
      <c r="J65" s="5">
        <v>0.33162730785041705</v>
      </c>
      <c r="K65" s="5">
        <v>0.75954036974082195</v>
      </c>
      <c r="L65" s="5">
        <v>0.22358497373320596</v>
      </c>
    </row>
    <row r="66" spans="1:12" x14ac:dyDescent="0.25">
      <c r="A66" s="112"/>
      <c r="B66" s="112"/>
      <c r="C66" s="112"/>
      <c r="D66" s="112"/>
      <c r="E66" s="112"/>
      <c r="F66" s="113"/>
      <c r="G66" s="5">
        <v>0.74851213649445836</v>
      </c>
      <c r="H66" s="5">
        <v>-0.28225062240597687</v>
      </c>
      <c r="I66" s="5">
        <v>2.3895306640868696E-3</v>
      </c>
      <c r="J66" s="5">
        <v>0.59657713468654261</v>
      </c>
      <c r="K66" s="5">
        <v>0.33162730785041705</v>
      </c>
      <c r="L66" s="5">
        <v>0.75954036974082195</v>
      </c>
    </row>
    <row r="67" spans="1:12" x14ac:dyDescent="0.25">
      <c r="A67" s="112"/>
      <c r="B67" s="112"/>
      <c r="C67" s="112"/>
      <c r="D67" s="112"/>
      <c r="E67" s="112"/>
      <c r="F67" s="112"/>
      <c r="G67" s="113"/>
      <c r="H67" s="5">
        <v>0.74851213649445836</v>
      </c>
      <c r="I67" s="5">
        <v>-0.28225062240597687</v>
      </c>
      <c r="J67" s="5">
        <v>2.3895306640868696E-3</v>
      </c>
      <c r="K67" s="5">
        <v>0.59657713468654261</v>
      </c>
      <c r="L67" s="5">
        <v>0.33162730785041705</v>
      </c>
    </row>
    <row r="68" spans="1:12" x14ac:dyDescent="0.25">
      <c r="A68" s="112"/>
      <c r="B68" s="112"/>
      <c r="C68" s="112"/>
      <c r="D68" s="112"/>
      <c r="E68" s="112"/>
      <c r="F68" s="112"/>
      <c r="G68" s="112"/>
      <c r="H68" s="113"/>
      <c r="I68" s="5">
        <v>0.74851213649445836</v>
      </c>
      <c r="J68" s="5">
        <v>-0.28225062240597687</v>
      </c>
      <c r="K68" s="5">
        <v>2.3895306640868696E-3</v>
      </c>
      <c r="L68" s="5">
        <v>0.59657713468654261</v>
      </c>
    </row>
    <row r="69" spans="1:12" x14ac:dyDescent="0.25">
      <c r="A69" s="112"/>
      <c r="B69" s="112"/>
      <c r="C69" s="112"/>
      <c r="D69" s="112"/>
      <c r="E69" s="112"/>
      <c r="F69" s="112"/>
      <c r="G69" s="112"/>
      <c r="H69" s="112"/>
      <c r="I69" s="113"/>
      <c r="J69" s="5">
        <v>0.74851213649445836</v>
      </c>
      <c r="K69" s="5">
        <v>-0.28225062240597687</v>
      </c>
      <c r="L69" s="5">
        <v>2.3895306640868696E-3</v>
      </c>
    </row>
    <row r="70" spans="1:12" x14ac:dyDescent="0.25">
      <c r="A70" s="112"/>
      <c r="B70" s="112"/>
      <c r="C70" s="112"/>
      <c r="D70" s="112"/>
      <c r="E70" s="112"/>
      <c r="F70" s="112"/>
      <c r="G70" s="112"/>
      <c r="H70" s="112"/>
      <c r="I70" s="112"/>
      <c r="J70" s="113"/>
      <c r="K70" s="5">
        <v>0.74851213649445836</v>
      </c>
      <c r="L70" s="5">
        <v>-0.28225062240597687</v>
      </c>
    </row>
    <row r="71" spans="1:12" x14ac:dyDescent="0.25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22"/>
      <c r="L71" s="5">
        <v>0.74851213649445836</v>
      </c>
    </row>
    <row r="75" spans="1:12" x14ac:dyDescent="0.25">
      <c r="A75" s="6" t="s">
        <v>131</v>
      </c>
      <c r="B75" s="6">
        <v>8</v>
      </c>
      <c r="D75" t="s">
        <v>22</v>
      </c>
    </row>
    <row r="76" spans="1:12" ht="15.75" thickBot="1" x14ac:dyDescent="0.3">
      <c r="A76" s="5">
        <v>0.37244512106201655</v>
      </c>
      <c r="B76" s="123"/>
    </row>
    <row r="77" spans="1:12" x14ac:dyDescent="0.25">
      <c r="A77" s="5">
        <v>-0.23476148506806044</v>
      </c>
      <c r="B77" s="112"/>
      <c r="D77" s="25" t="s">
        <v>23</v>
      </c>
      <c r="E77" s="25"/>
    </row>
    <row r="78" spans="1:12" x14ac:dyDescent="0.25">
      <c r="A78" s="5">
        <v>-0.17958216513837411</v>
      </c>
      <c r="B78" s="112"/>
      <c r="D78" s="22" t="s">
        <v>24</v>
      </c>
      <c r="E78" s="22">
        <v>0.35739351304838018</v>
      </c>
    </row>
    <row r="79" spans="1:12" x14ac:dyDescent="0.25">
      <c r="A79" s="5">
        <v>0.92704256992793033</v>
      </c>
      <c r="B79" s="112"/>
      <c r="D79" s="22" t="s">
        <v>25</v>
      </c>
      <c r="E79" s="22">
        <v>0.12773012316906271</v>
      </c>
    </row>
    <row r="80" spans="1:12" x14ac:dyDescent="0.25">
      <c r="A80" s="5">
        <v>-0.56391234056589601</v>
      </c>
      <c r="B80" s="112"/>
      <c r="D80" s="22" t="s">
        <v>26</v>
      </c>
      <c r="E80" s="22">
        <v>0.11028472563244396</v>
      </c>
    </row>
    <row r="81" spans="1:12" x14ac:dyDescent="0.25">
      <c r="A81" s="5">
        <v>0.14190564658593888</v>
      </c>
      <c r="B81" s="112"/>
      <c r="D81" s="22" t="s">
        <v>4</v>
      </c>
      <c r="E81" s="22">
        <v>0.33010437626579009</v>
      </c>
    </row>
    <row r="82" spans="1:12" ht="15.75" thickBot="1" x14ac:dyDescent="0.3">
      <c r="A82" s="5">
        <v>-0.35127927535949532</v>
      </c>
      <c r="B82" s="114"/>
      <c r="D82" s="23" t="s">
        <v>27</v>
      </c>
      <c r="E82" s="23">
        <v>52</v>
      </c>
    </row>
    <row r="83" spans="1:12" x14ac:dyDescent="0.25">
      <c r="A83" s="119">
        <v>-0.15647540117584077</v>
      </c>
      <c r="B83" s="119">
        <v>0.37244512106201655</v>
      </c>
    </row>
    <row r="84" spans="1:12" ht="15.75" thickBot="1" x14ac:dyDescent="0.3">
      <c r="A84" s="119">
        <v>9.9927234483354888E-2</v>
      </c>
      <c r="B84" s="119">
        <v>-0.23476148506806044</v>
      </c>
      <c r="D84" t="s">
        <v>28</v>
      </c>
    </row>
    <row r="85" spans="1:12" x14ac:dyDescent="0.25">
      <c r="A85" s="119">
        <v>0.17063034784870518</v>
      </c>
      <c r="B85" s="119">
        <v>-0.17958216513837411</v>
      </c>
      <c r="D85" s="24"/>
      <c r="E85" s="24" t="s">
        <v>33</v>
      </c>
      <c r="F85" s="24" t="s">
        <v>34</v>
      </c>
      <c r="G85" s="24" t="s">
        <v>35</v>
      </c>
      <c r="H85" s="24" t="s">
        <v>36</v>
      </c>
      <c r="I85" s="24" t="s">
        <v>37</v>
      </c>
    </row>
    <row r="86" spans="1:12" x14ac:dyDescent="0.25">
      <c r="A86" s="119">
        <v>-0.58583388850303464</v>
      </c>
      <c r="B86" s="119">
        <v>0.92704256992793033</v>
      </c>
      <c r="D86" s="22" t="s">
        <v>29</v>
      </c>
      <c r="E86" s="22">
        <v>1</v>
      </c>
      <c r="F86" s="22">
        <v>0.79783856406866338</v>
      </c>
      <c r="G86" s="22">
        <v>0.79783856406866338</v>
      </c>
      <c r="H86" s="22">
        <v>7.3217089436311742</v>
      </c>
      <c r="I86" s="48">
        <v>9.2930885250825448E-3</v>
      </c>
    </row>
    <row r="87" spans="1:12" x14ac:dyDescent="0.25">
      <c r="A87" s="119">
        <v>0.18056741188790304</v>
      </c>
      <c r="B87" s="119">
        <v>-0.56391234056589601</v>
      </c>
      <c r="D87" s="22" t="s">
        <v>30</v>
      </c>
      <c r="E87" s="22">
        <v>50</v>
      </c>
      <c r="F87" s="22">
        <v>5.4484449614913153</v>
      </c>
      <c r="G87" s="22">
        <v>0.1089688992298263</v>
      </c>
      <c r="H87" s="22"/>
      <c r="I87" s="22"/>
    </row>
    <row r="88" spans="1:12" ht="15.75" thickBot="1" x14ac:dyDescent="0.3">
      <c r="A88" s="119">
        <v>0.16917114072096173</v>
      </c>
      <c r="B88" s="119">
        <v>0.14190564658593888</v>
      </c>
      <c r="D88" s="23" t="s">
        <v>31</v>
      </c>
      <c r="E88" s="23">
        <v>51</v>
      </c>
      <c r="F88" s="23">
        <v>6.2462835255599787</v>
      </c>
      <c r="G88" s="23"/>
      <c r="H88" s="23"/>
      <c r="I88" s="23"/>
    </row>
    <row r="89" spans="1:12" ht="15.75" thickBot="1" x14ac:dyDescent="0.3">
      <c r="A89" s="119">
        <v>0.20584579779531204</v>
      </c>
      <c r="B89" s="119">
        <v>-0.35127927535949532</v>
      </c>
    </row>
    <row r="90" spans="1:12" x14ac:dyDescent="0.25">
      <c r="A90" s="119">
        <v>8.8048149458946068E-2</v>
      </c>
      <c r="B90" s="119">
        <v>-0.15647540117584077</v>
      </c>
      <c r="D90" s="24"/>
      <c r="E90" s="24" t="s">
        <v>38</v>
      </c>
      <c r="F90" s="24" t="s">
        <v>4</v>
      </c>
      <c r="G90" s="24" t="s">
        <v>39</v>
      </c>
      <c r="H90" s="24" t="s">
        <v>40</v>
      </c>
      <c r="I90" s="24" t="s">
        <v>41</v>
      </c>
      <c r="J90" s="24" t="s">
        <v>42</v>
      </c>
      <c r="K90" s="24" t="s">
        <v>43</v>
      </c>
      <c r="L90" s="24" t="s">
        <v>44</v>
      </c>
    </row>
    <row r="91" spans="1:12" x14ac:dyDescent="0.25">
      <c r="A91" s="119">
        <v>0.25628446918751774</v>
      </c>
      <c r="B91" s="119">
        <v>9.9927234483354888E-2</v>
      </c>
      <c r="D91" s="22" t="s">
        <v>32</v>
      </c>
      <c r="E91" s="22">
        <v>-1.8908255938118703E-2</v>
      </c>
      <c r="F91" s="22">
        <v>4.619423871556752E-2</v>
      </c>
      <c r="G91" s="22">
        <v>-0.40932065261520578</v>
      </c>
      <c r="H91" s="22">
        <v>0.68405257143308551</v>
      </c>
      <c r="I91" s="22">
        <v>-0.11169211319102315</v>
      </c>
      <c r="J91" s="22">
        <v>7.3875601314785738E-2</v>
      </c>
      <c r="K91" s="22">
        <v>-0.11169211319102315</v>
      </c>
      <c r="L91" s="22">
        <v>7.3875601314785738E-2</v>
      </c>
    </row>
    <row r="92" spans="1:12" ht="15.75" thickBot="1" x14ac:dyDescent="0.3">
      <c r="A92" s="119">
        <v>-0.428048075731988</v>
      </c>
      <c r="B92" s="119">
        <v>0.17063034784870518</v>
      </c>
      <c r="D92" s="23" t="s">
        <v>45</v>
      </c>
      <c r="E92" s="50">
        <v>-0.36612531751298</v>
      </c>
      <c r="F92" s="23">
        <v>0.13530801753530261</v>
      </c>
      <c r="G92" s="23">
        <v>-2.7058656551335245</v>
      </c>
      <c r="H92" s="50">
        <v>9.2930885250824876E-3</v>
      </c>
      <c r="I92" s="23">
        <v>-0.63789946366723105</v>
      </c>
      <c r="J92" s="23">
        <v>-9.4351171358728961E-2</v>
      </c>
      <c r="K92" s="23">
        <v>-0.63789946366723105</v>
      </c>
      <c r="L92" s="23">
        <v>-9.4351171358728961E-2</v>
      </c>
    </row>
    <row r="93" spans="1:12" ht="15.75" thickBot="1" x14ac:dyDescent="0.3">
      <c r="A93" s="119">
        <v>-0.28358174504118289</v>
      </c>
      <c r="B93" s="119">
        <v>-0.58583388850303464</v>
      </c>
      <c r="E93" s="100" t="s">
        <v>135</v>
      </c>
    </row>
    <row r="94" spans="1:12" ht="15" customHeight="1" x14ac:dyDescent="0.25">
      <c r="A94" s="119">
        <v>0.11979477344334215</v>
      </c>
      <c r="B94" s="119">
        <v>0.18056741188790304</v>
      </c>
      <c r="D94" s="101" t="s">
        <v>112</v>
      </c>
      <c r="E94" s="162" t="s">
        <v>133</v>
      </c>
      <c r="F94" s="154"/>
    </row>
    <row r="95" spans="1:12" ht="15.75" thickBot="1" x14ac:dyDescent="0.3">
      <c r="A95" s="119">
        <v>-0.10228078810906735</v>
      </c>
      <c r="B95" s="119">
        <v>0.16917114072096173</v>
      </c>
      <c r="D95" s="102" t="s">
        <v>114</v>
      </c>
      <c r="E95" s="163"/>
      <c r="F95" s="155"/>
    </row>
    <row r="96" spans="1:12" x14ac:dyDescent="0.25">
      <c r="A96" s="119">
        <v>0.13443189652785298</v>
      </c>
      <c r="B96" s="119">
        <v>0.20584579779531204</v>
      </c>
    </row>
    <row r="97" spans="1:6" x14ac:dyDescent="0.25">
      <c r="A97" s="119">
        <v>0.12809915229853738</v>
      </c>
      <c r="B97" s="119">
        <v>8.8048149458946068E-2</v>
      </c>
      <c r="D97" t="s">
        <v>46</v>
      </c>
    </row>
    <row r="98" spans="1:6" ht="15.75" thickBot="1" x14ac:dyDescent="0.3">
      <c r="A98" s="119">
        <v>-0.15895751914833445</v>
      </c>
      <c r="B98" s="119">
        <v>0.25628446918751774</v>
      </c>
    </row>
    <row r="99" spans="1:6" x14ac:dyDescent="0.25">
      <c r="A99" s="119">
        <v>0.48076052704881495</v>
      </c>
      <c r="B99" s="119">
        <v>-0.428048075731988</v>
      </c>
      <c r="D99" s="24" t="s">
        <v>47</v>
      </c>
      <c r="E99" s="24" t="s">
        <v>48</v>
      </c>
      <c r="F99" s="24" t="s">
        <v>49</v>
      </c>
    </row>
    <row r="100" spans="1:6" x14ac:dyDescent="0.25">
      <c r="A100" s="119">
        <v>0.47079679640375627</v>
      </c>
      <c r="B100" s="119">
        <v>-0.28358174504118289</v>
      </c>
      <c r="D100" s="22">
        <v>1</v>
      </c>
      <c r="E100" s="22">
        <v>-0.15526984414310979</v>
      </c>
      <c r="F100" s="22">
        <v>-1.2055570327309806E-3</v>
      </c>
    </row>
    <row r="101" spans="1:6" x14ac:dyDescent="0.25">
      <c r="A101" s="119">
        <v>0.24803922964433212</v>
      </c>
      <c r="B101" s="119">
        <v>0.11979477344334215</v>
      </c>
      <c r="D101" s="22">
        <v>2</v>
      </c>
      <c r="E101" s="22">
        <v>6.7043867322243642E-2</v>
      </c>
      <c r="F101" s="22">
        <v>3.2883367161111246E-2</v>
      </c>
    </row>
    <row r="102" spans="1:6" x14ac:dyDescent="0.25">
      <c r="A102" s="119">
        <v>0.50669257286308189</v>
      </c>
      <c r="B102" s="119">
        <v>-0.10228078810906735</v>
      </c>
      <c r="D102" s="22">
        <v>3</v>
      </c>
      <c r="E102" s="22">
        <v>4.6841321292836927E-2</v>
      </c>
      <c r="F102" s="22">
        <v>0.12378902655586825</v>
      </c>
    </row>
    <row r="103" spans="1:6" x14ac:dyDescent="0.25">
      <c r="A103" s="119">
        <v>-0.82664846582158025</v>
      </c>
      <c r="B103" s="119">
        <v>0.13443189652785298</v>
      </c>
      <c r="D103" s="22">
        <v>4</v>
      </c>
      <c r="E103" s="22">
        <v>-0.35832201120103113</v>
      </c>
      <c r="F103" s="22">
        <v>-0.22751187730200351</v>
      </c>
    </row>
    <row r="104" spans="1:6" x14ac:dyDescent="0.25">
      <c r="A104" s="119">
        <v>-0.43975925321642773</v>
      </c>
      <c r="B104" s="119">
        <v>0.12809915229853738</v>
      </c>
      <c r="D104" s="22">
        <v>5</v>
      </c>
      <c r="E104" s="22">
        <v>0.18755432880105768</v>
      </c>
      <c r="F104" s="22">
        <v>-6.9869169131546449E-3</v>
      </c>
    </row>
    <row r="105" spans="1:6" x14ac:dyDescent="0.25">
      <c r="A105" s="119">
        <v>0.16985902986996895</v>
      </c>
      <c r="B105" s="119">
        <v>-0.15895751914833445</v>
      </c>
      <c r="D105" s="22">
        <v>6</v>
      </c>
      <c r="E105" s="22">
        <v>-7.0863505851280303E-2</v>
      </c>
      <c r="F105" s="22">
        <v>0.24003464657224205</v>
      </c>
    </row>
    <row r="106" spans="1:6" x14ac:dyDescent="0.25">
      <c r="A106" s="119">
        <v>-0.22691627204981663</v>
      </c>
      <c r="B106" s="119">
        <v>0.48076052704881495</v>
      </c>
      <c r="D106" s="22">
        <v>7</v>
      </c>
      <c r="E106" s="22">
        <v>0.10970398028860605</v>
      </c>
      <c r="F106" s="22">
        <v>9.6141817506705987E-2</v>
      </c>
    </row>
    <row r="107" spans="1:6" x14ac:dyDescent="0.25">
      <c r="A107" s="119">
        <v>1.6636658107304848E-2</v>
      </c>
      <c r="B107" s="119">
        <v>0.47079679640375627</v>
      </c>
      <c r="D107" s="22">
        <v>8</v>
      </c>
      <c r="E107" s="22">
        <v>3.8381350000356924E-2</v>
      </c>
      <c r="F107" s="22">
        <v>4.9666799458589143E-2</v>
      </c>
    </row>
    <row r="108" spans="1:6" x14ac:dyDescent="0.25">
      <c r="A108" s="119">
        <v>-0.43255660014265085</v>
      </c>
      <c r="B108" s="119">
        <v>0.24803922964433212</v>
      </c>
      <c r="D108" s="22">
        <v>9</v>
      </c>
      <c r="E108" s="22">
        <v>-5.5494146391531017E-2</v>
      </c>
      <c r="F108" s="22">
        <v>0.31177861557904873</v>
      </c>
    </row>
    <row r="109" spans="1:6" x14ac:dyDescent="0.25">
      <c r="A109" s="119">
        <v>-3.7120866774834504E-2</v>
      </c>
      <c r="B109" s="119">
        <v>0.50669257286308189</v>
      </c>
      <c r="D109" s="22">
        <v>10</v>
      </c>
      <c r="E109" s="22">
        <v>-8.1380346221576111E-2</v>
      </c>
      <c r="F109" s="22">
        <v>-0.34666772951041191</v>
      </c>
    </row>
    <row r="110" spans="1:6" x14ac:dyDescent="0.25">
      <c r="A110" s="119">
        <v>0.36208888280609797</v>
      </c>
      <c r="B110" s="119">
        <v>-0.82664846582158025</v>
      </c>
      <c r="D110" s="22">
        <v>11</v>
      </c>
      <c r="E110" s="22">
        <v>0.19558036249991859</v>
      </c>
      <c r="F110" s="22">
        <v>-0.47916210754110145</v>
      </c>
    </row>
    <row r="111" spans="1:6" x14ac:dyDescent="0.25">
      <c r="A111" s="119">
        <v>2.6506738707217981E-2</v>
      </c>
      <c r="B111" s="119">
        <v>-0.43975925321642773</v>
      </c>
      <c r="D111" s="22">
        <v>12</v>
      </c>
      <c r="E111" s="22">
        <v>-8.5018556948074239E-2</v>
      </c>
      <c r="F111" s="22">
        <v>0.20481333039141639</v>
      </c>
    </row>
    <row r="112" spans="1:6" x14ac:dyDescent="0.25">
      <c r="A112" s="119">
        <v>-8.410031420325495E-2</v>
      </c>
      <c r="B112" s="119">
        <v>0.16985902986996895</v>
      </c>
      <c r="D112" s="22">
        <v>13</v>
      </c>
      <c r="E112" s="22">
        <v>-8.0846093548613843E-2</v>
      </c>
      <c r="F112" s="22">
        <v>-2.1434694560453507E-2</v>
      </c>
    </row>
    <row r="113" spans="1:6" x14ac:dyDescent="0.25">
      <c r="A113" s="119">
        <v>-6.8871300972430327E-2</v>
      </c>
      <c r="B113" s="119">
        <v>-0.22691627204981663</v>
      </c>
      <c r="D113" s="22">
        <v>14</v>
      </c>
      <c r="E113" s="22">
        <v>-9.4273614014640003E-2</v>
      </c>
      <c r="F113" s="22">
        <v>0.228705510542493</v>
      </c>
    </row>
    <row r="114" spans="1:6" x14ac:dyDescent="0.25">
      <c r="A114" s="119">
        <v>-0.28092792454865967</v>
      </c>
      <c r="B114" s="119">
        <v>1.6636658107304848E-2</v>
      </c>
      <c r="D114" s="22">
        <v>15</v>
      </c>
      <c r="E114" s="22">
        <v>-5.1144912615205651E-2</v>
      </c>
      <c r="F114" s="22">
        <v>0.17924406491374303</v>
      </c>
    </row>
    <row r="115" spans="1:6" x14ac:dyDescent="0.25">
      <c r="A115" s="119">
        <v>-0.39587534607590763</v>
      </c>
      <c r="B115" s="119">
        <v>-0.43255660014265085</v>
      </c>
      <c r="D115" s="22">
        <v>16</v>
      </c>
      <c r="E115" s="22">
        <v>-0.11274048859304417</v>
      </c>
      <c r="F115" s="22">
        <v>-4.6217030555290278E-2</v>
      </c>
    </row>
    <row r="116" spans="1:6" x14ac:dyDescent="0.25">
      <c r="A116" s="119">
        <v>0.15213234931964337</v>
      </c>
      <c r="B116" s="119">
        <v>-3.7120866774834504E-2</v>
      </c>
      <c r="D116" s="22">
        <v>17</v>
      </c>
      <c r="E116" s="22">
        <v>0.13781098170007552</v>
      </c>
      <c r="F116" s="22">
        <v>0.34294954534873945</v>
      </c>
    </row>
    <row r="117" spans="1:6" x14ac:dyDescent="0.25">
      <c r="A117" s="119">
        <v>0.17809140544092225</v>
      </c>
      <c r="B117" s="119">
        <v>0.36208888280609797</v>
      </c>
      <c r="D117" s="22">
        <v>18</v>
      </c>
      <c r="E117" s="22">
        <v>8.4918200505969321E-2</v>
      </c>
      <c r="F117" s="22">
        <v>0.38587859589778695</v>
      </c>
    </row>
    <row r="118" spans="1:6" x14ac:dyDescent="0.25">
      <c r="A118" s="119">
        <v>-0.20948965466892586</v>
      </c>
      <c r="B118" s="119">
        <v>2.6506738707217981E-2</v>
      </c>
      <c r="D118" s="22">
        <v>19</v>
      </c>
      <c r="E118" s="22">
        <v>-6.2768155401457845E-2</v>
      </c>
      <c r="F118" s="22">
        <v>0.31080738504578997</v>
      </c>
    </row>
    <row r="119" spans="1:6" x14ac:dyDescent="0.25">
      <c r="A119" s="119">
        <v>0.11018323170245667</v>
      </c>
      <c r="B119" s="119">
        <v>-8.410031420325495E-2</v>
      </c>
      <c r="D119" s="22">
        <v>20</v>
      </c>
      <c r="E119" s="22">
        <v>1.8539330083791411E-2</v>
      </c>
      <c r="F119" s="22">
        <v>0.48815324277929051</v>
      </c>
    </row>
    <row r="120" spans="1:6" x14ac:dyDescent="0.25">
      <c r="A120" s="119">
        <v>-0.65772758875080162</v>
      </c>
      <c r="B120" s="119">
        <v>-6.8871300972430327E-2</v>
      </c>
      <c r="D120" s="22">
        <v>21</v>
      </c>
      <c r="E120" s="22">
        <v>-6.8127176738250944E-2</v>
      </c>
      <c r="F120" s="22">
        <v>-0.75852128908332928</v>
      </c>
    </row>
    <row r="121" spans="1:6" x14ac:dyDescent="0.25">
      <c r="A121" s="119">
        <v>-0.24450487279343003</v>
      </c>
      <c r="B121" s="119">
        <v>-0.28092792454865967</v>
      </c>
      <c r="D121" s="22">
        <v>22</v>
      </c>
      <c r="E121" s="22">
        <v>-6.5808598746564279E-2</v>
      </c>
      <c r="F121" s="22">
        <v>-0.37395065446986342</v>
      </c>
    </row>
    <row r="122" spans="1:6" x14ac:dyDescent="0.25">
      <c r="A122" s="119">
        <v>-0.54063918426519619</v>
      </c>
      <c r="B122" s="119">
        <v>-0.39587534607590763</v>
      </c>
      <c r="D122" s="22">
        <v>23</v>
      </c>
      <c r="E122" s="22">
        <v>3.9290116231140843E-2</v>
      </c>
      <c r="F122" s="22">
        <v>0.13056891363882811</v>
      </c>
    </row>
    <row r="123" spans="1:6" x14ac:dyDescent="0.25">
      <c r="A123" s="119">
        <v>-0.49774468051459442</v>
      </c>
      <c r="B123" s="119">
        <v>0.15213234931964337</v>
      </c>
      <c r="D123" s="22">
        <v>24</v>
      </c>
      <c r="E123" s="22">
        <v>-0.19492685655157369</v>
      </c>
      <c r="F123" s="22">
        <v>-3.198941549824294E-2</v>
      </c>
    </row>
    <row r="124" spans="1:6" x14ac:dyDescent="0.25">
      <c r="A124" s="119">
        <v>-0.27228990284793886</v>
      </c>
      <c r="B124" s="119">
        <v>0.17809140544092225</v>
      </c>
      <c r="D124" s="22">
        <v>25</v>
      </c>
      <c r="E124" s="22">
        <v>-0.19127888250553776</v>
      </c>
      <c r="F124" s="22">
        <v>0.20791554061284262</v>
      </c>
    </row>
    <row r="125" spans="1:6" x14ac:dyDescent="0.25">
      <c r="A125" s="119">
        <v>-0.12591521899856128</v>
      </c>
      <c r="B125" s="119">
        <v>-0.20948965466892586</v>
      </c>
      <c r="D125" s="22">
        <v>26</v>
      </c>
      <c r="E125" s="22">
        <v>-0.10972169764732476</v>
      </c>
      <c r="F125" s="22">
        <v>-0.32283490249532609</v>
      </c>
    </row>
    <row r="126" spans="1:6" x14ac:dyDescent="0.25">
      <c r="A126" s="119">
        <v>0.21678240919687308</v>
      </c>
      <c r="B126" s="119">
        <v>0.11018323170245667</v>
      </c>
      <c r="D126" s="22">
        <v>27</v>
      </c>
      <c r="E126" s="22">
        <v>-0.2044212350590833</v>
      </c>
      <c r="F126" s="22">
        <v>0.1673003682842488</v>
      </c>
    </row>
    <row r="127" spans="1:6" x14ac:dyDescent="0.25">
      <c r="A127" s="119">
        <v>7.3055757383939435E-2</v>
      </c>
      <c r="B127" s="119">
        <v>-0.65772758875080162</v>
      </c>
      <c r="D127" s="22">
        <v>28</v>
      </c>
      <c r="E127" s="22">
        <v>0.28374867608242516</v>
      </c>
      <c r="F127" s="22">
        <v>7.8340206723672812E-2</v>
      </c>
    </row>
    <row r="128" spans="1:6" x14ac:dyDescent="0.25">
      <c r="A128" s="119">
        <v>0.22358497373320596</v>
      </c>
      <c r="B128" s="119">
        <v>-0.24450487279343003</v>
      </c>
      <c r="D128" s="22">
        <v>29</v>
      </c>
      <c r="E128" s="22">
        <v>0.14209874027501687</v>
      </c>
      <c r="F128" s="22">
        <v>-0.11559200156779889</v>
      </c>
    </row>
    <row r="129" spans="1:6" x14ac:dyDescent="0.25">
      <c r="A129" s="119">
        <v>0.75954036974082195</v>
      </c>
      <c r="B129" s="119">
        <v>-0.54063918426519619</v>
      </c>
      <c r="D129" s="22">
        <v>30</v>
      </c>
      <c r="E129" s="22">
        <v>-8.1097947181707833E-2</v>
      </c>
      <c r="F129" s="22">
        <v>-3.0023670215471171E-3</v>
      </c>
    </row>
    <row r="130" spans="1:6" x14ac:dyDescent="0.25">
      <c r="A130" s="119">
        <v>0.33162730785041705</v>
      </c>
      <c r="B130" s="119">
        <v>-0.49774468051459442</v>
      </c>
      <c r="D130" s="22">
        <v>31</v>
      </c>
      <c r="E130" s="22">
        <v>6.4171536214982158E-2</v>
      </c>
      <c r="F130" s="22">
        <v>-0.1330428371874125</v>
      </c>
    </row>
    <row r="131" spans="1:6" x14ac:dyDescent="0.25">
      <c r="A131" s="119">
        <v>0.59657713468654261</v>
      </c>
      <c r="B131" s="119">
        <v>-0.27228990284793886</v>
      </c>
      <c r="D131" s="22">
        <v>32</v>
      </c>
      <c r="E131" s="22">
        <v>-2.4999357670010582E-2</v>
      </c>
      <c r="F131" s="22">
        <v>-0.25592856687864907</v>
      </c>
    </row>
    <row r="132" spans="1:6" x14ac:dyDescent="0.25">
      <c r="A132" s="119">
        <v>2.3895306640868696E-3</v>
      </c>
      <c r="B132" s="119">
        <v>-0.12591521899856128</v>
      </c>
      <c r="D132" s="22">
        <v>33</v>
      </c>
      <c r="E132" s="22">
        <v>0.13946166663144446</v>
      </c>
      <c r="F132" s="22">
        <v>-0.53533701270735212</v>
      </c>
    </row>
    <row r="133" spans="1:6" x14ac:dyDescent="0.25">
      <c r="A133" s="119">
        <v>-0.28225062240597687</v>
      </c>
      <c r="B133" s="119">
        <v>0.21678240919687308</v>
      </c>
      <c r="D133" s="22">
        <v>34</v>
      </c>
      <c r="E133" s="22">
        <v>-5.3173668038253904E-3</v>
      </c>
      <c r="F133" s="22">
        <v>0.15744971612346875</v>
      </c>
    </row>
    <row r="134" spans="1:6" x14ac:dyDescent="0.25">
      <c r="A134" s="119">
        <v>0.74851213649445836</v>
      </c>
      <c r="B134" s="119">
        <v>7.3055757383939435E-2</v>
      </c>
      <c r="D134" s="22">
        <v>35</v>
      </c>
      <c r="E134" s="22">
        <v>-0.15147816312342152</v>
      </c>
      <c r="F134" s="22">
        <v>0.32956956856434377</v>
      </c>
    </row>
    <row r="135" spans="1:6" x14ac:dyDescent="0.25">
      <c r="B135" s="5">
        <v>0.22358497373320596</v>
      </c>
      <c r="D135" s="22">
        <v>36</v>
      </c>
      <c r="E135" s="22">
        <v>-2.8613044063532482E-2</v>
      </c>
      <c r="F135" s="22">
        <v>-0.18087661060539337</v>
      </c>
    </row>
    <row r="136" spans="1:6" x14ac:dyDescent="0.25">
      <c r="B136" s="5">
        <v>0.75954036974082195</v>
      </c>
      <c r="D136" s="22">
        <v>37</v>
      </c>
      <c r="E136" s="22">
        <v>1.1882998302489397E-2</v>
      </c>
      <c r="F136" s="22">
        <v>9.8300233399967268E-2</v>
      </c>
    </row>
    <row r="137" spans="1:6" x14ac:dyDescent="0.25">
      <c r="B137" s="5">
        <v>0.33162730785041705</v>
      </c>
      <c r="D137" s="22">
        <v>38</v>
      </c>
      <c r="E137" s="22">
        <v>6.3072709979443585E-3</v>
      </c>
      <c r="F137" s="22">
        <v>-0.66403485974874599</v>
      </c>
    </row>
    <row r="138" spans="1:6" x14ac:dyDescent="0.25">
      <c r="B138" s="5">
        <v>0.59657713468654261</v>
      </c>
      <c r="D138" s="22">
        <v>39</v>
      </c>
      <c r="E138" s="22">
        <v>8.3946569635521801E-2</v>
      </c>
      <c r="F138" s="22">
        <v>-0.32845144242895186</v>
      </c>
    </row>
    <row r="139" spans="1:6" x14ac:dyDescent="0.25">
      <c r="B139" s="5">
        <v>2.3895306640868696E-3</v>
      </c>
      <c r="D139" s="22">
        <v>40</v>
      </c>
      <c r="E139" s="22">
        <v>0.12603173083948382</v>
      </c>
      <c r="F139" s="22">
        <v>-0.66667091510468002</v>
      </c>
    </row>
    <row r="140" spans="1:6" x14ac:dyDescent="0.25">
      <c r="B140" s="5">
        <v>-0.28225062240597687</v>
      </c>
      <c r="D140" s="22">
        <v>41</v>
      </c>
      <c r="E140" s="22">
        <v>-7.4607760636768716E-2</v>
      </c>
      <c r="F140" s="22">
        <v>-0.4231369198778257</v>
      </c>
    </row>
    <row r="141" spans="1:6" x14ac:dyDescent="0.25">
      <c r="B141" s="5">
        <v>0.74851213649445836</v>
      </c>
      <c r="D141" s="22">
        <v>42</v>
      </c>
      <c r="E141" s="22">
        <v>-8.4112028301509212E-2</v>
      </c>
      <c r="F141" s="22">
        <v>-0.18817787454642965</v>
      </c>
    </row>
    <row r="142" spans="1:6" x14ac:dyDescent="0.25">
      <c r="D142" s="22">
        <v>43</v>
      </c>
      <c r="E142" s="22">
        <v>5.7791210393226308E-2</v>
      </c>
      <c r="F142" s="22">
        <v>-0.18370642939178761</v>
      </c>
    </row>
    <row r="143" spans="1:6" x14ac:dyDescent="0.25">
      <c r="D143" s="22">
        <v>44</v>
      </c>
      <c r="E143" s="22">
        <v>-5.9249126629786895E-2</v>
      </c>
      <c r="F143" s="22">
        <v>0.27603153582665996</v>
      </c>
    </row>
    <row r="144" spans="1:6" x14ac:dyDescent="0.25">
      <c r="D144" s="22">
        <v>45</v>
      </c>
      <c r="E144" s="22">
        <v>0.22190246633031527</v>
      </c>
      <c r="F144" s="22">
        <v>-0.14884670894637583</v>
      </c>
    </row>
    <row r="145" spans="4:6" x14ac:dyDescent="0.25">
      <c r="D145" s="22">
        <v>46</v>
      </c>
      <c r="E145" s="22">
        <v>7.0611168246846656E-2</v>
      </c>
      <c r="F145" s="22">
        <v>0.1529738054863593</v>
      </c>
    </row>
    <row r="146" spans="4:6" x14ac:dyDescent="0.25">
      <c r="D146" s="22">
        <v>47</v>
      </c>
      <c r="E146" s="22">
        <v>0.17903343706093475</v>
      </c>
      <c r="F146" s="22">
        <v>0.58050693267988718</v>
      </c>
    </row>
    <row r="147" spans="4:6" x14ac:dyDescent="0.25">
      <c r="D147" s="22">
        <v>48</v>
      </c>
      <c r="E147" s="22">
        <v>0.16332867325568395</v>
      </c>
      <c r="F147" s="22">
        <v>0.1682986345947331</v>
      </c>
    </row>
    <row r="148" spans="4:6" x14ac:dyDescent="0.25">
      <c r="D148" s="22">
        <v>49</v>
      </c>
      <c r="E148" s="22">
        <v>8.0783971197661383E-2</v>
      </c>
      <c r="F148" s="22">
        <v>0.51579316348888127</v>
      </c>
    </row>
    <row r="149" spans="4:6" x14ac:dyDescent="0.25">
      <c r="D149" s="22">
        <v>50</v>
      </c>
      <c r="E149" s="22">
        <v>2.7192493597445959E-2</v>
      </c>
      <c r="F149" s="22">
        <v>-2.4802962933359089E-2</v>
      </c>
    </row>
    <row r="150" spans="4:6" x14ac:dyDescent="0.25">
      <c r="D150" s="22">
        <v>51</v>
      </c>
      <c r="E150" s="22">
        <v>-9.8277784336552612E-2</v>
      </c>
      <c r="F150" s="22">
        <v>-0.18397283806942427</v>
      </c>
    </row>
    <row r="151" spans="4:6" ht="15.75" thickBot="1" x14ac:dyDescent="0.3">
      <c r="D151" s="23">
        <v>52</v>
      </c>
      <c r="E151" s="23">
        <v>-4.5655818306464764E-2</v>
      </c>
      <c r="F151" s="23">
        <v>0.79416795480092317</v>
      </c>
    </row>
  </sheetData>
  <mergeCells count="1">
    <mergeCell ref="E94:F9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6"/>
  <sheetViews>
    <sheetView topLeftCell="A40" workbookViewId="0">
      <selection activeCell="F58" sqref="F58"/>
    </sheetView>
  </sheetViews>
  <sheetFormatPr defaultRowHeight="15" x14ac:dyDescent="0.25"/>
  <cols>
    <col min="1" max="1" width="9.42578125" customWidth="1"/>
    <col min="2" max="2" width="17.42578125" customWidth="1"/>
    <col min="4" max="4" width="10.28515625" bestFit="1" customWidth="1"/>
  </cols>
  <sheetData>
    <row r="1" spans="1:13" x14ac:dyDescent="0.25">
      <c r="A1" s="104" t="s">
        <v>0</v>
      </c>
      <c r="B1" s="104" t="s">
        <v>2</v>
      </c>
      <c r="M1" s="24" t="s">
        <v>49</v>
      </c>
    </row>
    <row r="2" spans="1:13" x14ac:dyDescent="0.25">
      <c r="A2" s="4">
        <v>1</v>
      </c>
      <c r="B2" s="2">
        <v>58.539700000000003</v>
      </c>
      <c r="L2" s="22"/>
      <c r="M2" s="22">
        <v>-0.69963780539398357</v>
      </c>
    </row>
    <row r="3" spans="1:13" x14ac:dyDescent="0.25">
      <c r="A3" s="4">
        <v>2</v>
      </c>
      <c r="B3" s="2">
        <v>58.948500000000003</v>
      </c>
      <c r="L3" s="22"/>
      <c r="M3" s="22">
        <v>-0.1898186954261547</v>
      </c>
    </row>
    <row r="4" spans="1:13" x14ac:dyDescent="0.25">
      <c r="A4" s="4">
        <v>3</v>
      </c>
      <c r="B4" s="2">
        <v>58.678199999999997</v>
      </c>
      <c r="L4" s="22"/>
      <c r="M4" s="22">
        <v>-0.36392186939520599</v>
      </c>
    </row>
    <row r="5" spans="1:13" x14ac:dyDescent="0.25">
      <c r="A5" s="4">
        <v>4</v>
      </c>
      <c r="B5" s="2">
        <v>58.494100000000003</v>
      </c>
      <c r="L5" s="22"/>
      <c r="M5" s="22">
        <v>-0.45664732730109847</v>
      </c>
    </row>
    <row r="6" spans="1:13" x14ac:dyDescent="0.25">
      <c r="A6" s="4">
        <v>5</v>
      </c>
      <c r="B6" s="2">
        <v>59.435400000000001</v>
      </c>
      <c r="L6" s="22"/>
      <c r="M6" s="22">
        <v>0.57120493085613333</v>
      </c>
    </row>
    <row r="7" spans="1:13" x14ac:dyDescent="0.25">
      <c r="A7" s="4">
        <v>6</v>
      </c>
      <c r="B7" s="2">
        <v>58.735900000000001</v>
      </c>
      <c r="L7" s="22"/>
      <c r="M7" s="22">
        <v>-4.6565094923487038E-2</v>
      </c>
    </row>
    <row r="8" spans="1:13" x14ac:dyDescent="0.25">
      <c r="A8" s="4">
        <v>7</v>
      </c>
      <c r="B8" s="2">
        <v>58.84</v>
      </c>
      <c r="L8" s="22"/>
      <c r="M8" s="22">
        <v>0.13444259536002789</v>
      </c>
    </row>
    <row r="9" spans="1:13" x14ac:dyDescent="0.25">
      <c r="A9" s="4">
        <v>8</v>
      </c>
      <c r="B9" s="2">
        <v>58.4285</v>
      </c>
      <c r="L9" s="22"/>
      <c r="M9" s="22">
        <v>-0.20497199829332402</v>
      </c>
    </row>
    <row r="10" spans="1:13" x14ac:dyDescent="0.25">
      <c r="A10" s="4">
        <v>9</v>
      </c>
      <c r="B10" s="2">
        <v>58.267699999999998</v>
      </c>
      <c r="L10" s="22"/>
      <c r="M10" s="22">
        <v>-0.29850887588353459</v>
      </c>
    </row>
    <row r="11" spans="1:13" x14ac:dyDescent="0.25">
      <c r="A11" s="4">
        <v>10</v>
      </c>
      <c r="B11" s="2">
        <v>58.382199999999997</v>
      </c>
      <c r="L11" s="22"/>
      <c r="M11" s="22">
        <v>-0.12156803741060429</v>
      </c>
    </row>
    <row r="12" spans="1:13" x14ac:dyDescent="0.25">
      <c r="A12" s="4">
        <v>11</v>
      </c>
      <c r="B12" s="2">
        <v>58.5456</v>
      </c>
      <c r="L12" s="22"/>
      <c r="M12" s="22">
        <v>9.9450517125461602E-2</v>
      </c>
    </row>
    <row r="13" spans="1:13" x14ac:dyDescent="0.25">
      <c r="A13" s="4">
        <v>12</v>
      </c>
      <c r="B13" s="2">
        <v>57.924100000000003</v>
      </c>
      <c r="L13" s="22"/>
      <c r="M13" s="22">
        <v>-0.46925321227533345</v>
      </c>
    </row>
    <row r="14" spans="1:13" x14ac:dyDescent="0.25">
      <c r="A14" s="4">
        <v>13</v>
      </c>
      <c r="B14" s="2">
        <v>58.159399999999998</v>
      </c>
      <c r="L14" s="22"/>
      <c r="M14" s="22">
        <v>-0.1859792256129893</v>
      </c>
    </row>
    <row r="15" spans="1:13" x14ac:dyDescent="0.25">
      <c r="A15" s="4">
        <v>14</v>
      </c>
      <c r="B15" s="2">
        <v>58.345500000000001</v>
      </c>
      <c r="L15" s="22"/>
      <c r="M15" s="22">
        <v>4.3272477112495267E-2</v>
      </c>
    </row>
    <row r="16" spans="1:13" x14ac:dyDescent="0.25">
      <c r="A16" s="4">
        <v>15</v>
      </c>
      <c r="B16" s="2">
        <v>58.538600000000002</v>
      </c>
      <c r="L16" s="22"/>
      <c r="M16" s="22">
        <v>0.27470189590111715</v>
      </c>
    </row>
    <row r="17" spans="1:13" x14ac:dyDescent="0.25">
      <c r="A17" s="4">
        <v>16</v>
      </c>
      <c r="B17" s="2">
        <v>58.5839</v>
      </c>
      <c r="L17" s="22"/>
      <c r="M17" s="22">
        <v>0.35350903075286766</v>
      </c>
    </row>
    <row r="18" spans="1:13" x14ac:dyDescent="0.25">
      <c r="A18" s="4">
        <v>17</v>
      </c>
      <c r="B18" s="2">
        <v>58.790399999999998</v>
      </c>
      <c r="L18" s="22"/>
      <c r="M18" s="22">
        <v>0.5886938816677727</v>
      </c>
    </row>
    <row r="19" spans="1:13" x14ac:dyDescent="0.25">
      <c r="A19" s="4">
        <v>18</v>
      </c>
      <c r="B19" s="2">
        <v>58.281999999999996</v>
      </c>
      <c r="L19" s="22"/>
      <c r="M19" s="22">
        <v>0.10415644864580287</v>
      </c>
    </row>
    <row r="20" spans="1:13" x14ac:dyDescent="0.25">
      <c r="A20" s="4">
        <v>19</v>
      </c>
      <c r="B20" s="2">
        <v>57.995800000000003</v>
      </c>
      <c r="L20" s="22"/>
      <c r="M20" s="22">
        <v>-0.16300326831301959</v>
      </c>
    </row>
    <row r="21" spans="1:13" x14ac:dyDescent="0.25">
      <c r="A21" s="4">
        <v>20</v>
      </c>
      <c r="B21" s="2">
        <v>58.158000000000001</v>
      </c>
      <c r="L21" s="22"/>
      <c r="M21" s="22">
        <v>1.3414730791296847E-2</v>
      </c>
    </row>
    <row r="22" spans="1:13" x14ac:dyDescent="0.25">
      <c r="A22" s="4">
        <v>21</v>
      </c>
      <c r="B22" s="2">
        <v>58.0764</v>
      </c>
      <c r="L22" s="22"/>
      <c r="M22" s="22">
        <v>-5.8789554041254632E-2</v>
      </c>
    </row>
    <row r="23" spans="1:13" x14ac:dyDescent="0.25">
      <c r="A23" s="4">
        <v>22</v>
      </c>
      <c r="B23" s="2">
        <v>58.247199999999999</v>
      </c>
      <c r="L23" s="22"/>
      <c r="M23" s="22">
        <v>0.11658387718932772</v>
      </c>
    </row>
    <row r="24" spans="1:13" x14ac:dyDescent="0.25">
      <c r="A24" s="4">
        <v>23</v>
      </c>
      <c r="B24" s="2">
        <v>58.390099999999997</v>
      </c>
      <c r="L24" s="22"/>
      <c r="M24" s="22">
        <v>0.25923502448305413</v>
      </c>
    </row>
    <row r="25" spans="1:13" x14ac:dyDescent="0.25">
      <c r="A25" s="4">
        <v>24</v>
      </c>
      <c r="B25" s="2">
        <v>58.229300000000002</v>
      </c>
      <c r="L25" s="22"/>
      <c r="M25" s="22">
        <v>9.3363887839927884E-2</v>
      </c>
    </row>
    <row r="26" spans="1:13" x14ac:dyDescent="0.25">
      <c r="A26" s="4">
        <v>25</v>
      </c>
      <c r="B26" s="2">
        <v>58.738</v>
      </c>
      <c r="L26" s="22"/>
      <c r="M26" s="22">
        <v>0.59217046725992617</v>
      </c>
    </row>
    <row r="27" spans="1:13" x14ac:dyDescent="0.25">
      <c r="A27" s="4">
        <v>26</v>
      </c>
      <c r="B27" s="2">
        <v>59.166499999999999</v>
      </c>
      <c r="L27" s="22"/>
      <c r="M27" s="22">
        <v>1.0059547627430661</v>
      </c>
    </row>
    <row r="28" spans="1:13" x14ac:dyDescent="0.25">
      <c r="A28" s="4">
        <v>27</v>
      </c>
      <c r="B28" s="2">
        <v>59.314799999999998</v>
      </c>
      <c r="L28" s="22"/>
      <c r="M28" s="22">
        <v>1.1347167742893447</v>
      </c>
    </row>
    <row r="29" spans="1:13" x14ac:dyDescent="0.25">
      <c r="A29" s="4">
        <v>28</v>
      </c>
      <c r="B29" s="2">
        <v>59.7072</v>
      </c>
      <c r="L29" s="22"/>
      <c r="M29" s="22">
        <v>1.5027565018987659</v>
      </c>
    </row>
    <row r="30" spans="1:13" x14ac:dyDescent="0.25">
      <c r="A30" s="4">
        <v>29</v>
      </c>
      <c r="B30" s="2">
        <v>58.715699999999998</v>
      </c>
      <c r="L30" s="22"/>
      <c r="M30" s="22">
        <v>0.48207394557132233</v>
      </c>
    </row>
    <row r="31" spans="1:13" x14ac:dyDescent="0.25">
      <c r="A31" s="4">
        <v>30</v>
      </c>
      <c r="B31" s="2">
        <v>58.269500000000001</v>
      </c>
      <c r="L31" s="22"/>
      <c r="M31" s="22">
        <v>1.8691053070156727E-3</v>
      </c>
    </row>
    <row r="32" spans="1:13" x14ac:dyDescent="0.25">
      <c r="A32" s="4">
        <v>31</v>
      </c>
      <c r="B32" s="2">
        <v>58.51</v>
      </c>
      <c r="L32" s="22"/>
      <c r="M32" s="22">
        <v>0.20354198110585031</v>
      </c>
    </row>
    <row r="33" spans="1:13" x14ac:dyDescent="0.25">
      <c r="A33" s="4">
        <v>32</v>
      </c>
      <c r="B33" s="2">
        <v>58.328200000000002</v>
      </c>
      <c r="L33" s="22"/>
      <c r="M33" s="22">
        <v>-2.1907427032175519E-2</v>
      </c>
    </row>
    <row r="34" spans="1:13" x14ac:dyDescent="0.25">
      <c r="A34" s="4">
        <v>33</v>
      </c>
      <c r="B34" s="2">
        <v>58.428699999999999</v>
      </c>
      <c r="L34" s="22"/>
      <c r="M34" s="22">
        <v>3.0120880892930302E-2</v>
      </c>
    </row>
    <row r="35" spans="1:13" x14ac:dyDescent="0.25">
      <c r="A35" s="4">
        <v>34</v>
      </c>
      <c r="B35" s="2">
        <v>58.076999999999998</v>
      </c>
      <c r="L35" s="22"/>
      <c r="M35" s="22">
        <v>-0.37487309511882927</v>
      </c>
    </row>
    <row r="36" spans="1:13" x14ac:dyDescent="0.25">
      <c r="A36" s="4">
        <v>35</v>
      </c>
      <c r="B36" s="2">
        <v>58.186500000000002</v>
      </c>
      <c r="L36" s="22"/>
      <c r="M36" s="22">
        <v>-0.32348935506743004</v>
      </c>
    </row>
    <row r="37" spans="1:13" x14ac:dyDescent="0.25">
      <c r="A37" s="4">
        <v>36</v>
      </c>
      <c r="B37" s="2">
        <v>58.692300000000003</v>
      </c>
      <c r="L37" s="22"/>
      <c r="M37" s="22">
        <v>0.11937210104709095</v>
      </c>
    </row>
    <row r="38" spans="1:13" x14ac:dyDescent="0.25">
      <c r="A38" s="4">
        <v>37</v>
      </c>
      <c r="B38" s="2">
        <v>58.800699999999999</v>
      </c>
      <c r="L38" s="22"/>
      <c r="M38" s="22">
        <v>0.16001127322474673</v>
      </c>
    </row>
    <row r="39" spans="1:13" x14ac:dyDescent="0.25">
      <c r="A39" s="4">
        <v>38</v>
      </c>
      <c r="B39" s="2">
        <v>58.797199999999997</v>
      </c>
      <c r="L39" s="22"/>
      <c r="M39" s="22">
        <v>8.3928161465550488E-2</v>
      </c>
    </row>
    <row r="40" spans="1:13" x14ac:dyDescent="0.25">
      <c r="A40" s="4">
        <v>39</v>
      </c>
      <c r="B40" s="2">
        <v>58.825200000000002</v>
      </c>
      <c r="L40" s="22"/>
      <c r="M40" s="22">
        <v>3.4522765769494868E-2</v>
      </c>
    </row>
    <row r="41" spans="1:13" x14ac:dyDescent="0.25">
      <c r="A41" s="4">
        <v>40</v>
      </c>
      <c r="B41" s="2">
        <v>58.653399999999998</v>
      </c>
      <c r="L41" s="22"/>
      <c r="M41" s="22">
        <v>-0.21950491386343174</v>
      </c>
    </row>
    <row r="42" spans="1:13" x14ac:dyDescent="0.25">
      <c r="A42" s="4">
        <v>41</v>
      </c>
      <c r="B42" s="2">
        <v>58.409700000000001</v>
      </c>
      <c r="L42" s="22"/>
      <c r="M42" s="22">
        <v>-0.55025487743321833</v>
      </c>
    </row>
    <row r="43" spans="1:13" x14ac:dyDescent="0.25">
      <c r="A43" s="4">
        <v>42</v>
      </c>
      <c r="B43" s="2">
        <v>58.768599999999999</v>
      </c>
      <c r="L43" s="22"/>
      <c r="M43" s="22">
        <v>-0.28322712493986302</v>
      </c>
    </row>
    <row r="44" spans="1:13" x14ac:dyDescent="0.25">
      <c r="A44" s="4">
        <v>43</v>
      </c>
      <c r="B44" s="2">
        <v>59.118099999999998</v>
      </c>
      <c r="L44" s="22"/>
      <c r="M44" s="22">
        <v>-3.042165638336769E-2</v>
      </c>
    </row>
    <row r="45" spans="1:13" x14ac:dyDescent="0.25">
      <c r="A45" s="4">
        <v>44</v>
      </c>
      <c r="B45" s="2">
        <v>59.046799999999998</v>
      </c>
      <c r="L45" s="22"/>
      <c r="M45" s="22">
        <v>-0.20323847176373988</v>
      </c>
    </row>
    <row r="46" spans="1:13" x14ac:dyDescent="0.25">
      <c r="A46" s="4">
        <v>45</v>
      </c>
      <c r="B46" s="2">
        <v>59.326000000000001</v>
      </c>
      <c r="L46" s="22"/>
      <c r="M46" s="22">
        <v>-3.0377571080968835E-2</v>
      </c>
    </row>
    <row r="47" spans="1:13" x14ac:dyDescent="0.25">
      <c r="A47" s="4">
        <v>46</v>
      </c>
      <c r="B47" s="2">
        <v>58.816099999999999</v>
      </c>
      <c r="L47" s="22"/>
      <c r="M47" s="22">
        <v>-0.65143895433506316</v>
      </c>
    </row>
    <row r="48" spans="1:13" x14ac:dyDescent="0.25">
      <c r="A48" s="4">
        <v>47</v>
      </c>
      <c r="B48" s="2">
        <v>58.817700000000002</v>
      </c>
      <c r="L48" s="22"/>
      <c r="M48" s="22">
        <v>-0.76582262152601288</v>
      </c>
    </row>
    <row r="49" spans="1:13" x14ac:dyDescent="0.25">
      <c r="A49" s="4">
        <v>48</v>
      </c>
      <c r="B49" s="2">
        <v>58.545200000000001</v>
      </c>
      <c r="L49" s="22"/>
      <c r="M49" s="22">
        <v>-1.1591285726538345</v>
      </c>
    </row>
    <row r="50" spans="1:13" x14ac:dyDescent="0.25">
      <c r="A50" s="4">
        <v>49</v>
      </c>
      <c r="B50" s="2">
        <v>58.379600000000003</v>
      </c>
      <c r="L50" s="22"/>
      <c r="M50" s="22">
        <v>-1.4503568077185065</v>
      </c>
    </row>
    <row r="51" spans="1:13" x14ac:dyDescent="0.25">
      <c r="A51" s="4">
        <v>50</v>
      </c>
      <c r="B51" s="2">
        <v>58.488100000000003</v>
      </c>
      <c r="L51" s="22"/>
      <c r="M51" s="22">
        <v>-1.472307326720049</v>
      </c>
    </row>
    <row r="52" spans="1:13" x14ac:dyDescent="0.25">
      <c r="A52" s="4">
        <v>51</v>
      </c>
      <c r="B52" s="2">
        <v>58.751100000000001</v>
      </c>
      <c r="L52" s="22"/>
      <c r="M52" s="22">
        <v>-1.3445801296584534</v>
      </c>
    </row>
    <row r="53" spans="1:13" x14ac:dyDescent="0.25">
      <c r="A53" s="4">
        <v>52</v>
      </c>
      <c r="B53" s="2">
        <v>59.342399999999998</v>
      </c>
      <c r="L53" s="22"/>
      <c r="M53" s="22">
        <v>-0.89337521653371255</v>
      </c>
    </row>
    <row r="54" spans="1:13" x14ac:dyDescent="0.25">
      <c r="A54" s="4">
        <v>53</v>
      </c>
      <c r="B54" s="2">
        <v>59.726900000000001</v>
      </c>
      <c r="L54" s="22"/>
      <c r="M54" s="22">
        <v>-0.65379258734583345</v>
      </c>
    </row>
    <row r="55" spans="1:13" ht="15.75" thickBot="1" x14ac:dyDescent="0.3">
      <c r="A55" s="4">
        <v>54</v>
      </c>
      <c r="B55" s="2">
        <v>60.230699999999999</v>
      </c>
      <c r="L55" s="22"/>
      <c r="M55" s="22">
        <v>-0.29973224209482652</v>
      </c>
    </row>
    <row r="56" spans="1:13" x14ac:dyDescent="0.25">
      <c r="A56" s="4">
        <v>55</v>
      </c>
      <c r="B56" s="2">
        <v>61.222000000000001</v>
      </c>
      <c r="E56" s="35" t="s">
        <v>57</v>
      </c>
      <c r="F56" s="36">
        <v>59.345181972074698</v>
      </c>
      <c r="L56" s="22"/>
      <c r="M56" s="22">
        <v>0.53700581921932411</v>
      </c>
    </row>
    <row r="57" spans="1:13" x14ac:dyDescent="0.25">
      <c r="A57" s="4">
        <v>56</v>
      </c>
      <c r="B57" s="2">
        <v>61.664299999999997</v>
      </c>
      <c r="E57" s="37" t="s">
        <v>58</v>
      </c>
      <c r="F57" s="38">
        <v>-0.108220574344797</v>
      </c>
      <c r="L57" s="22"/>
      <c r="M57" s="22">
        <v>0.81992159659661468</v>
      </c>
    </row>
    <row r="58" spans="1:13" ht="15.75" thickBot="1" x14ac:dyDescent="0.3">
      <c r="A58" s="4">
        <v>57</v>
      </c>
      <c r="B58" s="2">
        <v>62.333799999999997</v>
      </c>
      <c r="E58" s="39" t="s">
        <v>59</v>
      </c>
      <c r="F58" s="40">
        <v>2.4104794949836501E-3</v>
      </c>
      <c r="L58" s="22"/>
      <c r="M58" s="22">
        <v>1.325215090037041</v>
      </c>
    </row>
    <row r="59" spans="1:13" x14ac:dyDescent="0.25">
      <c r="A59" s="4">
        <v>58</v>
      </c>
      <c r="B59" s="2">
        <v>62.337899999999998</v>
      </c>
      <c r="L59" s="22"/>
      <c r="M59" s="22">
        <v>1.1602862995406085</v>
      </c>
    </row>
    <row r="60" spans="1:13" x14ac:dyDescent="0.25">
      <c r="A60" s="4">
        <v>59</v>
      </c>
      <c r="B60" s="2">
        <v>62.087000000000003</v>
      </c>
      <c r="E60" t="s">
        <v>136</v>
      </c>
      <c r="M60" s="22">
        <v>0.73553522510731995</v>
      </c>
    </row>
    <row r="61" spans="1:13" ht="15.75" thickBot="1" x14ac:dyDescent="0.3">
      <c r="A61" s="4">
        <v>60</v>
      </c>
      <c r="B61" s="125">
        <v>62.935600000000001</v>
      </c>
      <c r="D61" t="s">
        <v>132</v>
      </c>
      <c r="M61" s="23">
        <v>1.4054618667371628</v>
      </c>
    </row>
    <row r="62" spans="1:13" x14ac:dyDescent="0.25">
      <c r="A62" s="103">
        <v>61</v>
      </c>
      <c r="B62" s="103">
        <v>62.997599999999998</v>
      </c>
      <c r="C62">
        <f>$F$56+$F$57*A62+$F$58*A62^2+(-0.366)*M54+0.849*M61</f>
        <v>63.14564634970467</v>
      </c>
      <c r="D62">
        <f>((B62-C62)/B62)*100</f>
        <v>-0.23500315838170241</v>
      </c>
      <c r="F62" s="49" t="b">
        <f>ABS(D62)&lt;5</f>
        <v>1</v>
      </c>
      <c r="M62" s="22"/>
    </row>
    <row r="63" spans="1:13" x14ac:dyDescent="0.25">
      <c r="A63" s="103">
        <v>72</v>
      </c>
      <c r="B63" s="103">
        <v>62.997599999999998</v>
      </c>
      <c r="C63">
        <f t="shared" ref="C63:C72" si="0">$F$56+$F$57*A63+$F$58*A63^2+(-0.366)*M55+0.849*M62</f>
        <v>64.158928321851263</v>
      </c>
      <c r="D63">
        <f t="shared" ref="D63:D72" si="1">((B63-C63)/B63)*100</f>
        <v>-1.8434485152629065</v>
      </c>
      <c r="F63" s="49" t="b">
        <f t="shared" ref="F63:F72" si="2">ABS(D63)&lt;5</f>
        <v>1</v>
      </c>
      <c r="M63" s="22"/>
    </row>
    <row r="64" spans="1:13" x14ac:dyDescent="0.25">
      <c r="A64" s="103">
        <v>73</v>
      </c>
      <c r="B64" s="103">
        <v>62.997599999999998</v>
      </c>
      <c r="C64">
        <f t="shared" si="0"/>
        <v>64.093981143838107</v>
      </c>
      <c r="D64">
        <f t="shared" si="1"/>
        <v>-1.7403538290952492</v>
      </c>
      <c r="F64" s="49" t="b">
        <f t="shared" si="2"/>
        <v>1</v>
      </c>
      <c r="M64" s="22"/>
    </row>
    <row r="65" spans="1:14" x14ac:dyDescent="0.25">
      <c r="A65" s="103">
        <v>74</v>
      </c>
      <c r="B65" s="103">
        <v>62.997599999999998</v>
      </c>
      <c r="C65">
        <f t="shared" si="0"/>
        <v>64.236553880735812</v>
      </c>
      <c r="D65">
        <f t="shared" si="1"/>
        <v>-1.9666683821856921</v>
      </c>
      <c r="F65" s="49" t="b">
        <f t="shared" si="2"/>
        <v>1</v>
      </c>
      <c r="H65" s="164" t="s">
        <v>137</v>
      </c>
      <c r="I65" s="164"/>
      <c r="J65" s="164"/>
      <c r="K65" s="164"/>
      <c r="L65" s="164"/>
      <c r="M65" s="164"/>
      <c r="N65" s="164"/>
    </row>
    <row r="66" spans="1:14" x14ac:dyDescent="0.25">
      <c r="A66" s="103">
        <v>77</v>
      </c>
      <c r="B66" s="103">
        <v>62.997599999999998</v>
      </c>
      <c r="C66">
        <f t="shared" si="0"/>
        <v>64.818901950329831</v>
      </c>
      <c r="D66">
        <f t="shared" si="1"/>
        <v>-2.8910656125468792</v>
      </c>
      <c r="F66" s="49" t="b">
        <f t="shared" si="2"/>
        <v>1</v>
      </c>
      <c r="M66" s="22"/>
    </row>
    <row r="67" spans="1:14" x14ac:dyDescent="0.25">
      <c r="A67" s="103">
        <v>78</v>
      </c>
      <c r="B67" s="103">
        <v>62.997599999999998</v>
      </c>
      <c r="C67">
        <f t="shared" si="0"/>
        <v>65.144669635029203</v>
      </c>
      <c r="D67">
        <f t="shared" si="1"/>
        <v>-3.4081768750384214</v>
      </c>
      <c r="F67" s="49" t="b">
        <f t="shared" si="2"/>
        <v>1</v>
      </c>
      <c r="M67" s="22"/>
    </row>
    <row r="68" spans="1:14" x14ac:dyDescent="0.25">
      <c r="A68" s="103">
        <v>79</v>
      </c>
      <c r="B68" s="103">
        <v>62.997599999999998</v>
      </c>
      <c r="C68">
        <f t="shared" si="0"/>
        <v>65.570353234639413</v>
      </c>
      <c r="D68">
        <f t="shared" si="1"/>
        <v>-4.0838908698734775</v>
      </c>
      <c r="F68" s="49" t="b">
        <f t="shared" si="2"/>
        <v>1</v>
      </c>
      <c r="M68" s="22"/>
    </row>
    <row r="69" spans="1:14" x14ac:dyDescent="0.25">
      <c r="A69" s="103">
        <v>80</v>
      </c>
      <c r="B69" s="103">
        <v>62.997599999999998</v>
      </c>
      <c r="C69">
        <f t="shared" si="0"/>
        <v>65.600205749160494</v>
      </c>
      <c r="D69">
        <f t="shared" si="1"/>
        <v>-4.1312776187672169</v>
      </c>
      <c r="F69" s="49" t="b">
        <f t="shared" si="2"/>
        <v>1</v>
      </c>
      <c r="M69" s="22"/>
    </row>
    <row r="70" spans="1:14" x14ac:dyDescent="0.25">
      <c r="A70" s="103">
        <v>81</v>
      </c>
      <c r="B70" s="103">
        <v>62.997599999999998</v>
      </c>
      <c r="C70">
        <f t="shared" si="0"/>
        <v>66.394471416733865</v>
      </c>
      <c r="D70">
        <f t="shared" si="1"/>
        <v>-5.392064803633577</v>
      </c>
      <c r="F70" t="b">
        <f t="shared" si="2"/>
        <v>0</v>
      </c>
      <c r="M70" s="22"/>
    </row>
    <row r="71" spans="1:14" x14ac:dyDescent="0.25">
      <c r="A71" s="103">
        <v>84</v>
      </c>
      <c r="B71" s="103">
        <v>62.997599999999998</v>
      </c>
      <c r="C71">
        <f t="shared" si="0"/>
        <v>67.262997043716382</v>
      </c>
      <c r="D71">
        <f t="shared" si="1"/>
        <v>-6.7707294305122474</v>
      </c>
      <c r="F71" t="b">
        <f t="shared" si="2"/>
        <v>0</v>
      </c>
    </row>
    <row r="72" spans="1:14" x14ac:dyDescent="0.25">
      <c r="A72" s="103">
        <v>85</v>
      </c>
      <c r="B72" s="103">
        <v>62.997599999999998</v>
      </c>
      <c r="C72">
        <f t="shared" si="0"/>
        <v>67.562147504023827</v>
      </c>
      <c r="D72">
        <f t="shared" si="1"/>
        <v>-7.2455895209084602</v>
      </c>
      <c r="F72" t="b">
        <f t="shared" si="2"/>
        <v>0</v>
      </c>
    </row>
    <row r="76" spans="1:14" x14ac:dyDescent="0.25">
      <c r="E76" s="124"/>
    </row>
  </sheetData>
  <mergeCells count="1">
    <mergeCell ref="H65:N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</vt:lpstr>
      <vt:lpstr>лаба 1</vt:lpstr>
      <vt:lpstr>лаба 2</vt:lpstr>
      <vt:lpstr>лаба 3</vt:lpstr>
      <vt:lpstr>лаба 4</vt:lpstr>
      <vt:lpstr>лаба 5.1</vt:lpstr>
      <vt:lpstr>лаба 5.2</vt:lpstr>
      <vt:lpstr>лаба 5.3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Семенов</cp:lastModifiedBy>
  <dcterms:created xsi:type="dcterms:W3CDTF">2019-02-14T10:18:16Z</dcterms:created>
  <dcterms:modified xsi:type="dcterms:W3CDTF">2024-03-05T17:45:25Z</dcterms:modified>
</cp:coreProperties>
</file>