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\\dom-srv\share1\MRC\02. Папки застройщиков\R1\"/>
    </mc:Choice>
  </mc:AlternateContent>
  <xr:revisionPtr revIDLastSave="0" documentId="13_ncr:1_{200B22DD-90A9-45D0-AC81-3F206ECF3685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Планировка типового этажа" sheetId="8" r:id="rId1"/>
    <sheet name="Сводная ЦМ + сравнение" sheetId="3" r:id="rId2"/>
    <sheet name="Шахматка" sheetId="4" r:id="rId3"/>
    <sheet name="прайс квартиры" sheetId="1" r:id="rId4"/>
    <sheet name="Сравнение с КО" sheetId="14" r:id="rId5"/>
    <sheet name="Сравнение" sheetId="5" state="hidden" r:id="rId6"/>
    <sheet name="остатки д.6" sheetId="7" state="hidden" r:id="rId7"/>
  </sheets>
  <definedNames>
    <definedName name="_xlnm._FilterDatabase" localSheetId="3" hidden="1">'прайс квартиры'!$B$1:$U$80</definedName>
    <definedName name="_xlnm._FilterDatabase" localSheetId="4" hidden="1">'Сравнение с КО'!$A$1:$Q$37</definedName>
    <definedName name="_xlnm.Print_Area" localSheetId="0">'Планировка типового этажа'!$A$1:$Z$64</definedName>
    <definedName name="_xlnm.Print_Area" localSheetId="3">'прайс квартиры'!$A$1:$AD$80</definedName>
    <definedName name="_xlnm.Print_Area" localSheetId="1">'Сводная ЦМ + сравнение'!$A$1:$L$37</definedName>
    <definedName name="_xlnm.Print_Area" localSheetId="2">Шахматка!$A$1:$AB$18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4" l="1"/>
  <c r="E78" i="1"/>
  <c r="F78" i="1"/>
  <c r="G78" i="1"/>
  <c r="E79" i="1"/>
  <c r="F79" i="1"/>
  <c r="G79" i="1"/>
  <c r="E80" i="1"/>
  <c r="F80" i="1"/>
  <c r="G80" i="1"/>
  <c r="H33" i="14"/>
  <c r="J32" i="3"/>
  <c r="H32" i="3"/>
  <c r="F32" i="3"/>
  <c r="E32" i="3"/>
  <c r="G32" i="3"/>
  <c r="C32" i="3"/>
  <c r="B32" i="3"/>
  <c r="B31" i="3"/>
  <c r="B30" i="3"/>
  <c r="G31" i="3"/>
  <c r="J31" i="3"/>
  <c r="H31" i="3"/>
  <c r="F31" i="3"/>
  <c r="E31" i="3"/>
  <c r="E30" i="3"/>
  <c r="C31" i="3"/>
  <c r="C30" i="3"/>
  <c r="J33" i="3"/>
  <c r="H33" i="3"/>
  <c r="G33" i="3"/>
  <c r="I33" i="3"/>
  <c r="F33" i="3"/>
  <c r="C33" i="3"/>
  <c r="B33" i="3"/>
  <c r="E33" i="3"/>
  <c r="K31" i="3" l="1"/>
  <c r="I32" i="3"/>
  <c r="I31" i="3"/>
  <c r="D32" i="3"/>
  <c r="D30" i="3"/>
  <c r="K33" i="3"/>
  <c r="D33" i="3"/>
  <c r="K32" i="3"/>
  <c r="D31" i="3"/>
  <c r="J30" i="3"/>
  <c r="H30" i="3"/>
  <c r="F30" i="3"/>
  <c r="G30" i="3"/>
  <c r="E4" i="4"/>
  <c r="H4" i="4"/>
  <c r="K4" i="4"/>
  <c r="N4" i="4"/>
  <c r="Q4" i="4"/>
  <c r="T4" i="4"/>
  <c r="W4" i="4"/>
  <c r="F5" i="4"/>
  <c r="I5" i="4"/>
  <c r="L5" i="4"/>
  <c r="O5" i="4"/>
  <c r="R5" i="4"/>
  <c r="U5" i="4"/>
  <c r="X5" i="4"/>
  <c r="B4" i="4"/>
  <c r="C5" i="4"/>
  <c r="K30" i="3" l="1"/>
  <c r="I30" i="3"/>
  <c r="E7" i="4"/>
  <c r="E6" i="4" s="1"/>
  <c r="E9" i="4"/>
  <c r="E8" i="4" s="1"/>
  <c r="E11" i="4"/>
  <c r="E10" i="4" s="1"/>
  <c r="F11" i="4"/>
  <c r="E13" i="4"/>
  <c r="H13" i="4" s="1"/>
  <c r="E15" i="4"/>
  <c r="E14" i="4" s="1"/>
  <c r="E17" i="4"/>
  <c r="E16" i="4" s="1"/>
  <c r="E19" i="4"/>
  <c r="H19" i="4" s="1"/>
  <c r="H11" i="4" l="1"/>
  <c r="K11" i="4" s="1"/>
  <c r="N11" i="4" s="1"/>
  <c r="I13" i="4"/>
  <c r="K13" i="4"/>
  <c r="K12" i="4" s="1"/>
  <c r="H12" i="4"/>
  <c r="H17" i="4"/>
  <c r="I17" i="4" s="1"/>
  <c r="H9" i="4"/>
  <c r="K9" i="4" s="1"/>
  <c r="F9" i="4"/>
  <c r="F17" i="4"/>
  <c r="H15" i="4"/>
  <c r="F15" i="4"/>
  <c r="H10" i="4"/>
  <c r="I11" i="4"/>
  <c r="N13" i="4"/>
  <c r="F7" i="4"/>
  <c r="H7" i="4"/>
  <c r="F13" i="4"/>
  <c r="E12" i="4"/>
  <c r="K19" i="4"/>
  <c r="I19" i="4"/>
  <c r="H18" i="4"/>
  <c r="L13" i="4" l="1"/>
  <c r="K10" i="4"/>
  <c r="L11" i="4"/>
  <c r="K17" i="4"/>
  <c r="H16" i="4"/>
  <c r="H8" i="4"/>
  <c r="I9" i="4"/>
  <c r="H14" i="4"/>
  <c r="I15" i="4"/>
  <c r="K15" i="4"/>
  <c r="N17" i="4"/>
  <c r="L17" i="4"/>
  <c r="K16" i="4"/>
  <c r="I7" i="4"/>
  <c r="K7" i="4"/>
  <c r="H6" i="4"/>
  <c r="N10" i="4"/>
  <c r="O11" i="4"/>
  <c r="Q11" i="4"/>
  <c r="L9" i="4"/>
  <c r="K8" i="4"/>
  <c r="N9" i="4"/>
  <c r="O13" i="4"/>
  <c r="N12" i="4"/>
  <c r="Q13" i="4"/>
  <c r="L19" i="4"/>
  <c r="K18" i="4"/>
  <c r="Q19" i="4"/>
  <c r="T19" i="4" s="1"/>
  <c r="Z19" i="4" s="1"/>
  <c r="AA19" i="4" l="1"/>
  <c r="Z18" i="4"/>
  <c r="AC19" i="4"/>
  <c r="K14" i="4"/>
  <c r="L15" i="4"/>
  <c r="N15" i="4"/>
  <c r="R11" i="4"/>
  <c r="Q10" i="4"/>
  <c r="W11" i="4"/>
  <c r="K6" i="4"/>
  <c r="L7" i="4"/>
  <c r="N7" i="4"/>
  <c r="N8" i="4"/>
  <c r="O9" i="4"/>
  <c r="Q9" i="4"/>
  <c r="N16" i="4"/>
  <c r="O17" i="4"/>
  <c r="Q17" i="4"/>
  <c r="W13" i="4"/>
  <c r="Q12" i="4"/>
  <c r="R13" i="4"/>
  <c r="Q18" i="4"/>
  <c r="R19" i="4"/>
  <c r="T18" i="4"/>
  <c r="U19" i="4"/>
  <c r="AD19" i="4" l="1"/>
  <c r="AF19" i="4"/>
  <c r="AC18" i="4"/>
  <c r="O15" i="4"/>
  <c r="Q15" i="4"/>
  <c r="N14" i="4"/>
  <c r="O7" i="4"/>
  <c r="Q7" i="4"/>
  <c r="N6" i="4"/>
  <c r="R17" i="4"/>
  <c r="T17" i="4"/>
  <c r="Q16" i="4"/>
  <c r="Q8" i="4"/>
  <c r="R9" i="4"/>
  <c r="T9" i="4"/>
  <c r="W10" i="4"/>
  <c r="X11" i="4"/>
  <c r="AC13" i="4"/>
  <c r="W12" i="4"/>
  <c r="X13" i="4"/>
  <c r="AI19" i="4" l="1"/>
  <c r="AG19" i="4"/>
  <c r="AF18" i="4"/>
  <c r="T15" i="4"/>
  <c r="Q14" i="4"/>
  <c r="R15" i="4"/>
  <c r="T16" i="4"/>
  <c r="U17" i="4"/>
  <c r="W17" i="4"/>
  <c r="R7" i="4"/>
  <c r="T7" i="4"/>
  <c r="Q6" i="4"/>
  <c r="AD13" i="4"/>
  <c r="AF13" i="4"/>
  <c r="AC12" i="4"/>
  <c r="U9" i="4"/>
  <c r="W9" i="4"/>
  <c r="T8" i="4"/>
  <c r="AI18" i="4" l="1"/>
  <c r="AJ19" i="4"/>
  <c r="AL19" i="4"/>
  <c r="T14" i="4"/>
  <c r="W15" i="4"/>
  <c r="U15" i="4"/>
  <c r="AF12" i="4"/>
  <c r="AG13" i="4"/>
  <c r="AI13" i="4"/>
  <c r="X17" i="4"/>
  <c r="Z17" i="4"/>
  <c r="W16" i="4"/>
  <c r="W8" i="4"/>
  <c r="X9" i="4"/>
  <c r="T6" i="4"/>
  <c r="U7" i="4"/>
  <c r="W7" i="4"/>
  <c r="AM19" i="4" l="1"/>
  <c r="AL18" i="4"/>
  <c r="X15" i="4"/>
  <c r="Z15" i="4"/>
  <c r="W14" i="4"/>
  <c r="X7" i="4"/>
  <c r="W6" i="4"/>
  <c r="AI12" i="4"/>
  <c r="AJ13" i="4"/>
  <c r="Z16" i="4"/>
  <c r="AA17" i="4"/>
  <c r="AC17" i="4"/>
  <c r="AA15" i="4" l="1"/>
  <c r="AC15" i="4"/>
  <c r="Z14" i="4"/>
  <c r="AD17" i="4"/>
  <c r="AF17" i="4"/>
  <c r="AI17" i="4" s="1"/>
  <c r="AC16" i="4"/>
  <c r="AI16" i="4" l="1"/>
  <c r="AJ17" i="4"/>
  <c r="AL17" i="4"/>
  <c r="AD15" i="4"/>
  <c r="AC14" i="4"/>
  <c r="AF15" i="4"/>
  <c r="AI15" i="4" s="1"/>
  <c r="AF16" i="4"/>
  <c r="AG17" i="4"/>
  <c r="AI14" i="4" l="1"/>
  <c r="AJ15" i="4"/>
  <c r="AL15" i="4"/>
  <c r="AL16" i="4"/>
  <c r="AM17" i="4"/>
  <c r="AF14" i="4"/>
  <c r="AG15" i="4"/>
  <c r="AM15" i="4" l="1"/>
  <c r="AL14" i="4"/>
  <c r="J78" i="1"/>
  <c r="K78" i="1"/>
  <c r="J79" i="1"/>
  <c r="K79" i="1"/>
  <c r="J80" i="1"/>
  <c r="K80" i="1"/>
  <c r="J3" i="1"/>
  <c r="J32" i="14"/>
  <c r="H32" i="14"/>
  <c r="L80" i="1" l="1"/>
  <c r="L79" i="1"/>
  <c r="L78" i="1"/>
  <c r="N36" i="14"/>
  <c r="N35" i="14"/>
  <c r="N34" i="14"/>
  <c r="N33" i="14"/>
  <c r="N32" i="14"/>
  <c r="M79" i="1" l="1"/>
  <c r="U4" i="4"/>
  <c r="V4" i="4" s="1"/>
  <c r="N80" i="1"/>
  <c r="X4" i="4"/>
  <c r="Y4" i="4" s="1"/>
  <c r="M78" i="1"/>
  <c r="R4" i="4"/>
  <c r="S4" i="4" s="1"/>
  <c r="M80" i="1"/>
  <c r="P80" i="1"/>
  <c r="O80" i="1"/>
  <c r="O78" i="1"/>
  <c r="O79" i="1"/>
  <c r="P78" i="1"/>
  <c r="N78" i="1"/>
  <c r="N79" i="1"/>
  <c r="P79" i="1"/>
  <c r="S78" i="1" l="1"/>
  <c r="Q78" i="1"/>
  <c r="R78" i="1"/>
  <c r="Q79" i="1"/>
  <c r="R79" i="1"/>
  <c r="S79" i="1"/>
  <c r="S80" i="1"/>
  <c r="Q80" i="1"/>
  <c r="R80" i="1"/>
  <c r="P36" i="14"/>
  <c r="P35" i="14"/>
  <c r="P34" i="14"/>
  <c r="P33" i="14"/>
  <c r="P32" i="14"/>
  <c r="L36" i="14"/>
  <c r="L35" i="14"/>
  <c r="L34" i="14"/>
  <c r="L33" i="14"/>
  <c r="L32" i="14"/>
  <c r="Q36" i="14"/>
  <c r="Q35" i="14"/>
  <c r="Q34" i="14"/>
  <c r="Q33" i="14"/>
  <c r="Q32" i="14"/>
  <c r="M36" i="14"/>
  <c r="M35" i="14"/>
  <c r="M34" i="14"/>
  <c r="M33" i="14"/>
  <c r="M32" i="14"/>
  <c r="O36" i="14"/>
  <c r="O35" i="14"/>
  <c r="O34" i="14"/>
  <c r="O33" i="14"/>
  <c r="O32" i="14"/>
  <c r="K36" i="14"/>
  <c r="K35" i="14"/>
  <c r="K34" i="14"/>
  <c r="K33" i="14"/>
  <c r="K32" i="14"/>
  <c r="I33" i="14"/>
  <c r="J33" i="14"/>
  <c r="I34" i="14"/>
  <c r="J34" i="14"/>
  <c r="H35" i="14"/>
  <c r="I35" i="14"/>
  <c r="J35" i="14"/>
  <c r="H36" i="14"/>
  <c r="I36" i="14"/>
  <c r="J36" i="14"/>
  <c r="G33" i="14"/>
  <c r="G34" i="14"/>
  <c r="G35" i="14"/>
  <c r="G36" i="14"/>
  <c r="F36" i="14"/>
  <c r="F35" i="14"/>
  <c r="F34" i="14"/>
  <c r="F33" i="14"/>
  <c r="I32" i="14"/>
  <c r="G32" i="14"/>
  <c r="F32" i="14"/>
  <c r="Q37" i="14" l="1"/>
  <c r="O37" i="14"/>
  <c r="M37" i="14"/>
  <c r="K37" i="14"/>
  <c r="G37" i="14"/>
  <c r="F37" i="14"/>
  <c r="H37" i="14"/>
  <c r="J37" i="14"/>
  <c r="I37" i="14"/>
  <c r="P37" i="14" l="1"/>
  <c r="N37" i="14"/>
  <c r="L37" i="14"/>
  <c r="B6" i="4" l="1"/>
  <c r="C7" i="4"/>
  <c r="B8" i="4"/>
  <c r="C9" i="4"/>
  <c r="B10" i="4"/>
  <c r="C11" i="4"/>
  <c r="B12" i="4"/>
  <c r="C13" i="4"/>
  <c r="C15" i="4"/>
  <c r="B14" i="4"/>
  <c r="C17" i="4"/>
  <c r="B16" i="4"/>
  <c r="F19" i="4"/>
  <c r="E18" i="4"/>
  <c r="B18" i="4"/>
  <c r="C19" i="4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K70" i="1"/>
  <c r="K71" i="1"/>
  <c r="K72" i="1"/>
  <c r="K73" i="1"/>
  <c r="K74" i="1"/>
  <c r="K75" i="1"/>
  <c r="K76" i="1"/>
  <c r="K77" i="1"/>
  <c r="J73" i="1"/>
  <c r="J74" i="1"/>
  <c r="J75" i="1"/>
  <c r="J76" i="1"/>
  <c r="J77" i="1"/>
  <c r="L73" i="1" l="1"/>
  <c r="C4" i="4" s="1"/>
  <c r="L74" i="1"/>
  <c r="F4" i="4" s="1"/>
  <c r="G4" i="4" s="1"/>
  <c r="L77" i="1"/>
  <c r="O4" i="4" s="1"/>
  <c r="P4" i="4" s="1"/>
  <c r="L76" i="1"/>
  <c r="L4" i="4" s="1"/>
  <c r="M4" i="4" s="1"/>
  <c r="L75" i="1"/>
  <c r="I4" i="4" s="1"/>
  <c r="J4" i="4" s="1"/>
  <c r="M76" i="1" l="1"/>
  <c r="O76" i="1"/>
  <c r="P76" i="1"/>
  <c r="Q76" i="1" s="1"/>
  <c r="N76" i="1"/>
  <c r="O77" i="1"/>
  <c r="O73" i="1"/>
  <c r="P74" i="1"/>
  <c r="Q74" i="1" s="1"/>
  <c r="N75" i="1"/>
  <c r="N73" i="1"/>
  <c r="M73" i="1"/>
  <c r="P75" i="1"/>
  <c r="Q75" i="1" s="1"/>
  <c r="M75" i="1"/>
  <c r="O75" i="1"/>
  <c r="O74" i="1"/>
  <c r="P73" i="1"/>
  <c r="S73" i="1" s="1"/>
  <c r="N74" i="1"/>
  <c r="M74" i="1"/>
  <c r="N77" i="1"/>
  <c r="M77" i="1"/>
  <c r="P77" i="1"/>
  <c r="R77" i="1" s="1"/>
  <c r="R76" i="1" l="1"/>
  <c r="S76" i="1"/>
  <c r="S74" i="1"/>
  <c r="R74" i="1"/>
  <c r="S75" i="1"/>
  <c r="R75" i="1"/>
  <c r="R73" i="1"/>
  <c r="Q73" i="1"/>
  <c r="Q77" i="1"/>
  <c r="S77" i="1"/>
  <c r="J72" i="1" l="1"/>
  <c r="L72" i="1" s="1"/>
  <c r="G72" i="1"/>
  <c r="F72" i="1"/>
  <c r="E72" i="1"/>
  <c r="J71" i="1"/>
  <c r="L71" i="1" s="1"/>
  <c r="G71" i="1"/>
  <c r="F71" i="1"/>
  <c r="E71" i="1"/>
  <c r="J70" i="1"/>
  <c r="L70" i="1" s="1"/>
  <c r="G70" i="1"/>
  <c r="F70" i="1"/>
  <c r="E70" i="1"/>
  <c r="K69" i="1"/>
  <c r="J69" i="1"/>
  <c r="G69" i="1"/>
  <c r="F69" i="1"/>
  <c r="E69" i="1"/>
  <c r="K68" i="1"/>
  <c r="J68" i="1"/>
  <c r="G68" i="1"/>
  <c r="F68" i="1"/>
  <c r="E68" i="1"/>
  <c r="K67" i="1"/>
  <c r="J67" i="1"/>
  <c r="G67" i="1"/>
  <c r="F67" i="1"/>
  <c r="E67" i="1"/>
  <c r="K66" i="1"/>
  <c r="J66" i="1"/>
  <c r="G66" i="1"/>
  <c r="F66" i="1"/>
  <c r="E66" i="1"/>
  <c r="K65" i="1"/>
  <c r="J65" i="1"/>
  <c r="G65" i="1"/>
  <c r="F65" i="1"/>
  <c r="E65" i="1"/>
  <c r="K64" i="1"/>
  <c r="J64" i="1"/>
  <c r="G64" i="1"/>
  <c r="F64" i="1"/>
  <c r="E64" i="1"/>
  <c r="K63" i="1"/>
  <c r="J63" i="1"/>
  <c r="G63" i="1"/>
  <c r="F63" i="1"/>
  <c r="E63" i="1"/>
  <c r="K62" i="1"/>
  <c r="J62" i="1"/>
  <c r="G62" i="1"/>
  <c r="F62" i="1"/>
  <c r="E62" i="1"/>
  <c r="K61" i="1"/>
  <c r="J61" i="1"/>
  <c r="G61" i="1"/>
  <c r="F61" i="1"/>
  <c r="E61" i="1"/>
  <c r="K60" i="1"/>
  <c r="J60" i="1"/>
  <c r="G60" i="1"/>
  <c r="F60" i="1"/>
  <c r="E60" i="1"/>
  <c r="K59" i="1"/>
  <c r="J59" i="1"/>
  <c r="G59" i="1"/>
  <c r="F59" i="1"/>
  <c r="E59" i="1"/>
  <c r="K58" i="1"/>
  <c r="J58" i="1"/>
  <c r="G58" i="1"/>
  <c r="F58" i="1"/>
  <c r="E58" i="1"/>
  <c r="K57" i="1"/>
  <c r="J57" i="1"/>
  <c r="G57" i="1"/>
  <c r="F57" i="1"/>
  <c r="E57" i="1"/>
  <c r="K56" i="1"/>
  <c r="J56" i="1"/>
  <c r="G56" i="1"/>
  <c r="F56" i="1"/>
  <c r="E56" i="1"/>
  <c r="K55" i="1"/>
  <c r="J55" i="1"/>
  <c r="G55" i="1"/>
  <c r="F55" i="1"/>
  <c r="E55" i="1"/>
  <c r="K54" i="1"/>
  <c r="J54" i="1"/>
  <c r="G54" i="1"/>
  <c r="F54" i="1"/>
  <c r="E54" i="1"/>
  <c r="K53" i="1"/>
  <c r="J53" i="1"/>
  <c r="G53" i="1"/>
  <c r="F53" i="1"/>
  <c r="E53" i="1"/>
  <c r="K52" i="1"/>
  <c r="J52" i="1"/>
  <c r="G52" i="1"/>
  <c r="F52" i="1"/>
  <c r="E52" i="1"/>
  <c r="K51" i="1"/>
  <c r="J51" i="1"/>
  <c r="G51" i="1"/>
  <c r="F51" i="1"/>
  <c r="E51" i="1"/>
  <c r="K50" i="1"/>
  <c r="J50" i="1"/>
  <c r="G50" i="1"/>
  <c r="F50" i="1"/>
  <c r="E50" i="1"/>
  <c r="K49" i="1"/>
  <c r="J49" i="1"/>
  <c r="G49" i="1"/>
  <c r="F49" i="1"/>
  <c r="E49" i="1"/>
  <c r="K48" i="1"/>
  <c r="J48" i="1"/>
  <c r="G48" i="1"/>
  <c r="F48" i="1"/>
  <c r="E48" i="1"/>
  <c r="K47" i="1"/>
  <c r="J47" i="1"/>
  <c r="G47" i="1"/>
  <c r="F47" i="1"/>
  <c r="E47" i="1"/>
  <c r="K46" i="1"/>
  <c r="J46" i="1"/>
  <c r="G46" i="1"/>
  <c r="F46" i="1"/>
  <c r="E46" i="1"/>
  <c r="K45" i="1"/>
  <c r="J45" i="1"/>
  <c r="G45" i="1"/>
  <c r="F45" i="1"/>
  <c r="E45" i="1"/>
  <c r="K44" i="1"/>
  <c r="J44" i="1"/>
  <c r="G44" i="1"/>
  <c r="F44" i="1"/>
  <c r="E44" i="1"/>
  <c r="K43" i="1"/>
  <c r="J43" i="1"/>
  <c r="G43" i="1"/>
  <c r="F43" i="1"/>
  <c r="E43" i="1"/>
  <c r="K42" i="1"/>
  <c r="J42" i="1"/>
  <c r="G42" i="1"/>
  <c r="F42" i="1"/>
  <c r="E42" i="1"/>
  <c r="K41" i="1"/>
  <c r="J41" i="1"/>
  <c r="G41" i="1"/>
  <c r="F41" i="1"/>
  <c r="E41" i="1"/>
  <c r="K40" i="1"/>
  <c r="J40" i="1"/>
  <c r="G40" i="1"/>
  <c r="F40" i="1"/>
  <c r="E40" i="1"/>
  <c r="K39" i="1"/>
  <c r="J39" i="1"/>
  <c r="G39" i="1"/>
  <c r="F39" i="1"/>
  <c r="E39" i="1"/>
  <c r="K38" i="1"/>
  <c r="J38" i="1"/>
  <c r="G38" i="1"/>
  <c r="F38" i="1"/>
  <c r="E38" i="1"/>
  <c r="K37" i="1"/>
  <c r="J37" i="1"/>
  <c r="G37" i="1"/>
  <c r="F37" i="1"/>
  <c r="E37" i="1"/>
  <c r="K36" i="1"/>
  <c r="J36" i="1"/>
  <c r="G36" i="1"/>
  <c r="F36" i="1"/>
  <c r="E36" i="1"/>
  <c r="K35" i="1"/>
  <c r="J35" i="1"/>
  <c r="G35" i="1"/>
  <c r="F35" i="1"/>
  <c r="E35" i="1"/>
  <c r="K34" i="1"/>
  <c r="J34" i="1"/>
  <c r="G34" i="1"/>
  <c r="F34" i="1"/>
  <c r="E34" i="1"/>
  <c r="K33" i="1"/>
  <c r="J33" i="1"/>
  <c r="G33" i="1"/>
  <c r="F33" i="1"/>
  <c r="E33" i="1"/>
  <c r="K32" i="1"/>
  <c r="J32" i="1"/>
  <c r="G32" i="1"/>
  <c r="F32" i="1"/>
  <c r="E32" i="1"/>
  <c r="K31" i="1"/>
  <c r="J31" i="1"/>
  <c r="G31" i="1"/>
  <c r="F31" i="1"/>
  <c r="E31" i="1"/>
  <c r="K30" i="1"/>
  <c r="J30" i="1"/>
  <c r="G30" i="1"/>
  <c r="F30" i="1"/>
  <c r="E30" i="1"/>
  <c r="K29" i="1"/>
  <c r="J29" i="1"/>
  <c r="G29" i="1"/>
  <c r="F29" i="1"/>
  <c r="E29" i="1"/>
  <c r="K28" i="1"/>
  <c r="J28" i="1"/>
  <c r="G28" i="1"/>
  <c r="F28" i="1"/>
  <c r="E28" i="1"/>
  <c r="K27" i="1"/>
  <c r="J27" i="1"/>
  <c r="G27" i="1"/>
  <c r="F27" i="1"/>
  <c r="E27" i="1"/>
  <c r="K26" i="1"/>
  <c r="J26" i="1"/>
  <c r="G26" i="1"/>
  <c r="F26" i="1"/>
  <c r="E26" i="1"/>
  <c r="K25" i="1"/>
  <c r="J25" i="1"/>
  <c r="G25" i="1"/>
  <c r="F25" i="1"/>
  <c r="E25" i="1"/>
  <c r="K24" i="1"/>
  <c r="J24" i="1"/>
  <c r="G24" i="1"/>
  <c r="F24" i="1"/>
  <c r="E24" i="1"/>
  <c r="K23" i="1"/>
  <c r="J23" i="1"/>
  <c r="G23" i="1"/>
  <c r="F23" i="1"/>
  <c r="E23" i="1"/>
  <c r="K22" i="1"/>
  <c r="J22" i="1"/>
  <c r="G22" i="1"/>
  <c r="F22" i="1"/>
  <c r="E22" i="1"/>
  <c r="K21" i="1"/>
  <c r="J21" i="1"/>
  <c r="G21" i="1"/>
  <c r="F21" i="1"/>
  <c r="E21" i="1"/>
  <c r="K20" i="1"/>
  <c r="J20" i="1"/>
  <c r="G20" i="1"/>
  <c r="F20" i="1"/>
  <c r="E20" i="1"/>
  <c r="K19" i="1"/>
  <c r="J19" i="1"/>
  <c r="G19" i="1"/>
  <c r="F19" i="1"/>
  <c r="E19" i="1"/>
  <c r="K18" i="1"/>
  <c r="J18" i="1"/>
  <c r="G18" i="1"/>
  <c r="F18" i="1"/>
  <c r="E18" i="1"/>
  <c r="K17" i="1"/>
  <c r="J17" i="1"/>
  <c r="G17" i="1"/>
  <c r="F17" i="1"/>
  <c r="E17" i="1"/>
  <c r="K16" i="1"/>
  <c r="J16" i="1"/>
  <c r="G16" i="1"/>
  <c r="F16" i="1"/>
  <c r="E16" i="1"/>
  <c r="K15" i="1"/>
  <c r="J15" i="1"/>
  <c r="G15" i="1"/>
  <c r="F15" i="1"/>
  <c r="E15" i="1"/>
  <c r="K14" i="1"/>
  <c r="J14" i="1"/>
  <c r="G14" i="1"/>
  <c r="F14" i="1"/>
  <c r="E14" i="1"/>
  <c r="K13" i="1"/>
  <c r="J13" i="1"/>
  <c r="G13" i="1"/>
  <c r="F13" i="1"/>
  <c r="E13" i="1"/>
  <c r="K12" i="1"/>
  <c r="J12" i="1"/>
  <c r="G12" i="1"/>
  <c r="F12" i="1"/>
  <c r="E12" i="1"/>
  <c r="K11" i="1"/>
  <c r="J11" i="1"/>
  <c r="G11" i="1"/>
  <c r="F11" i="1"/>
  <c r="E11" i="1"/>
  <c r="K10" i="1"/>
  <c r="J10" i="1"/>
  <c r="G10" i="1"/>
  <c r="F10" i="1"/>
  <c r="E10" i="1"/>
  <c r="K9" i="1"/>
  <c r="J9" i="1"/>
  <c r="G9" i="1"/>
  <c r="F9" i="1"/>
  <c r="E9" i="1"/>
  <c r="K8" i="1"/>
  <c r="J8" i="1"/>
  <c r="G8" i="1"/>
  <c r="F8" i="1"/>
  <c r="E8" i="1"/>
  <c r="K7" i="1"/>
  <c r="J7" i="1"/>
  <c r="G7" i="1"/>
  <c r="F7" i="1"/>
  <c r="E7" i="1"/>
  <c r="K6" i="1"/>
  <c r="J6" i="1"/>
  <c r="G6" i="1"/>
  <c r="F6" i="1"/>
  <c r="E6" i="1"/>
  <c r="K5" i="1"/>
  <c r="J5" i="1"/>
  <c r="G5" i="1"/>
  <c r="F5" i="1"/>
  <c r="E5" i="1"/>
  <c r="K4" i="1"/>
  <c r="J4" i="1"/>
  <c r="G4" i="1"/>
  <c r="F4" i="1"/>
  <c r="E4" i="1"/>
  <c r="K3" i="1"/>
  <c r="L3" i="1" s="1"/>
  <c r="G3" i="1"/>
  <c r="F3" i="1"/>
  <c r="E3" i="1"/>
  <c r="L9" i="1" l="1"/>
  <c r="L15" i="1"/>
  <c r="F16" i="4" s="1"/>
  <c r="G16" i="4" s="1"/>
  <c r="L21" i="1"/>
  <c r="X16" i="4" s="1"/>
  <c r="Y16" i="4" s="1"/>
  <c r="L27" i="1"/>
  <c r="L33" i="1"/>
  <c r="L39" i="1"/>
  <c r="L45" i="1"/>
  <c r="L51" i="1"/>
  <c r="L57" i="1"/>
  <c r="L63" i="1"/>
  <c r="L69" i="1"/>
  <c r="L62" i="1"/>
  <c r="L7" i="1"/>
  <c r="R18" i="4" s="1"/>
  <c r="S18" i="4" s="1"/>
  <c r="L13" i="1"/>
  <c r="AM18" i="4" s="1"/>
  <c r="AN18" i="4" s="1"/>
  <c r="L19" i="1"/>
  <c r="R16" i="4" s="1"/>
  <c r="S16" i="4" s="1"/>
  <c r="L25" i="1"/>
  <c r="L31" i="1"/>
  <c r="L37" i="1"/>
  <c r="L43" i="1"/>
  <c r="L49" i="1"/>
  <c r="L55" i="1"/>
  <c r="L61" i="1"/>
  <c r="L67" i="1"/>
  <c r="L14" i="1"/>
  <c r="L38" i="1"/>
  <c r="L44" i="1"/>
  <c r="L68" i="1"/>
  <c r="L6" i="1"/>
  <c r="L18" i="4" s="1"/>
  <c r="M18" i="4" s="1"/>
  <c r="L12" i="1"/>
  <c r="AJ18" i="4" s="1"/>
  <c r="AK18" i="4" s="1"/>
  <c r="L18" i="1"/>
  <c r="O16" i="4" s="1"/>
  <c r="P16" i="4" s="1"/>
  <c r="L24" i="1"/>
  <c r="AG16" i="4" s="1"/>
  <c r="AH16" i="4" s="1"/>
  <c r="L30" i="1"/>
  <c r="L36" i="1"/>
  <c r="L42" i="1"/>
  <c r="L48" i="1"/>
  <c r="L54" i="1"/>
  <c r="L60" i="1"/>
  <c r="L66" i="1"/>
  <c r="L20" i="1"/>
  <c r="U16" i="4" s="1"/>
  <c r="V16" i="4" s="1"/>
  <c r="L26" i="1"/>
  <c r="L32" i="1"/>
  <c r="L5" i="1"/>
  <c r="I18" i="4" s="1"/>
  <c r="J18" i="4" s="1"/>
  <c r="L11" i="1"/>
  <c r="AG18" i="4" s="1"/>
  <c r="AH18" i="4" s="1"/>
  <c r="L17" i="1"/>
  <c r="L16" i="4" s="1"/>
  <c r="M16" i="4" s="1"/>
  <c r="L23" i="1"/>
  <c r="AD16" i="4" s="1"/>
  <c r="AE16" i="4" s="1"/>
  <c r="L29" i="1"/>
  <c r="L35" i="1"/>
  <c r="L41" i="1"/>
  <c r="L47" i="1"/>
  <c r="L53" i="1"/>
  <c r="L59" i="1"/>
  <c r="L65" i="1"/>
  <c r="L8" i="1"/>
  <c r="U18" i="4" s="1"/>
  <c r="V18" i="4" s="1"/>
  <c r="L50" i="1"/>
  <c r="L56" i="1"/>
  <c r="L4" i="1"/>
  <c r="N4" i="1" s="1"/>
  <c r="L10" i="1"/>
  <c r="AD18" i="4" s="1"/>
  <c r="AE18" i="4" s="1"/>
  <c r="L16" i="1"/>
  <c r="I16" i="4" s="1"/>
  <c r="J16" i="4" s="1"/>
  <c r="L22" i="1"/>
  <c r="AA16" i="4" s="1"/>
  <c r="AB16" i="4" s="1"/>
  <c r="L28" i="1"/>
  <c r="L34" i="1"/>
  <c r="L40" i="1"/>
  <c r="L46" i="1"/>
  <c r="L52" i="1"/>
  <c r="L58" i="1"/>
  <c r="L64" i="1"/>
  <c r="R6" i="4"/>
  <c r="S6" i="4" s="1"/>
  <c r="O70" i="1"/>
  <c r="N70" i="1"/>
  <c r="M70" i="1"/>
  <c r="P70" i="1"/>
  <c r="R8" i="4" l="1"/>
  <c r="S8" i="4" s="1"/>
  <c r="I8" i="4"/>
  <c r="J8" i="4" s="1"/>
  <c r="X6" i="4"/>
  <c r="Y6" i="4" s="1"/>
  <c r="U8" i="4"/>
  <c r="V8" i="4" s="1"/>
  <c r="X8" i="4"/>
  <c r="Y8" i="4" s="1"/>
  <c r="O6" i="4"/>
  <c r="P6" i="4" s="1"/>
  <c r="I6" i="4"/>
  <c r="J6" i="4" s="1"/>
  <c r="L6" i="4"/>
  <c r="M6" i="4" s="1"/>
  <c r="I12" i="4"/>
  <c r="J12" i="4" s="1"/>
  <c r="X10" i="4"/>
  <c r="Y10" i="4" s="1"/>
  <c r="R10" i="4"/>
  <c r="S10" i="4" s="1"/>
  <c r="AM14" i="4"/>
  <c r="AN14" i="4" s="1"/>
  <c r="O10" i="4"/>
  <c r="P10" i="4" s="1"/>
  <c r="AJ14" i="4"/>
  <c r="AK14" i="4" s="1"/>
  <c r="L8" i="4"/>
  <c r="M8" i="4" s="1"/>
  <c r="O8" i="4"/>
  <c r="P8" i="4" s="1"/>
  <c r="C16" i="4"/>
  <c r="D16" i="4" s="1"/>
  <c r="AA18" i="4"/>
  <c r="AB18" i="4" s="1"/>
  <c r="C12" i="4"/>
  <c r="D12" i="4" s="1"/>
  <c r="AJ16" i="4"/>
  <c r="AK16" i="4" s="1"/>
  <c r="L12" i="4"/>
  <c r="M12" i="4" s="1"/>
  <c r="F14" i="4"/>
  <c r="G14" i="4" s="1"/>
  <c r="F12" i="4"/>
  <c r="G12" i="4" s="1"/>
  <c r="AM16" i="4"/>
  <c r="AN16" i="4" s="1"/>
  <c r="U14" i="4"/>
  <c r="V14" i="4" s="1"/>
  <c r="AG12" i="4"/>
  <c r="AH12" i="4" s="1"/>
  <c r="L10" i="4"/>
  <c r="M10" i="4" s="1"/>
  <c r="AG14" i="4"/>
  <c r="AH14" i="4" s="1"/>
  <c r="X12" i="4"/>
  <c r="Y12" i="4" s="1"/>
  <c r="O14" i="4"/>
  <c r="P14" i="4" s="1"/>
  <c r="R12" i="4"/>
  <c r="S12" i="4" s="1"/>
  <c r="L14" i="4"/>
  <c r="M14" i="4" s="1"/>
  <c r="F10" i="4"/>
  <c r="G10" i="4" s="1"/>
  <c r="AA14" i="4"/>
  <c r="AB14" i="4" s="1"/>
  <c r="M34" i="1"/>
  <c r="AJ12" i="4"/>
  <c r="AK12" i="4" s="1"/>
  <c r="X14" i="4"/>
  <c r="Y14" i="4" s="1"/>
  <c r="I14" i="4"/>
  <c r="J14" i="4" s="1"/>
  <c r="O12" i="4"/>
  <c r="P12" i="4" s="1"/>
  <c r="F8" i="4"/>
  <c r="G8" i="4" s="1"/>
  <c r="O58" i="1"/>
  <c r="U6" i="4"/>
  <c r="V6" i="4" s="1"/>
  <c r="F6" i="4"/>
  <c r="G6" i="4" s="1"/>
  <c r="I10" i="4"/>
  <c r="J10" i="4" s="1"/>
  <c r="AD14" i="4"/>
  <c r="AE14" i="4" s="1"/>
  <c r="AD12" i="4"/>
  <c r="AE12" i="4" s="1"/>
  <c r="R14" i="4"/>
  <c r="S14" i="4" s="1"/>
  <c r="M58" i="1"/>
  <c r="M4" i="1"/>
  <c r="N58" i="1"/>
  <c r="O4" i="1"/>
  <c r="N19" i="1"/>
  <c r="M11" i="1"/>
  <c r="P56" i="1"/>
  <c r="R56" i="1" s="1"/>
  <c r="P41" i="1"/>
  <c r="Q41" i="1" s="1"/>
  <c r="P26" i="1"/>
  <c r="R26" i="1" s="1"/>
  <c r="P69" i="1"/>
  <c r="S69" i="1" s="1"/>
  <c r="O63" i="1"/>
  <c r="M67" i="1"/>
  <c r="N8" i="1"/>
  <c r="N13" i="1"/>
  <c r="O18" i="1"/>
  <c r="N48" i="1"/>
  <c r="M6" i="1"/>
  <c r="M60" i="1"/>
  <c r="N36" i="1"/>
  <c r="P52" i="1"/>
  <c r="R52" i="1" s="1"/>
  <c r="C6" i="4"/>
  <c r="D6" i="4" s="1"/>
  <c r="O16" i="1"/>
  <c r="C14" i="4"/>
  <c r="D14" i="4" s="1"/>
  <c r="P10" i="1"/>
  <c r="Q10" i="1" s="1"/>
  <c r="N40" i="1"/>
  <c r="P72" i="1"/>
  <c r="S72" i="1" s="1"/>
  <c r="M45" i="1"/>
  <c r="N54" i="1"/>
  <c r="P17" i="1"/>
  <c r="Q17" i="1" s="1"/>
  <c r="M30" i="1"/>
  <c r="O20" i="1"/>
  <c r="P57" i="1"/>
  <c r="S57" i="1" s="1"/>
  <c r="O5" i="1"/>
  <c r="P61" i="1"/>
  <c r="R61" i="1" s="1"/>
  <c r="D4" i="4"/>
  <c r="M55" i="1"/>
  <c r="P64" i="1"/>
  <c r="S64" i="1" s="1"/>
  <c r="P38" i="1"/>
  <c r="Q38" i="1" s="1"/>
  <c r="O23" i="1"/>
  <c r="M15" i="1"/>
  <c r="P35" i="1"/>
  <c r="S35" i="1" s="1"/>
  <c r="N43" i="1"/>
  <c r="C8" i="4"/>
  <c r="D8" i="4" s="1"/>
  <c r="P50" i="1"/>
  <c r="R50" i="1" s="1"/>
  <c r="O65" i="1"/>
  <c r="N34" i="1"/>
  <c r="C10" i="4"/>
  <c r="D10" i="4" s="1"/>
  <c r="O28" i="1"/>
  <c r="M46" i="1"/>
  <c r="M33" i="1"/>
  <c r="O51" i="1"/>
  <c r="O12" i="1"/>
  <c r="P21" i="1"/>
  <c r="Q21" i="1" s="1"/>
  <c r="M3" i="1"/>
  <c r="C18" i="4"/>
  <c r="D18" i="4" s="1"/>
  <c r="M29" i="1"/>
  <c r="N42" i="1"/>
  <c r="P44" i="1"/>
  <c r="R44" i="1" s="1"/>
  <c r="N59" i="1"/>
  <c r="P4" i="1"/>
  <c r="F18" i="4"/>
  <c r="G18" i="4" s="1"/>
  <c r="P14" i="1"/>
  <c r="Q14" i="1" s="1"/>
  <c r="P39" i="1"/>
  <c r="R39" i="1" s="1"/>
  <c r="P27" i="1"/>
  <c r="R27" i="1" s="1"/>
  <c r="M62" i="1"/>
  <c r="M71" i="1"/>
  <c r="O22" i="1"/>
  <c r="M49" i="1"/>
  <c r="N7" i="1"/>
  <c r="P68" i="1"/>
  <c r="Q68" i="1" s="1"/>
  <c r="N66" i="1"/>
  <c r="N47" i="1"/>
  <c r="P24" i="1"/>
  <c r="S24" i="1" s="1"/>
  <c r="M32" i="1"/>
  <c r="M53" i="1"/>
  <c r="P58" i="1"/>
  <c r="P34" i="1"/>
  <c r="S34" i="1" s="1"/>
  <c r="O34" i="1"/>
  <c r="N3" i="1"/>
  <c r="O13" i="1"/>
  <c r="P13" i="1"/>
  <c r="R13" i="1" s="1"/>
  <c r="N53" i="1"/>
  <c r="M13" i="1"/>
  <c r="O69" i="1"/>
  <c r="M50" i="1"/>
  <c r="N50" i="1"/>
  <c r="N65" i="1"/>
  <c r="M57" i="1"/>
  <c r="N57" i="1"/>
  <c r="P20" i="1"/>
  <c r="S20" i="1" s="1"/>
  <c r="O57" i="1"/>
  <c r="M20" i="1"/>
  <c r="N35" i="1"/>
  <c r="O3" i="1"/>
  <c r="P3" i="1"/>
  <c r="S3" i="1" s="1"/>
  <c r="O50" i="1"/>
  <c r="P65" i="1"/>
  <c r="R65" i="1" s="1"/>
  <c r="M65" i="1"/>
  <c r="O53" i="1"/>
  <c r="M48" i="1"/>
  <c r="P59" i="1"/>
  <c r="R59" i="1" s="1"/>
  <c r="M69" i="1"/>
  <c r="O59" i="1"/>
  <c r="M59" i="1"/>
  <c r="N20" i="1"/>
  <c r="N69" i="1"/>
  <c r="N30" i="1"/>
  <c r="O26" i="1"/>
  <c r="M26" i="1"/>
  <c r="M36" i="1"/>
  <c r="P53" i="1"/>
  <c r="S53" i="1" s="1"/>
  <c r="N71" i="1"/>
  <c r="O62" i="1"/>
  <c r="O71" i="1"/>
  <c r="P62" i="1"/>
  <c r="S62" i="1" s="1"/>
  <c r="N27" i="1"/>
  <c r="P71" i="1"/>
  <c r="R71" i="1" s="1"/>
  <c r="O48" i="1"/>
  <c r="M21" i="1"/>
  <c r="N26" i="1"/>
  <c r="N62" i="1"/>
  <c r="M8" i="1"/>
  <c r="M44" i="1"/>
  <c r="N61" i="1"/>
  <c r="N44" i="1"/>
  <c r="O68" i="1"/>
  <c r="O44" i="1"/>
  <c r="N32" i="1"/>
  <c r="N55" i="1"/>
  <c r="P32" i="1"/>
  <c r="Q32" i="1" s="1"/>
  <c r="M54" i="1"/>
  <c r="M17" i="1"/>
  <c r="O32" i="1"/>
  <c r="P30" i="1"/>
  <c r="R30" i="1" s="1"/>
  <c r="O10" i="1"/>
  <c r="O55" i="1"/>
  <c r="O46" i="1"/>
  <c r="M56" i="1"/>
  <c r="P55" i="1"/>
  <c r="R55" i="1" s="1"/>
  <c r="N56" i="1"/>
  <c r="O54" i="1"/>
  <c r="N67" i="1"/>
  <c r="N41" i="1"/>
  <c r="O56" i="1"/>
  <c r="O36" i="1"/>
  <c r="M68" i="1"/>
  <c r="P54" i="1"/>
  <c r="S54" i="1" s="1"/>
  <c r="P36" i="1"/>
  <c r="S36" i="1" s="1"/>
  <c r="O24" i="1"/>
  <c r="M24" i="1"/>
  <c r="O17" i="1"/>
  <c r="P60" i="1"/>
  <c r="S60" i="1" s="1"/>
  <c r="M38" i="1"/>
  <c r="O30" i="1"/>
  <c r="O41" i="1"/>
  <c r="N17" i="1"/>
  <c r="N60" i="1"/>
  <c r="N12" i="1"/>
  <c r="N72" i="1"/>
  <c r="M72" i="1"/>
  <c r="M52" i="1"/>
  <c r="N24" i="1"/>
  <c r="O47" i="1"/>
  <c r="O60" i="1"/>
  <c r="M10" i="1"/>
  <c r="P29" i="1"/>
  <c r="R29" i="1" s="1"/>
  <c r="P42" i="1"/>
  <c r="Q42" i="1" s="1"/>
  <c r="O72" i="1"/>
  <c r="P12" i="1"/>
  <c r="Q12" i="1" s="1"/>
  <c r="P47" i="1"/>
  <c r="R47" i="1" s="1"/>
  <c r="M42" i="1"/>
  <c r="P48" i="1"/>
  <c r="S48" i="1" s="1"/>
  <c r="M12" i="1"/>
  <c r="N10" i="1"/>
  <c r="M47" i="1"/>
  <c r="P5" i="1"/>
  <c r="R5" i="1" s="1"/>
  <c r="O43" i="1"/>
  <c r="O7" i="1"/>
  <c r="O8" i="1"/>
  <c r="O42" i="1"/>
  <c r="N68" i="1"/>
  <c r="P43" i="1"/>
  <c r="R43" i="1" s="1"/>
  <c r="P6" i="1"/>
  <c r="R6" i="1" s="1"/>
  <c r="P8" i="1"/>
  <c r="S8" i="1" s="1"/>
  <c r="M41" i="1"/>
  <c r="M27" i="1"/>
  <c r="M43" i="1"/>
  <c r="M35" i="1"/>
  <c r="O27" i="1"/>
  <c r="O29" i="1"/>
  <c r="P11" i="1"/>
  <c r="S11" i="1" s="1"/>
  <c r="P23" i="1"/>
  <c r="Q23" i="1" s="1"/>
  <c r="N23" i="1"/>
  <c r="P51" i="1"/>
  <c r="S51" i="1" s="1"/>
  <c r="P28" i="1"/>
  <c r="R28" i="1" s="1"/>
  <c r="O66" i="1"/>
  <c r="M63" i="1"/>
  <c r="O49" i="1"/>
  <c r="N28" i="1"/>
  <c r="M28" i="1"/>
  <c r="N22" i="1"/>
  <c r="N29" i="1"/>
  <c r="P66" i="1"/>
  <c r="S66" i="1" s="1"/>
  <c r="P49" i="1"/>
  <c r="R49" i="1" s="1"/>
  <c r="M64" i="1"/>
  <c r="N16" i="1"/>
  <c r="O35" i="1"/>
  <c r="N38" i="1"/>
  <c r="N15" i="1"/>
  <c r="P63" i="1"/>
  <c r="R63" i="1" s="1"/>
  <c r="M66" i="1"/>
  <c r="O11" i="1"/>
  <c r="O21" i="1"/>
  <c r="N52" i="1"/>
  <c r="N45" i="1"/>
  <c r="O52" i="1"/>
  <c r="N6" i="1"/>
  <c r="M19" i="1"/>
  <c r="M51" i="1"/>
  <c r="P45" i="1"/>
  <c r="S45" i="1" s="1"/>
  <c r="M61" i="1"/>
  <c r="O61" i="1"/>
  <c r="O6" i="1"/>
  <c r="P18" i="1"/>
  <c r="Q18" i="1" s="1"/>
  <c r="O19" i="1"/>
  <c r="O15" i="1"/>
  <c r="P15" i="1"/>
  <c r="N51" i="1"/>
  <c r="N63" i="1"/>
  <c r="N21" i="1"/>
  <c r="O38" i="1"/>
  <c r="M23" i="1"/>
  <c r="P16" i="1"/>
  <c r="S16" i="1" s="1"/>
  <c r="P19" i="1"/>
  <c r="Q19" i="1" s="1"/>
  <c r="O45" i="1"/>
  <c r="N49" i="1"/>
  <c r="M14" i="1"/>
  <c r="M16" i="1"/>
  <c r="O67" i="1"/>
  <c r="P67" i="1"/>
  <c r="S67" i="1" s="1"/>
  <c r="M39" i="1"/>
  <c r="O14" i="1"/>
  <c r="M18" i="1"/>
  <c r="P33" i="1"/>
  <c r="O33" i="1"/>
  <c r="N33" i="1"/>
  <c r="N14" i="1"/>
  <c r="N18" i="1"/>
  <c r="N11" i="1"/>
  <c r="O40" i="1"/>
  <c r="P40" i="1"/>
  <c r="M40" i="1"/>
  <c r="N64" i="1"/>
  <c r="P7" i="1"/>
  <c r="S7" i="1" s="1"/>
  <c r="P22" i="1"/>
  <c r="R22" i="1" s="1"/>
  <c r="M5" i="1"/>
  <c r="O39" i="1"/>
  <c r="N39" i="1"/>
  <c r="O64" i="1"/>
  <c r="M7" i="1"/>
  <c r="M22" i="1"/>
  <c r="N5" i="1"/>
  <c r="P46" i="1"/>
  <c r="N46" i="1"/>
  <c r="M9" i="1"/>
  <c r="N9" i="1"/>
  <c r="P9" i="1"/>
  <c r="O9" i="1"/>
  <c r="N31" i="1"/>
  <c r="P31" i="1"/>
  <c r="O31" i="1"/>
  <c r="M31" i="1"/>
  <c r="O37" i="1"/>
  <c r="N37" i="1"/>
  <c r="P37" i="1"/>
  <c r="M37" i="1"/>
  <c r="S70" i="1"/>
  <c r="R70" i="1"/>
  <c r="Q70" i="1"/>
  <c r="N25" i="1"/>
  <c r="P25" i="1"/>
  <c r="O25" i="1"/>
  <c r="M25" i="1"/>
  <c r="R21" i="1" l="1"/>
  <c r="S39" i="1"/>
  <c r="S52" i="1"/>
  <c r="S56" i="1"/>
  <c r="Q56" i="1"/>
  <c r="R64" i="1"/>
  <c r="Q64" i="1"/>
  <c r="S26" i="1"/>
  <c r="R68" i="1"/>
  <c r="Q24" i="1"/>
  <c r="R17" i="1"/>
  <c r="Q57" i="1"/>
  <c r="Q69" i="1"/>
  <c r="Q72" i="1"/>
  <c r="R57" i="1"/>
  <c r="S50" i="1"/>
  <c r="Q50" i="1"/>
  <c r="Q27" i="1"/>
  <c r="R72" i="1"/>
  <c r="S21" i="1"/>
  <c r="S27" i="1"/>
  <c r="Q26" i="1"/>
  <c r="R24" i="1"/>
  <c r="R14" i="1"/>
  <c r="S14" i="1"/>
  <c r="S68" i="1"/>
  <c r="R69" i="1"/>
  <c r="R10" i="1"/>
  <c r="S10" i="1"/>
  <c r="Q44" i="1"/>
  <c r="S17" i="1"/>
  <c r="S44" i="1"/>
  <c r="R35" i="1"/>
  <c r="R41" i="1"/>
  <c r="Q61" i="1"/>
  <c r="S61" i="1"/>
  <c r="S41" i="1"/>
  <c r="Q35" i="1"/>
  <c r="S38" i="1"/>
  <c r="Q39" i="1"/>
  <c r="Q52" i="1"/>
  <c r="S58" i="1"/>
  <c r="Q58" i="1"/>
  <c r="R58" i="1"/>
  <c r="R4" i="1"/>
  <c r="S4" i="1"/>
  <c r="Q4" i="1"/>
  <c r="R38" i="1"/>
  <c r="R34" i="1"/>
  <c r="Q34" i="1"/>
  <c r="Q13" i="1"/>
  <c r="S13" i="1"/>
  <c r="Q53" i="1"/>
  <c r="S30" i="1"/>
  <c r="R3" i="1"/>
  <c r="Q71" i="1"/>
  <c r="Q20" i="1"/>
  <c r="R20" i="1"/>
  <c r="Q3" i="1"/>
  <c r="Q59" i="1"/>
  <c r="S59" i="1"/>
  <c r="S71" i="1"/>
  <c r="R53" i="1"/>
  <c r="S65" i="1"/>
  <c r="R62" i="1"/>
  <c r="Q62" i="1"/>
  <c r="Q65" i="1"/>
  <c r="Q60" i="1"/>
  <c r="R18" i="1"/>
  <c r="R12" i="1"/>
  <c r="Q30" i="1"/>
  <c r="S12" i="1"/>
  <c r="Q66" i="1"/>
  <c r="S32" i="1"/>
  <c r="R32" i="1"/>
  <c r="S29" i="1"/>
  <c r="Q54" i="1"/>
  <c r="S55" i="1"/>
  <c r="Q55" i="1"/>
  <c r="Q67" i="1"/>
  <c r="Q36" i="1"/>
  <c r="Q8" i="1"/>
  <c r="R36" i="1"/>
  <c r="Q48" i="1"/>
  <c r="R54" i="1"/>
  <c r="S28" i="1"/>
  <c r="Q51" i="1"/>
  <c r="R48" i="1"/>
  <c r="R45" i="1"/>
  <c r="S47" i="1"/>
  <c r="Q5" i="1"/>
  <c r="S63" i="1"/>
  <c r="S5" i="1"/>
  <c r="Q28" i="1"/>
  <c r="R8" i="1"/>
  <c r="Q29" i="1"/>
  <c r="Q47" i="1"/>
  <c r="R23" i="1"/>
  <c r="R60" i="1"/>
  <c r="R66" i="1"/>
  <c r="R67" i="1"/>
  <c r="S42" i="1"/>
  <c r="Q11" i="1"/>
  <c r="R42" i="1"/>
  <c r="R11" i="1"/>
  <c r="R19" i="1"/>
  <c r="R51" i="1"/>
  <c r="S6" i="1"/>
  <c r="Q16" i="1"/>
  <c r="S43" i="1"/>
  <c r="Q6" i="1"/>
  <c r="Q43" i="1"/>
  <c r="R7" i="1"/>
  <c r="R16" i="1"/>
  <c r="S23" i="1"/>
  <c r="S18" i="1"/>
  <c r="S49" i="1"/>
  <c r="Q45" i="1"/>
  <c r="Q7" i="1"/>
  <c r="Q49" i="1"/>
  <c r="Q63" i="1"/>
  <c r="S19" i="1"/>
  <c r="R15" i="1"/>
  <c r="S15" i="1"/>
  <c r="Q15" i="1"/>
  <c r="S22" i="1"/>
  <c r="S46" i="1"/>
  <c r="R46" i="1"/>
  <c r="Q46" i="1"/>
  <c r="Q22" i="1"/>
  <c r="R40" i="1"/>
  <c r="S40" i="1"/>
  <c r="Q40" i="1"/>
  <c r="R33" i="1"/>
  <c r="Q33" i="1"/>
  <c r="S33" i="1"/>
  <c r="R31" i="1"/>
  <c r="Q31" i="1"/>
  <c r="S31" i="1"/>
  <c r="R9" i="1"/>
  <c r="S9" i="1"/>
  <c r="Q9" i="1"/>
  <c r="R25" i="1"/>
  <c r="S25" i="1"/>
  <c r="Q25" i="1"/>
  <c r="R37" i="1"/>
  <c r="S37" i="1"/>
  <c r="Q37" i="1"/>
  <c r="O16" i="7" l="1"/>
  <c r="O15" i="7"/>
  <c r="O14" i="7"/>
  <c r="O13" i="7"/>
  <c r="O12" i="7"/>
  <c r="O11" i="7"/>
  <c r="O10" i="7"/>
  <c r="O8" i="7"/>
  <c r="N8" i="7"/>
  <c r="N10" i="7"/>
  <c r="N11" i="7"/>
  <c r="N12" i="7"/>
  <c r="N13" i="7"/>
  <c r="N14" i="7"/>
  <c r="N15" i="7"/>
  <c r="N16" i="7"/>
  <c r="K22" i="5" l="1"/>
  <c r="K21" i="5"/>
  <c r="K19" i="5"/>
  <c r="K18" i="5"/>
  <c r="K16" i="5"/>
  <c r="K15" i="5"/>
  <c r="K14" i="5"/>
</calcChain>
</file>

<file path=xl/sharedStrings.xml><?xml version="1.0" encoding="utf-8"?>
<sst xmlns="http://schemas.openxmlformats.org/spreadsheetml/2006/main" count="360" uniqueCount="180">
  <si>
    <t>Этаж</t>
  </si>
  <si>
    <t>Номер</t>
  </si>
  <si>
    <t>Площадь</t>
  </si>
  <si>
    <t>Площадь мин</t>
  </si>
  <si>
    <t>Площадь сред.</t>
  </si>
  <si>
    <t>Площадь макс.</t>
  </si>
  <si>
    <t>Тип маркетинговый</t>
  </si>
  <si>
    <t>Удорожание тип</t>
  </si>
  <si>
    <t>Удорожание этаж</t>
  </si>
  <si>
    <t>Цена итого</t>
  </si>
  <si>
    <t>Цена мин</t>
  </si>
  <si>
    <t>Цена сред</t>
  </si>
  <si>
    <t>Цена макс</t>
  </si>
  <si>
    <t>Сумма</t>
  </si>
  <si>
    <t>студия</t>
  </si>
  <si>
    <t xml:space="preserve">Удорожание </t>
  </si>
  <si>
    <t>Тип</t>
  </si>
  <si>
    <t>Студия</t>
  </si>
  <si>
    <t>Студия смарт</t>
  </si>
  <si>
    <t>1к</t>
  </si>
  <si>
    <t>1к стандарт</t>
  </si>
  <si>
    <t>2к смарт</t>
  </si>
  <si>
    <t>студия смарт</t>
  </si>
  <si>
    <t>Названия строк</t>
  </si>
  <si>
    <t>Общий итог</t>
  </si>
  <si>
    <t>Количество по полю Номер</t>
  </si>
  <si>
    <t>Сумма мин</t>
  </si>
  <si>
    <t>Сумма сред</t>
  </si>
  <si>
    <t>Сумма макс</t>
  </si>
  <si>
    <t>Сумма по полю Площадь</t>
  </si>
  <si>
    <t>Среднее по полю Площадь сред.</t>
  </si>
  <si>
    <t>Минимум по полю Цена мин</t>
  </si>
  <si>
    <t>Максимум по полю Цена сред</t>
  </si>
  <si>
    <t>Сумма по полю Сумма</t>
  </si>
  <si>
    <t>Минимум по полю Сумма мин</t>
  </si>
  <si>
    <t>Среднее по полю Сумма сред</t>
  </si>
  <si>
    <t>Максимум по полю Сумма макс</t>
  </si>
  <si>
    <t>Тип квартир</t>
  </si>
  <si>
    <t>Количество квартир</t>
  </si>
  <si>
    <t>Площадь квартир</t>
  </si>
  <si>
    <t>Средняя площадь квартир</t>
  </si>
  <si>
    <t>Минимальная цена</t>
  </si>
  <si>
    <t>Максимальная цена</t>
  </si>
  <si>
    <t>Стоимость</t>
  </si>
  <si>
    <t>Минимальная стоимость</t>
  </si>
  <si>
    <t>Средняя стоимость</t>
  </si>
  <si>
    <t>Максимальная стоимость</t>
  </si>
  <si>
    <t>Средняя цена</t>
  </si>
  <si>
    <t>Базовая цена</t>
  </si>
  <si>
    <t>Студия восток</t>
  </si>
  <si>
    <t>студия запад</t>
  </si>
  <si>
    <t>1к восток</t>
  </si>
  <si>
    <t>Хрустальные ключи дом 5.1</t>
  </si>
  <si>
    <t>Хрустальные ключи дом 3Б (остаток на 10.09)</t>
  </si>
  <si>
    <t>175 (1)</t>
  </si>
  <si>
    <t xml:space="preserve">1к </t>
  </si>
  <si>
    <t>178 (13)</t>
  </si>
  <si>
    <t>2к</t>
  </si>
  <si>
    <t>122 (32)</t>
  </si>
  <si>
    <t>Светлый дом 8</t>
  </si>
  <si>
    <t xml:space="preserve">Студия </t>
  </si>
  <si>
    <t>1К</t>
  </si>
  <si>
    <t>Светлый дом 9</t>
  </si>
  <si>
    <t>1 комнатная квартира</t>
  </si>
  <si>
    <t>2х комнатная квартира</t>
  </si>
  <si>
    <t>2к евро</t>
  </si>
  <si>
    <t>Нежилое помещение для велосипедов</t>
  </si>
  <si>
    <t>Объект строительства</t>
  </si>
  <si>
    <t>Всего</t>
  </si>
  <si>
    <t>Продано (с учетом расторжений и корректировок)</t>
  </si>
  <si>
    <t>Остатки</t>
  </si>
  <si>
    <t>Объект недвижимости.Вид номенклатуры</t>
  </si>
  <si>
    <t>Площадь, кв.м.</t>
  </si>
  <si>
    <t>Сумма, руб.</t>
  </si>
  <si>
    <t>Объектов, шт.</t>
  </si>
  <si>
    <t>Объект недвижимости.Планировка</t>
  </si>
  <si>
    <t>Меридиан, дом 6</t>
  </si>
  <si>
    <t>Квартира</t>
  </si>
  <si>
    <t>1 комнатная квартира смарт</t>
  </si>
  <si>
    <t>2х комнатная квартира евро</t>
  </si>
  <si>
    <t>2х комнатная квартира компакт</t>
  </si>
  <si>
    <t>2х комнатная квартира смарт</t>
  </si>
  <si>
    <t>3х комнатная квартира</t>
  </si>
  <si>
    <t>3х комнатная квартира евро</t>
  </si>
  <si>
    <t>3х комнатная квартира евро плюс</t>
  </si>
  <si>
    <t>Кладовая</t>
  </si>
  <si>
    <t>Офис</t>
  </si>
  <si>
    <t>Нежилое помещение</t>
  </si>
  <si>
    <t>Итого</t>
  </si>
  <si>
    <t>средняя площадь</t>
  </si>
  <si>
    <t>средняя стоимость</t>
  </si>
  <si>
    <t>Секция</t>
  </si>
  <si>
    <t>Комн</t>
  </si>
  <si>
    <t>StS</t>
  </si>
  <si>
    <t>Сумма по полю Средняя цена</t>
  </si>
  <si>
    <t>Проект</t>
  </si>
  <si>
    <t>Девелопер</t>
  </si>
  <si>
    <t>Корпус</t>
  </si>
  <si>
    <t>Планируемая дата ввода</t>
  </si>
  <si>
    <t>Лотов по ПД, шт.</t>
  </si>
  <si>
    <t>Площадь лотов по ПД, м²</t>
  </si>
  <si>
    <t>1</t>
  </si>
  <si>
    <t>2</t>
  </si>
  <si>
    <t>3</t>
  </si>
  <si>
    <t>Количество комнат</t>
  </si>
  <si>
    <t>Лотов в продаже, шт.</t>
  </si>
  <si>
    <t>Суммарная площадь, м²</t>
  </si>
  <si>
    <t>Суммарная стоимость, млн. ₽</t>
  </si>
  <si>
    <t>Мин. площадь, м²</t>
  </si>
  <si>
    <t>Ср. площадь, м²</t>
  </si>
  <si>
    <t>Макс. площадь, м²</t>
  </si>
  <si>
    <t>Ср. цена за м², тыс. ₽</t>
  </si>
  <si>
    <t>Мин. цена, млн. ₽</t>
  </si>
  <si>
    <t>Ср. цена, млн. ₽</t>
  </si>
  <si>
    <t>Макс. цена, млн. ₽</t>
  </si>
  <si>
    <t>1-комнатные</t>
  </si>
  <si>
    <t xml:space="preserve">3х-комнатные </t>
  </si>
  <si>
    <t>2х-комнатные</t>
  </si>
  <si>
    <t xml:space="preserve">Средняя площадь </t>
  </si>
  <si>
    <t xml:space="preserve">Общая площадь </t>
  </si>
  <si>
    <t>Общее кол-во</t>
  </si>
  <si>
    <t>Изумрудный бор</t>
  </si>
  <si>
    <t>УГМК-Застройщик</t>
  </si>
  <si>
    <t>Парк  Победы</t>
  </si>
  <si>
    <t>PRINZIP</t>
  </si>
  <si>
    <t>2 (Секция 3)</t>
  </si>
  <si>
    <t>2 (Секция 4)</t>
  </si>
  <si>
    <t>2 (Секция 5)</t>
  </si>
  <si>
    <t>4+</t>
  </si>
  <si>
    <t>Доминанта</t>
  </si>
  <si>
    <t>Холдинг Форум-групп</t>
  </si>
  <si>
    <t>Северное Сияние</t>
  </si>
  <si>
    <t>Атомстройкомплекс</t>
  </si>
  <si>
    <t>1 (1 этап)</t>
  </si>
  <si>
    <t>1 (очередь VII)</t>
  </si>
  <si>
    <t>3 (очередь VII)</t>
  </si>
  <si>
    <t>4 (очередь VI)</t>
  </si>
  <si>
    <t xml:space="preserve">4х-комнатные </t>
  </si>
  <si>
    <t>Базовые показатели
Банников дом</t>
  </si>
  <si>
    <t>2A</t>
  </si>
  <si>
    <t>2B</t>
  </si>
  <si>
    <t>2C</t>
  </si>
  <si>
    <t>2D</t>
  </si>
  <si>
    <t>2E</t>
  </si>
  <si>
    <t>2F</t>
  </si>
  <si>
    <t>2H</t>
  </si>
  <si>
    <t>угловая, много окон и света</t>
  </si>
  <si>
    <t>мастер-спальня</t>
  </si>
  <si>
    <t>балкон, мастер-спальня</t>
  </si>
  <si>
    <t>План 3 этажа</t>
  </si>
  <si>
    <t>балкон</t>
  </si>
  <si>
    <t>Причина удорожания</t>
  </si>
  <si>
    <t>3A</t>
  </si>
  <si>
    <t>3B</t>
  </si>
  <si>
    <t>3C</t>
  </si>
  <si>
    <t>3D</t>
  </si>
  <si>
    <t>2K</t>
  </si>
  <si>
    <t>1A</t>
  </si>
  <si>
    <t>1B</t>
  </si>
  <si>
    <t>Базовая стоимость квартир
Банников дом</t>
  </si>
  <si>
    <t>4A</t>
  </si>
  <si>
    <t>мастер-спальня, небольшая площадь</t>
  </si>
  <si>
    <t>3Aa</t>
  </si>
  <si>
    <t>Признак удорожания</t>
  </si>
  <si>
    <t>Удорожание</t>
  </si>
  <si>
    <t>окна на две стороны дома, мастер-спальня, большая площадь</t>
  </si>
  <si>
    <t>угловая, окон меньше, чем в 2A, больше площадь</t>
  </si>
  <si>
    <t>угловая, балкон, мастер-спальня, большая площадь</t>
  </si>
  <si>
    <t>окна на две стороны, небольшая площадь</t>
  </si>
  <si>
    <t>окна на две стороны, балкон, мастер-спальня</t>
  </si>
  <si>
    <t>аналог 3А с меньшей площадью</t>
  </si>
  <si>
    <t>кладовая</t>
  </si>
  <si>
    <t>Банников дом</t>
  </si>
  <si>
    <t>R1</t>
  </si>
  <si>
    <t>1 дом</t>
  </si>
  <si>
    <t>-</t>
  </si>
  <si>
    <t>4</t>
  </si>
  <si>
    <t>Общее по проектам (без Банникова дома)</t>
  </si>
  <si>
    <t>разница в площади</t>
  </si>
  <si>
    <t>План 7 этажа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</si>
</sst>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\ _₽_-;\-* #,##0\ _₽_-;_-* &quot;-&quot;??\ _₽_-;_-@_-"/>
    <numFmt numFmtId="166" formatCode="_-* #,##0.0\ _₽_-;\-* #,##0.0\ _₽_-;_-* &quot;-&quot;??\ _₽_-;_-@_-"/>
    <numFmt numFmtId="167" formatCode="0.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4"/>
      <color theme="0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2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22"/>
      <color theme="0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indexed="64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0" fontId="14" fillId="0" borderId="0"/>
    <xf numFmtId="0" fontId="15" fillId="0" borderId="0"/>
  </cellStyleXfs>
  <cellXfs count="256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0" borderId="0" xfId="1" applyNumberFormat="1" applyFont="1"/>
    <xf numFmtId="0" fontId="0" fillId="5" borderId="1" xfId="0" applyFont="1" applyFill="1" applyBorder="1" applyAlignment="1">
      <alignment wrapText="1"/>
    </xf>
    <xf numFmtId="165" fontId="0" fillId="8" borderId="1" xfId="1" applyNumberFormat="1" applyFont="1" applyFill="1" applyBorder="1"/>
    <xf numFmtId="165" fontId="0" fillId="11" borderId="1" xfId="1" applyNumberFormat="1" applyFont="1" applyFill="1" applyBorder="1"/>
    <xf numFmtId="165" fontId="0" fillId="11" borderId="16" xfId="1" applyNumberFormat="1" applyFont="1" applyFill="1" applyBorder="1"/>
    <xf numFmtId="165" fontId="0" fillId="8" borderId="16" xfId="1" applyNumberFormat="1" applyFont="1" applyFill="1" applyBorder="1"/>
    <xf numFmtId="3" fontId="7" fillId="6" borderId="5" xfId="0" applyNumberFormat="1" applyFont="1" applyFill="1" applyBorder="1" applyAlignment="1">
      <alignment horizontal="center" vertical="center" wrapText="1"/>
    </xf>
    <xf numFmtId="3" fontId="7" fillId="6" borderId="6" xfId="0" applyNumberFormat="1" applyFont="1" applyFill="1" applyBorder="1" applyAlignment="1">
      <alignment horizontal="center" vertical="center" wrapText="1"/>
    </xf>
    <xf numFmtId="3" fontId="7" fillId="6" borderId="15" xfId="0" applyNumberFormat="1" applyFont="1" applyFill="1" applyBorder="1" applyAlignment="1">
      <alignment horizontal="center" vertical="center" wrapText="1"/>
    </xf>
    <xf numFmtId="0" fontId="0" fillId="11" borderId="19" xfId="0" applyFill="1" applyBorder="1"/>
    <xf numFmtId="0" fontId="0" fillId="11" borderId="20" xfId="0" applyFill="1" applyBorder="1" applyAlignment="1">
      <alignment horizontal="center"/>
    </xf>
    <xf numFmtId="165" fontId="0" fillId="11" borderId="21" xfId="1" applyNumberFormat="1" applyFont="1" applyFill="1" applyBorder="1"/>
    <xf numFmtId="165" fontId="0" fillId="11" borderId="22" xfId="1" applyNumberFormat="1" applyFont="1" applyFill="1" applyBorder="1"/>
    <xf numFmtId="0" fontId="0" fillId="11" borderId="23" xfId="0" applyFill="1" applyBorder="1"/>
    <xf numFmtId="0" fontId="0" fillId="11" borderId="3" xfId="0" applyFill="1" applyBorder="1" applyAlignment="1">
      <alignment horizontal="center"/>
    </xf>
    <xf numFmtId="0" fontId="0" fillId="8" borderId="23" xfId="0" applyFill="1" applyBorder="1"/>
    <xf numFmtId="0" fontId="0" fillId="8" borderId="3" xfId="0" applyFill="1" applyBorder="1" applyAlignment="1">
      <alignment horizontal="center"/>
    </xf>
    <xf numFmtId="0" fontId="0" fillId="8" borderId="24" xfId="0" applyFill="1" applyBorder="1"/>
    <xf numFmtId="0" fontId="0" fillId="8" borderId="18" xfId="0" applyFill="1" applyBorder="1" applyAlignment="1">
      <alignment horizontal="center"/>
    </xf>
    <xf numFmtId="165" fontId="0" fillId="8" borderId="2" xfId="1" applyNumberFormat="1" applyFont="1" applyFill="1" applyBorder="1"/>
    <xf numFmtId="165" fontId="0" fillId="8" borderId="17" xfId="1" applyNumberFormat="1" applyFont="1" applyFill="1" applyBorder="1"/>
    <xf numFmtId="0" fontId="0" fillId="7" borderId="24" xfId="0" applyFill="1" applyBorder="1"/>
    <xf numFmtId="0" fontId="0" fillId="7" borderId="18" xfId="0" applyFill="1" applyBorder="1" applyAlignment="1">
      <alignment horizontal="center"/>
    </xf>
    <xf numFmtId="165" fontId="0" fillId="7" borderId="2" xfId="1" applyNumberFormat="1" applyFont="1" applyFill="1" applyBorder="1"/>
    <xf numFmtId="165" fontId="0" fillId="7" borderId="17" xfId="1" applyNumberFormat="1" applyFont="1" applyFill="1" applyBorder="1"/>
    <xf numFmtId="0" fontId="2" fillId="11" borderId="25" xfId="0" applyFont="1" applyFill="1" applyBorder="1" applyAlignment="1">
      <alignment horizontal="left"/>
    </xf>
    <xf numFmtId="0" fontId="0" fillId="3" borderId="26" xfId="0" applyFill="1" applyBorder="1" applyAlignment="1">
      <alignment horizontal="center"/>
    </xf>
    <xf numFmtId="165" fontId="0" fillId="3" borderId="27" xfId="1" applyNumberFormat="1" applyFon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165" fontId="0" fillId="3" borderId="27" xfId="1" applyNumberFormat="1" applyFont="1" applyFill="1" applyBorder="1"/>
    <xf numFmtId="165" fontId="0" fillId="3" borderId="28" xfId="0" applyNumberFormat="1" applyFill="1" applyBorder="1"/>
    <xf numFmtId="0" fontId="2" fillId="11" borderId="29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65" fontId="0" fillId="3" borderId="32" xfId="1" applyNumberFormat="1" applyFont="1" applyFill="1" applyBorder="1" applyAlignment="1">
      <alignment horizontal="center"/>
    </xf>
    <xf numFmtId="1" fontId="0" fillId="3" borderId="32" xfId="0" applyNumberFormat="1" applyFill="1" applyBorder="1" applyAlignment="1">
      <alignment horizontal="center"/>
    </xf>
    <xf numFmtId="165" fontId="0" fillId="3" borderId="32" xfId="1" applyNumberFormat="1" applyFont="1" applyFill="1" applyBorder="1"/>
    <xf numFmtId="0" fontId="2" fillId="11" borderId="33" xfId="0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165" fontId="0" fillId="3" borderId="35" xfId="1" applyNumberFormat="1" applyFont="1" applyFill="1" applyBorder="1" applyAlignment="1">
      <alignment horizontal="center"/>
    </xf>
    <xf numFmtId="1" fontId="0" fillId="3" borderId="35" xfId="0" applyNumberFormat="1" applyFill="1" applyBorder="1" applyAlignment="1">
      <alignment horizontal="center"/>
    </xf>
    <xf numFmtId="165" fontId="0" fillId="3" borderId="35" xfId="1" applyNumberFormat="1" applyFont="1" applyFill="1" applyBorder="1"/>
    <xf numFmtId="165" fontId="0" fillId="3" borderId="36" xfId="0" applyNumberFormat="1" applyFill="1" applyBorder="1"/>
    <xf numFmtId="0" fontId="2" fillId="8" borderId="37" xfId="0" applyFont="1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165" fontId="0" fillId="3" borderId="39" xfId="1" applyNumberFormat="1" applyFont="1" applyFill="1" applyBorder="1" applyAlignment="1">
      <alignment horizontal="center"/>
    </xf>
    <xf numFmtId="1" fontId="0" fillId="3" borderId="39" xfId="0" applyNumberFormat="1" applyFill="1" applyBorder="1" applyAlignment="1">
      <alignment horizontal="center"/>
    </xf>
    <xf numFmtId="165" fontId="0" fillId="3" borderId="39" xfId="1" applyNumberFormat="1" applyFont="1" applyFill="1" applyBorder="1"/>
    <xf numFmtId="165" fontId="0" fillId="3" borderId="40" xfId="0" applyNumberFormat="1" applyFill="1" applyBorder="1"/>
    <xf numFmtId="165" fontId="0" fillId="0" borderId="0" xfId="0" applyNumberFormat="1"/>
    <xf numFmtId="0" fontId="0" fillId="3" borderId="0" xfId="0" applyFill="1"/>
    <xf numFmtId="0" fontId="8" fillId="0" borderId="0" xfId="0" applyFont="1"/>
    <xf numFmtId="0" fontId="10" fillId="14" borderId="44" xfId="2" applyNumberFormat="1" applyFont="1" applyFill="1" applyBorder="1" applyAlignment="1">
      <alignment vertical="top" wrapText="1"/>
    </xf>
    <xf numFmtId="0" fontId="11" fillId="15" borderId="44" xfId="2" applyNumberFormat="1" applyFont="1" applyFill="1" applyBorder="1" applyAlignment="1">
      <alignment vertical="top" wrapText="1"/>
    </xf>
    <xf numFmtId="4" fontId="11" fillId="15" borderId="44" xfId="2" applyNumberFormat="1" applyFont="1" applyFill="1" applyBorder="1" applyAlignment="1">
      <alignment horizontal="right" vertical="top"/>
    </xf>
    <xf numFmtId="1" fontId="11" fillId="15" borderId="44" xfId="2" applyNumberFormat="1" applyFont="1" applyFill="1" applyBorder="1" applyAlignment="1">
      <alignment horizontal="right" vertical="top"/>
    </xf>
    <xf numFmtId="2" fontId="11" fillId="15" borderId="44" xfId="2" applyNumberFormat="1" applyFont="1" applyFill="1" applyBorder="1" applyAlignment="1">
      <alignment horizontal="right" vertical="top"/>
    </xf>
    <xf numFmtId="0" fontId="11" fillId="16" borderId="44" xfId="2" applyNumberFormat="1" applyFont="1" applyFill="1" applyBorder="1" applyAlignment="1">
      <alignment vertical="top" wrapText="1" indent="2"/>
    </xf>
    <xf numFmtId="4" fontId="11" fillId="16" borderId="44" xfId="2" applyNumberFormat="1" applyFont="1" applyFill="1" applyBorder="1" applyAlignment="1">
      <alignment horizontal="right" vertical="top"/>
    </xf>
    <xf numFmtId="1" fontId="11" fillId="16" borderId="44" xfId="2" applyNumberFormat="1" applyFont="1" applyFill="1" applyBorder="1" applyAlignment="1">
      <alignment horizontal="right" vertical="top"/>
    </xf>
    <xf numFmtId="2" fontId="11" fillId="16" borderId="44" xfId="2" applyNumberFormat="1" applyFont="1" applyFill="1" applyBorder="1" applyAlignment="1">
      <alignment horizontal="right" vertical="top"/>
    </xf>
    <xf numFmtId="0" fontId="9" fillId="0" borderId="44" xfId="2" applyNumberFormat="1" applyFont="1" applyBorder="1" applyAlignment="1">
      <alignment vertical="top" wrapText="1" indent="4"/>
    </xf>
    <xf numFmtId="4" fontId="9" fillId="0" borderId="44" xfId="2" applyNumberFormat="1" applyFont="1" applyBorder="1" applyAlignment="1">
      <alignment horizontal="right" vertical="top"/>
    </xf>
    <xf numFmtId="1" fontId="9" fillId="0" borderId="44" xfId="2" applyNumberFormat="1" applyFont="1" applyBorder="1" applyAlignment="1">
      <alignment horizontal="right" vertical="top"/>
    </xf>
    <xf numFmtId="2" fontId="9" fillId="0" borderId="44" xfId="2" applyNumberFormat="1" applyFont="1" applyBorder="1" applyAlignment="1">
      <alignment horizontal="right" vertical="top"/>
    </xf>
    <xf numFmtId="0" fontId="9" fillId="0" borderId="44" xfId="2" applyNumberFormat="1" applyFont="1" applyBorder="1" applyAlignment="1">
      <alignment horizontal="right" vertical="top"/>
    </xf>
    <xf numFmtId="0" fontId="11" fillId="16" borderId="44" xfId="2" applyNumberFormat="1" applyFont="1" applyFill="1" applyBorder="1" applyAlignment="1">
      <alignment horizontal="right" vertical="top"/>
    </xf>
    <xf numFmtId="0" fontId="10" fillId="14" borderId="44" xfId="2" applyNumberFormat="1" applyFont="1" applyFill="1" applyBorder="1" applyAlignment="1">
      <alignment vertical="top"/>
    </xf>
    <xf numFmtId="4" fontId="10" fillId="14" borderId="44" xfId="2" applyNumberFormat="1" applyFont="1" applyFill="1" applyBorder="1" applyAlignment="1">
      <alignment horizontal="right" vertical="top"/>
    </xf>
    <xf numFmtId="1" fontId="10" fillId="14" borderId="44" xfId="2" applyNumberFormat="1" applyFont="1" applyFill="1" applyBorder="1" applyAlignment="1">
      <alignment horizontal="right" vertical="top"/>
    </xf>
    <xf numFmtId="2" fontId="10" fillId="14" borderId="44" xfId="2" applyNumberFormat="1" applyFont="1" applyFill="1" applyBorder="1" applyAlignment="1">
      <alignment horizontal="right" vertical="top"/>
    </xf>
    <xf numFmtId="3" fontId="9" fillId="0" borderId="44" xfId="2" applyNumberFormat="1" applyFont="1" applyBorder="1" applyAlignment="1">
      <alignment horizontal="right" vertical="top"/>
    </xf>
    <xf numFmtId="165" fontId="0" fillId="3" borderId="0" xfId="1" applyNumberFormat="1" applyFont="1" applyFill="1" applyBorder="1"/>
    <xf numFmtId="0" fontId="6" fillId="3" borderId="0" xfId="0" applyFont="1" applyFill="1" applyAlignment="1">
      <alignment horizontal="center" vertical="center" wrapText="1"/>
    </xf>
    <xf numFmtId="3" fontId="4" fillId="3" borderId="48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165" fontId="2" fillId="3" borderId="0" xfId="1" applyNumberFormat="1" applyFont="1" applyFill="1" applyBorder="1"/>
    <xf numFmtId="165" fontId="12" fillId="3" borderId="0" xfId="1" applyNumberFormat="1" applyFont="1" applyFill="1" applyBorder="1"/>
    <xf numFmtId="0" fontId="0" fillId="0" borderId="0" xfId="0" applyFill="1"/>
    <xf numFmtId="0" fontId="0" fillId="0" borderId="1" xfId="0" applyNumberFormat="1" applyBorder="1"/>
    <xf numFmtId="49" fontId="0" fillId="0" borderId="0" xfId="0" applyNumberFormat="1"/>
    <xf numFmtId="0" fontId="0" fillId="0" borderId="0" xfId="0" applyAlignment="1">
      <alignment wrapText="1"/>
    </xf>
    <xf numFmtId="165" fontId="0" fillId="0" borderId="1" xfId="1" applyNumberFormat="1" applyFont="1" applyBorder="1" applyAlignment="1">
      <alignment horizontal="center" vertical="center" wrapText="1"/>
    </xf>
    <xf numFmtId="165" fontId="1" fillId="3" borderId="0" xfId="1" applyNumberFormat="1" applyFont="1" applyFill="1" applyBorder="1"/>
    <xf numFmtId="0" fontId="0" fillId="2" borderId="1" xfId="0" applyFill="1" applyBorder="1" applyAlignment="1">
      <alignment horizontal="center"/>
    </xf>
    <xf numFmtId="0" fontId="15" fillId="0" borderId="0" xfId="4"/>
    <xf numFmtId="0" fontId="15" fillId="0" borderId="0" xfId="4" applyAlignment="1">
      <alignment wrapText="1"/>
    </xf>
    <xf numFmtId="0" fontId="0" fillId="8" borderId="1" xfId="0" applyFill="1" applyBorder="1"/>
    <xf numFmtId="0" fontId="0" fillId="11" borderId="1" xfId="0" applyFill="1" applyBorder="1"/>
    <xf numFmtId="0" fontId="0" fillId="7" borderId="1" xfId="0" applyFill="1" applyBorder="1"/>
    <xf numFmtId="49" fontId="15" fillId="11" borderId="1" xfId="4" applyNumberFormat="1" applyFill="1" applyBorder="1"/>
    <xf numFmtId="0" fontId="15" fillId="19" borderId="0" xfId="4" applyFill="1"/>
    <xf numFmtId="0" fontId="15" fillId="20" borderId="0" xfId="4" applyFill="1"/>
    <xf numFmtId="0" fontId="15" fillId="0" borderId="1" xfId="4" applyNumberFormat="1" applyBorder="1" applyAlignment="1">
      <alignment vertical="center" wrapText="1"/>
    </xf>
    <xf numFmtId="0" fontId="15" fillId="18" borderId="1" xfId="4" applyNumberFormat="1" applyFill="1" applyBorder="1"/>
    <xf numFmtId="0" fontId="15" fillId="18" borderId="1" xfId="1" applyNumberFormat="1" applyFont="1" applyFill="1" applyBorder="1" applyAlignment="1">
      <alignment horizontal="center"/>
    </xf>
    <xf numFmtId="0" fontId="15" fillId="11" borderId="1" xfId="4" applyNumberFormat="1" applyFill="1" applyBorder="1"/>
    <xf numFmtId="0" fontId="15" fillId="11" borderId="1" xfId="1" applyNumberFormat="1" applyFont="1" applyFill="1" applyBorder="1" applyAlignment="1">
      <alignment horizontal="center"/>
    </xf>
    <xf numFmtId="0" fontId="16" fillId="12" borderId="1" xfId="4" applyNumberFormat="1" applyFont="1" applyFill="1" applyBorder="1"/>
    <xf numFmtId="167" fontId="16" fillId="12" borderId="1" xfId="4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15" fillId="18" borderId="1" xfId="4" applyNumberFormat="1" applyFill="1" applyBorder="1" applyAlignment="1">
      <alignment horizontal="center" vertical="center"/>
    </xf>
    <xf numFmtId="0" fontId="0" fillId="0" borderId="1" xfId="0" applyNumberFormat="1" applyFill="1" applyBorder="1"/>
    <xf numFmtId="0" fontId="15" fillId="18" borderId="1" xfId="4" applyNumberFormat="1" applyFill="1" applyBorder="1" applyAlignment="1">
      <alignment horizontal="center"/>
    </xf>
    <xf numFmtId="49" fontId="15" fillId="18" borderId="1" xfId="4" applyNumberFormat="1" applyFill="1" applyBorder="1"/>
    <xf numFmtId="49" fontId="16" fillId="12" borderId="1" xfId="4" applyNumberFormat="1" applyFont="1" applyFill="1" applyBorder="1"/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applyFill="1" applyBorder="1"/>
    <xf numFmtId="0" fontId="0" fillId="0" borderId="0" xfId="0" applyBorder="1"/>
    <xf numFmtId="1" fontId="15" fillId="18" borderId="1" xfId="1" applyNumberFormat="1" applyFont="1" applyFill="1" applyBorder="1" applyAlignment="1">
      <alignment horizontal="center"/>
    </xf>
    <xf numFmtId="1" fontId="15" fillId="11" borderId="1" xfId="1" applyNumberFormat="1" applyFont="1" applyFill="1" applyBorder="1" applyAlignment="1">
      <alignment horizontal="center"/>
    </xf>
    <xf numFmtId="167" fontId="15" fillId="18" borderId="1" xfId="1" applyNumberFormat="1" applyFont="1" applyFill="1" applyBorder="1" applyAlignment="1">
      <alignment horizontal="center"/>
    </xf>
    <xf numFmtId="167" fontId="15" fillId="11" borderId="1" xfId="1" applyNumberFormat="1" applyFont="1" applyFill="1" applyBorder="1" applyAlignment="1">
      <alignment horizontal="center"/>
    </xf>
    <xf numFmtId="2" fontId="15" fillId="18" borderId="1" xfId="1" applyNumberFormat="1" applyFont="1" applyFill="1" applyBorder="1" applyAlignment="1">
      <alignment horizontal="center"/>
    </xf>
    <xf numFmtId="2" fontId="15" fillId="11" borderId="1" xfId="1" applyNumberFormat="1" applyFont="1" applyFill="1" applyBorder="1" applyAlignment="1">
      <alignment horizontal="center"/>
    </xf>
    <xf numFmtId="2" fontId="16" fillId="12" borderId="1" xfId="4" applyNumberFormat="1" applyFont="1" applyFill="1" applyBorder="1" applyAlignment="1">
      <alignment horizontal="center"/>
    </xf>
    <xf numFmtId="0" fontId="17" fillId="0" borderId="0" xfId="0" applyFont="1"/>
    <xf numFmtId="165" fontId="17" fillId="0" borderId="54" xfId="1" applyNumberFormat="1" applyFont="1" applyBorder="1"/>
    <xf numFmtId="165" fontId="17" fillId="0" borderId="55" xfId="1" applyNumberFormat="1" applyFont="1" applyBorder="1"/>
    <xf numFmtId="166" fontId="17" fillId="0" borderId="55" xfId="1" applyNumberFormat="1" applyFont="1" applyBorder="1"/>
    <xf numFmtId="165" fontId="17" fillId="0" borderId="1" xfId="1" applyNumberFormat="1" applyFont="1" applyBorder="1"/>
    <xf numFmtId="165" fontId="17" fillId="0" borderId="16" xfId="1" applyNumberFormat="1" applyFont="1" applyBorder="1"/>
    <xf numFmtId="165" fontId="17" fillId="0" borderId="51" xfId="1" applyNumberFormat="1" applyFont="1" applyBorder="1"/>
    <xf numFmtId="165" fontId="17" fillId="0" borderId="52" xfId="1" applyNumberFormat="1" applyFont="1" applyBorder="1"/>
    <xf numFmtId="165" fontId="17" fillId="0" borderId="53" xfId="1" applyNumberFormat="1" applyFont="1" applyBorder="1"/>
    <xf numFmtId="166" fontId="17" fillId="0" borderId="58" xfId="1" applyNumberFormat="1" applyFont="1" applyBorder="1"/>
    <xf numFmtId="165" fontId="17" fillId="0" borderId="59" xfId="1" applyNumberFormat="1" applyFont="1" applyBorder="1"/>
    <xf numFmtId="3" fontId="18" fillId="6" borderId="41" xfId="0" applyNumberFormat="1" applyFont="1" applyFill="1" applyBorder="1" applyAlignment="1">
      <alignment horizontal="center" vertical="center" wrapText="1"/>
    </xf>
    <xf numFmtId="3" fontId="18" fillId="6" borderId="42" xfId="0" applyNumberFormat="1" applyFont="1" applyFill="1" applyBorder="1" applyAlignment="1">
      <alignment horizontal="center" vertical="center" wrapText="1"/>
    </xf>
    <xf numFmtId="3" fontId="18" fillId="6" borderId="43" xfId="0" applyNumberFormat="1" applyFont="1" applyFill="1" applyBorder="1" applyAlignment="1">
      <alignment horizontal="center" vertical="center" wrapText="1"/>
    </xf>
    <xf numFmtId="0" fontId="19" fillId="0" borderId="49" xfId="0" pivotButton="1" applyFont="1" applyBorder="1"/>
    <xf numFmtId="0" fontId="19" fillId="0" borderId="50" xfId="0" applyFont="1" applyBorder="1"/>
    <xf numFmtId="165" fontId="19" fillId="0" borderId="7" xfId="0" applyNumberFormat="1" applyFont="1" applyBorder="1"/>
    <xf numFmtId="165" fontId="19" fillId="0" borderId="8" xfId="0" applyNumberFormat="1" applyFont="1" applyBorder="1"/>
    <xf numFmtId="0" fontId="19" fillId="0" borderId="8" xfId="0" applyFont="1" applyBorder="1"/>
    <xf numFmtId="0" fontId="19" fillId="19" borderId="1" xfId="0" applyFont="1" applyFill="1" applyBorder="1" applyAlignment="1">
      <alignment horizontal="left"/>
    </xf>
    <xf numFmtId="0" fontId="19" fillId="19" borderId="1" xfId="0" applyNumberFormat="1" applyFont="1" applyFill="1" applyBorder="1"/>
    <xf numFmtId="165" fontId="19" fillId="19" borderId="1" xfId="0" applyNumberFormat="1" applyFont="1" applyFill="1" applyBorder="1"/>
    <xf numFmtId="166" fontId="19" fillId="19" borderId="1" xfId="0" applyNumberFormat="1" applyFont="1" applyFill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165" fontId="19" fillId="0" borderId="1" xfId="0" applyNumberFormat="1" applyFont="1" applyBorder="1"/>
    <xf numFmtId="166" fontId="19" fillId="0" borderId="1" xfId="0" applyNumberFormat="1" applyFont="1" applyBorder="1"/>
    <xf numFmtId="0" fontId="19" fillId="9" borderId="1" xfId="0" applyFont="1" applyFill="1" applyBorder="1" applyAlignment="1">
      <alignment horizontal="left"/>
    </xf>
    <xf numFmtId="0" fontId="19" fillId="9" borderId="1" xfId="0" applyNumberFormat="1" applyFont="1" applyFill="1" applyBorder="1"/>
    <xf numFmtId="165" fontId="19" fillId="9" borderId="1" xfId="0" applyNumberFormat="1" applyFont="1" applyFill="1" applyBorder="1"/>
    <xf numFmtId="166" fontId="19" fillId="9" borderId="1" xfId="0" applyNumberFormat="1" applyFont="1" applyFill="1" applyBorder="1"/>
    <xf numFmtId="0" fontId="19" fillId="5" borderId="1" xfId="0" applyFont="1" applyFill="1" applyBorder="1" applyAlignment="1">
      <alignment horizontal="left"/>
    </xf>
    <xf numFmtId="0" fontId="19" fillId="5" borderId="1" xfId="0" applyNumberFormat="1" applyFont="1" applyFill="1" applyBorder="1"/>
    <xf numFmtId="165" fontId="19" fillId="5" borderId="1" xfId="0" applyNumberFormat="1" applyFont="1" applyFill="1" applyBorder="1"/>
    <xf numFmtId="166" fontId="19" fillId="5" borderId="1" xfId="0" applyNumberFormat="1" applyFont="1" applyFill="1" applyBorder="1"/>
    <xf numFmtId="0" fontId="19" fillId="23" borderId="1" xfId="0" applyFont="1" applyFill="1" applyBorder="1" applyAlignment="1">
      <alignment horizontal="left"/>
    </xf>
    <xf numFmtId="0" fontId="19" fillId="23" borderId="1" xfId="0" applyNumberFormat="1" applyFont="1" applyFill="1" applyBorder="1"/>
    <xf numFmtId="165" fontId="19" fillId="23" borderId="1" xfId="0" applyNumberFormat="1" applyFont="1" applyFill="1" applyBorder="1"/>
    <xf numFmtId="166" fontId="19" fillId="23" borderId="1" xfId="0" applyNumberFormat="1" applyFont="1" applyFill="1" applyBorder="1"/>
    <xf numFmtId="0" fontId="20" fillId="17" borderId="1" xfId="0" applyFont="1" applyFill="1" applyBorder="1" applyAlignment="1">
      <alignment horizontal="left"/>
    </xf>
    <xf numFmtId="0" fontId="21" fillId="17" borderId="1" xfId="0" applyNumberFormat="1" applyFont="1" applyFill="1" applyBorder="1"/>
    <xf numFmtId="165" fontId="21" fillId="17" borderId="1" xfId="0" applyNumberFormat="1" applyFont="1" applyFill="1" applyBorder="1"/>
    <xf numFmtId="166" fontId="21" fillId="17" borderId="1" xfId="0" applyNumberFormat="1" applyFont="1" applyFill="1" applyBorder="1"/>
    <xf numFmtId="49" fontId="15" fillId="8" borderId="1" xfId="4" applyNumberFormat="1" applyFill="1" applyBorder="1"/>
    <xf numFmtId="0" fontId="15" fillId="8" borderId="1" xfId="4" applyNumberFormat="1" applyFill="1" applyBorder="1"/>
    <xf numFmtId="0" fontId="15" fillId="8" borderId="1" xfId="1" applyNumberFormat="1" applyFont="1" applyFill="1" applyBorder="1" applyAlignment="1">
      <alignment horizontal="center"/>
    </xf>
    <xf numFmtId="1" fontId="15" fillId="8" borderId="1" xfId="1" applyNumberFormat="1" applyFont="1" applyFill="1" applyBorder="1" applyAlignment="1">
      <alignment horizontal="center"/>
    </xf>
    <xf numFmtId="167" fontId="15" fillId="8" borderId="1" xfId="1" applyNumberFormat="1" applyFont="1" applyFill="1" applyBorder="1" applyAlignment="1">
      <alignment horizontal="center"/>
    </xf>
    <xf numFmtId="2" fontId="15" fillId="8" borderId="1" xfId="1" applyNumberFormat="1" applyFont="1" applyFill="1" applyBorder="1" applyAlignment="1">
      <alignment horizontal="center"/>
    </xf>
    <xf numFmtId="49" fontId="15" fillId="21" borderId="1" xfId="4" applyNumberFormat="1" applyFill="1" applyBorder="1"/>
    <xf numFmtId="0" fontId="15" fillId="21" borderId="1" xfId="4" applyNumberFormat="1" applyFill="1" applyBorder="1"/>
    <xf numFmtId="0" fontId="15" fillId="21" borderId="1" xfId="1" applyNumberFormat="1" applyFont="1" applyFill="1" applyBorder="1" applyAlignment="1">
      <alignment horizontal="center"/>
    </xf>
    <xf numFmtId="1" fontId="15" fillId="21" borderId="1" xfId="1" applyNumberFormat="1" applyFont="1" applyFill="1" applyBorder="1" applyAlignment="1">
      <alignment horizontal="center"/>
    </xf>
    <xf numFmtId="167" fontId="15" fillId="21" borderId="1" xfId="1" applyNumberFormat="1" applyFont="1" applyFill="1" applyBorder="1" applyAlignment="1">
      <alignment horizontal="center"/>
    </xf>
    <xf numFmtId="2" fontId="15" fillId="21" borderId="1" xfId="1" applyNumberFormat="1" applyFont="1" applyFill="1" applyBorder="1" applyAlignment="1">
      <alignment horizontal="center"/>
    </xf>
    <xf numFmtId="49" fontId="15" fillId="22" borderId="1" xfId="4" applyNumberFormat="1" applyFill="1" applyBorder="1"/>
    <xf numFmtId="0" fontId="15" fillId="22" borderId="1" xfId="4" applyNumberFormat="1" applyFill="1" applyBorder="1"/>
    <xf numFmtId="0" fontId="15" fillId="22" borderId="1" xfId="1" applyNumberFormat="1" applyFont="1" applyFill="1" applyBorder="1" applyAlignment="1">
      <alignment horizontal="center"/>
    </xf>
    <xf numFmtId="1" fontId="15" fillId="22" borderId="1" xfId="1" applyNumberFormat="1" applyFont="1" applyFill="1" applyBorder="1" applyAlignment="1">
      <alignment horizontal="center"/>
    </xf>
    <xf numFmtId="167" fontId="15" fillId="22" borderId="1" xfId="1" applyNumberFormat="1" applyFont="1" applyFill="1" applyBorder="1" applyAlignment="1">
      <alignment horizontal="center"/>
    </xf>
    <xf numFmtId="2" fontId="15" fillId="22" borderId="1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2" fillId="10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6" xfId="0" applyFont="1" applyFill="1" applyBorder="1" applyAlignment="1">
      <alignment horizontal="center" vertical="center" wrapText="1"/>
    </xf>
    <xf numFmtId="0" fontId="2" fillId="2" borderId="57" xfId="0" applyNumberFormat="1" applyFont="1" applyFill="1" applyBorder="1" applyAlignment="1">
      <alignment horizontal="center" vertical="center" wrapText="1"/>
    </xf>
    <xf numFmtId="0" fontId="2" fillId="2" borderId="48" xfId="0" applyNumberFormat="1" applyFont="1" applyFill="1" applyBorder="1" applyAlignment="1">
      <alignment horizontal="center" vertical="center" wrapText="1"/>
    </xf>
    <xf numFmtId="14" fontId="15" fillId="18" borderId="1" xfId="4" applyNumberFormat="1" applyFill="1" applyBorder="1" applyAlignment="1">
      <alignment horizontal="center" vertical="center"/>
    </xf>
    <xf numFmtId="0" fontId="15" fillId="11" borderId="1" xfId="4" applyNumberFormat="1" applyFill="1" applyBorder="1" applyAlignment="1">
      <alignment horizontal="center"/>
    </xf>
    <xf numFmtId="14" fontId="15" fillId="11" borderId="1" xfId="4" applyNumberFormat="1" applyFill="1" applyBorder="1" applyAlignment="1">
      <alignment horizontal="center" vertical="center"/>
    </xf>
    <xf numFmtId="0" fontId="16" fillId="12" borderId="1" xfId="4" applyNumberFormat="1" applyFont="1" applyFill="1" applyBorder="1" applyAlignment="1">
      <alignment horizontal="center"/>
    </xf>
    <xf numFmtId="0" fontId="15" fillId="8" borderId="1" xfId="4" applyNumberFormat="1" applyFill="1" applyBorder="1" applyAlignment="1">
      <alignment horizontal="center" vertical="center" wrapText="1"/>
    </xf>
    <xf numFmtId="0" fontId="15" fillId="8" borderId="1" xfId="4" applyNumberFormat="1" applyFill="1" applyBorder="1" applyAlignment="1">
      <alignment horizontal="center" vertical="center"/>
    </xf>
    <xf numFmtId="0" fontId="15" fillId="8" borderId="1" xfId="4" applyNumberFormat="1" applyFill="1" applyBorder="1" applyAlignment="1">
      <alignment horizontal="center"/>
    </xf>
    <xf numFmtId="0" fontId="15" fillId="18" borderId="1" xfId="4" applyNumberFormat="1" applyFill="1" applyBorder="1" applyAlignment="1">
      <alignment horizontal="center"/>
    </xf>
    <xf numFmtId="0" fontId="16" fillId="12" borderId="1" xfId="4" applyNumberFormat="1" applyFont="1" applyFill="1" applyBorder="1" applyAlignment="1">
      <alignment horizontal="center" wrapText="1"/>
    </xf>
    <xf numFmtId="0" fontId="15" fillId="11" borderId="1" xfId="4" applyNumberFormat="1" applyFill="1" applyBorder="1" applyAlignment="1">
      <alignment horizontal="center" vertical="center" wrapText="1"/>
    </xf>
    <xf numFmtId="0" fontId="15" fillId="11" borderId="1" xfId="4" applyNumberFormat="1" applyFill="1" applyBorder="1" applyAlignment="1">
      <alignment horizontal="center" vertical="center"/>
    </xf>
    <xf numFmtId="0" fontId="15" fillId="18" borderId="1" xfId="4" applyNumberFormat="1" applyFill="1" applyBorder="1" applyAlignment="1">
      <alignment horizontal="center" vertical="center"/>
    </xf>
    <xf numFmtId="0" fontId="15" fillId="18" borderId="1" xfId="4" applyNumberFormat="1" applyFill="1" applyBorder="1" applyAlignment="1">
      <alignment horizontal="center" vertical="center" wrapText="1"/>
    </xf>
    <xf numFmtId="0" fontId="15" fillId="22" borderId="2" xfId="4" applyNumberFormat="1" applyFill="1" applyBorder="1" applyAlignment="1">
      <alignment horizontal="center" vertical="center" wrapText="1"/>
    </xf>
    <xf numFmtId="0" fontId="15" fillId="22" borderId="60" xfId="4" applyNumberFormat="1" applyFill="1" applyBorder="1" applyAlignment="1">
      <alignment horizontal="center" vertical="center" wrapText="1"/>
    </xf>
    <xf numFmtId="0" fontId="15" fillId="22" borderId="55" xfId="4" applyNumberFormat="1" applyFill="1" applyBorder="1" applyAlignment="1">
      <alignment horizontal="center" vertical="center" wrapText="1"/>
    </xf>
    <xf numFmtId="14" fontId="15" fillId="8" borderId="1" xfId="4" applyNumberFormat="1" applyFill="1" applyBorder="1" applyAlignment="1">
      <alignment horizontal="center" vertical="center"/>
    </xf>
    <xf numFmtId="0" fontId="15" fillId="21" borderId="1" xfId="4" applyNumberFormat="1" applyFill="1" applyBorder="1" applyAlignment="1">
      <alignment horizontal="center" vertical="center"/>
    </xf>
    <xf numFmtId="0" fontId="15" fillId="21" borderId="1" xfId="4" applyNumberFormat="1" applyFill="1" applyBorder="1" applyAlignment="1">
      <alignment horizontal="center" vertical="center" wrapText="1"/>
    </xf>
    <xf numFmtId="14" fontId="15" fillId="21" borderId="1" xfId="4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14" borderId="45" xfId="2" applyNumberFormat="1" applyFont="1" applyFill="1" applyBorder="1" applyAlignment="1">
      <alignment vertical="top" wrapText="1"/>
    </xf>
    <xf numFmtId="0" fontId="10" fillId="14" borderId="46" xfId="2" applyNumberFormat="1" applyFont="1" applyFill="1" applyBorder="1" applyAlignment="1">
      <alignment vertical="top" wrapText="1"/>
    </xf>
    <xf numFmtId="0" fontId="0" fillId="0" borderId="47" xfId="0" applyBorder="1" applyAlignment="1">
      <alignment horizontal="center" wrapText="1"/>
    </xf>
    <xf numFmtId="0" fontId="10" fillId="14" borderId="44" xfId="2" applyNumberFormat="1" applyFont="1" applyFill="1" applyBorder="1" applyAlignment="1">
      <alignment vertical="top" wrapText="1"/>
    </xf>
    <xf numFmtId="0" fontId="23" fillId="10" borderId="0" xfId="0" applyFont="1" applyFill="1" applyAlignment="1">
      <alignment horizontal="center" vertical="center" wrapText="1"/>
    </xf>
    <xf numFmtId="0" fontId="0" fillId="0" borderId="0" xfId="0" applyFont="1"/>
    <xf numFmtId="0" fontId="24" fillId="5" borderId="7" xfId="1" applyNumberFormat="1" applyFont="1" applyFill="1" applyBorder="1" applyAlignment="1">
      <alignment horizontal="center" vertical="center"/>
    </xf>
    <xf numFmtId="165" fontId="24" fillId="5" borderId="7" xfId="1" applyNumberFormat="1" applyFont="1" applyFill="1" applyBorder="1" applyAlignment="1">
      <alignment horizontal="center" vertical="center"/>
    </xf>
    <xf numFmtId="165" fontId="24" fillId="5" borderId="8" xfId="1" applyNumberFormat="1" applyFont="1" applyFill="1" applyBorder="1" applyAlignment="1">
      <alignment horizontal="center" vertical="center"/>
    </xf>
    <xf numFmtId="0" fontId="24" fillId="22" borderId="7" xfId="1" applyNumberFormat="1" applyFont="1" applyFill="1" applyBorder="1" applyAlignment="1">
      <alignment horizontal="center" vertical="center"/>
    </xf>
    <xf numFmtId="165" fontId="24" fillId="22" borderId="7" xfId="1" applyNumberFormat="1" applyFont="1" applyFill="1" applyBorder="1" applyAlignment="1">
      <alignment horizontal="center" vertical="center"/>
    </xf>
    <xf numFmtId="165" fontId="24" fillId="22" borderId="8" xfId="1" applyNumberFormat="1" applyFont="1" applyFill="1" applyBorder="1" applyAlignment="1">
      <alignment horizontal="center" vertical="center"/>
    </xf>
    <xf numFmtId="0" fontId="24" fillId="21" borderId="7" xfId="1" applyNumberFormat="1" applyFont="1" applyFill="1" applyBorder="1" applyAlignment="1">
      <alignment horizontal="center" vertical="center"/>
    </xf>
    <xf numFmtId="165" fontId="24" fillId="21" borderId="7" xfId="1" applyNumberFormat="1" applyFont="1" applyFill="1" applyBorder="1" applyAlignment="1">
      <alignment horizontal="center" vertical="center"/>
    </xf>
    <xf numFmtId="165" fontId="24" fillId="21" borderId="8" xfId="1" applyNumberFormat="1" applyFont="1" applyFill="1" applyBorder="1" applyAlignment="1">
      <alignment horizontal="center" vertical="center"/>
    </xf>
    <xf numFmtId="0" fontId="24" fillId="5" borderId="9" xfId="1" applyNumberFormat="1" applyFont="1" applyFill="1" applyBorder="1" applyAlignment="1">
      <alignment horizontal="center" vertical="center"/>
    </xf>
    <xf numFmtId="165" fontId="24" fillId="5" borderId="9" xfId="1" applyNumberFormat="1" applyFont="1" applyFill="1" applyBorder="1" applyAlignment="1">
      <alignment horizontal="center" vertical="center"/>
    </xf>
    <xf numFmtId="0" fontId="24" fillId="5" borderId="10" xfId="1" applyNumberFormat="1" applyFont="1" applyFill="1" applyBorder="1" applyAlignment="1">
      <alignment horizontal="center" vertical="center"/>
    </xf>
    <xf numFmtId="0" fontId="24" fillId="22" borderId="9" xfId="1" applyNumberFormat="1" applyFont="1" applyFill="1" applyBorder="1" applyAlignment="1">
      <alignment horizontal="center" vertical="center"/>
    </xf>
    <xf numFmtId="165" fontId="24" fillId="22" borderId="9" xfId="1" applyNumberFormat="1" applyFont="1" applyFill="1" applyBorder="1" applyAlignment="1">
      <alignment horizontal="center" vertical="center"/>
    </xf>
    <xf numFmtId="0" fontId="24" fillId="22" borderId="10" xfId="1" applyNumberFormat="1" applyFont="1" applyFill="1" applyBorder="1" applyAlignment="1">
      <alignment horizontal="center" vertical="center"/>
    </xf>
    <xf numFmtId="0" fontId="24" fillId="21" borderId="9" xfId="1" applyNumberFormat="1" applyFont="1" applyFill="1" applyBorder="1" applyAlignment="1">
      <alignment horizontal="center" vertical="center"/>
    </xf>
    <xf numFmtId="165" fontId="24" fillId="21" borderId="9" xfId="1" applyNumberFormat="1" applyFont="1" applyFill="1" applyBorder="1" applyAlignment="1">
      <alignment horizontal="center" vertical="center"/>
    </xf>
    <xf numFmtId="0" fontId="24" fillId="21" borderId="10" xfId="1" applyNumberFormat="1" applyFont="1" applyFill="1" applyBorder="1" applyAlignment="1">
      <alignment horizontal="center" vertical="center"/>
    </xf>
    <xf numFmtId="0" fontId="24" fillId="5" borderId="50" xfId="1" applyNumberFormat="1" applyFont="1" applyFill="1" applyBorder="1" applyAlignment="1">
      <alignment horizontal="center" vertical="center"/>
    </xf>
    <xf numFmtId="0" fontId="24" fillId="5" borderId="61" xfId="1" applyNumberFormat="1" applyFont="1" applyFill="1" applyBorder="1" applyAlignment="1">
      <alignment horizontal="center" vertical="center"/>
    </xf>
    <xf numFmtId="0" fontId="24" fillId="21" borderId="50" xfId="1" applyNumberFormat="1" applyFont="1" applyFill="1" applyBorder="1" applyAlignment="1">
      <alignment horizontal="center" vertical="center"/>
    </xf>
    <xf numFmtId="0" fontId="24" fillId="21" borderId="61" xfId="1" applyNumberFormat="1" applyFont="1" applyFill="1" applyBorder="1" applyAlignment="1">
      <alignment horizontal="center" vertical="center"/>
    </xf>
  </cellXfs>
  <cellStyles count="5">
    <cellStyle name="Обычный" xfId="0" builtinId="0"/>
    <cellStyle name="Обычный 2" xfId="3" xr:uid="{09BEB615-85E7-42E7-AE7E-A42C41216846}"/>
    <cellStyle name="Обычный 3" xfId="4" xr:uid="{B6DA17F7-D880-4A9C-BD42-296AF5B2FF6E}"/>
    <cellStyle name="Обычный_Лист1" xfId="2" xr:uid="{00000000-0005-0000-0000-000001000000}"/>
    <cellStyle name="Финансовый" xfId="1" builtinId="3"/>
  </cellStyles>
  <dxfs count="70"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5" formatCode="_-* #,##0\ _₽_-;\-* #,##0\ _₽_-;_-* &quot;-&quot;??\ _₽_-;_-@_-"/>
    </dxf>
    <dxf>
      <numFmt numFmtId="166" formatCode="_-* #,##0.0\ _₽_-;\-* #,##0.0\ _₽_-;_-* &quot;-&quot;??\ _₽_-;_-@_-"/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color auto="1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color theme="4" tint="0.79998168889431442"/>
      </font>
    </dxf>
    <dxf>
      <font>
        <color theme="4" tint="0.79998168889431442"/>
      </font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\ _₽_-;\-* #,##0\ _₽_-;_-* &quot;-&quot;??\ _₽_-;_-@_-"/>
    </dxf>
    <dxf>
      <numFmt numFmtId="165" formatCode="_-* #,##0\ _₽_-;\-* #,##0\ _₽_-;_-* &quot;-&quot;??\ _₽_-;_-@_-"/>
    </dxf>
  </dxfs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333375</xdr:rowOff>
    </xdr:from>
    <xdr:to>
      <xdr:col>25</xdr:col>
      <xdr:colOff>211706</xdr:colOff>
      <xdr:row>32</xdr:row>
      <xdr:rowOff>19881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C83A336-9F3E-4B9E-9B37-E4D60DBA6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5451706" cy="5953956"/>
        </a:xfrm>
        <a:prstGeom prst="rect">
          <a:avLst/>
        </a:prstGeom>
      </xdr:spPr>
    </xdr:pic>
    <xdr:clientData/>
  </xdr:twoCellAnchor>
  <xdr:twoCellAnchor>
    <xdr:from>
      <xdr:col>22</xdr:col>
      <xdr:colOff>466725</xdr:colOff>
      <xdr:row>0</xdr:row>
      <xdr:rowOff>180975</xdr:rowOff>
    </xdr:from>
    <xdr:to>
      <xdr:col>24</xdr:col>
      <xdr:colOff>276225</xdr:colOff>
      <xdr:row>1</xdr:row>
      <xdr:rowOff>104775</xdr:rowOff>
    </xdr:to>
    <xdr:sp macro="" textlink="">
      <xdr:nvSpPr>
        <xdr:cNvPr id="66" name="Прямоугольник 65">
          <a:extLst>
            <a:ext uri="{FF2B5EF4-FFF2-40B4-BE49-F238E27FC236}">
              <a16:creationId xmlns:a16="http://schemas.microsoft.com/office/drawing/2014/main" id="{021B9572-CEBA-4C45-A946-0E849D2CAE1E}"/>
            </a:ext>
          </a:extLst>
        </xdr:cNvPr>
        <xdr:cNvSpPr/>
      </xdr:nvSpPr>
      <xdr:spPr>
        <a:xfrm>
          <a:off x="13877925" y="18097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№12</a:t>
          </a:r>
          <a:r>
            <a:rPr lang="ru-RU" sz="1100" b="1" baseline="0"/>
            <a:t> - 3</a:t>
          </a:r>
          <a:r>
            <a:rPr lang="en-US" sz="1100" b="1" baseline="0"/>
            <a:t>A</a:t>
          </a:r>
          <a:endParaRPr lang="en-US" sz="1100" b="1"/>
        </a:p>
      </xdr:txBody>
    </xdr:sp>
    <xdr:clientData/>
  </xdr:twoCellAnchor>
  <xdr:twoCellAnchor editAs="oneCell">
    <xdr:from>
      <xdr:col>0</xdr:col>
      <xdr:colOff>0</xdr:colOff>
      <xdr:row>34</xdr:row>
      <xdr:rowOff>85725</xdr:rowOff>
    </xdr:from>
    <xdr:to>
      <xdr:col>24</xdr:col>
      <xdr:colOff>571933</xdr:colOff>
      <xdr:row>62</xdr:row>
      <xdr:rowOff>124481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70F473-7581-48B1-AD84-6C10CB24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05625"/>
          <a:ext cx="15202333" cy="5372756"/>
        </a:xfrm>
        <a:prstGeom prst="rect">
          <a:avLst/>
        </a:prstGeom>
      </xdr:spPr>
    </xdr:pic>
    <xdr:clientData/>
  </xdr:twoCellAnchor>
  <xdr:twoCellAnchor>
    <xdr:from>
      <xdr:col>24</xdr:col>
      <xdr:colOff>304800</xdr:colOff>
      <xdr:row>12</xdr:row>
      <xdr:rowOff>0</xdr:rowOff>
    </xdr:from>
    <xdr:to>
      <xdr:col>26</xdr:col>
      <xdr:colOff>114300</xdr:colOff>
      <xdr:row>13</xdr:row>
      <xdr:rowOff>95250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id="{79AD4953-974F-42F5-8C15-FFFEB547D3F7}"/>
            </a:ext>
          </a:extLst>
        </xdr:cNvPr>
        <xdr:cNvSpPr/>
      </xdr:nvSpPr>
      <xdr:spPr>
        <a:xfrm>
          <a:off x="14935200" y="245745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№1</a:t>
          </a:r>
          <a:r>
            <a:rPr lang="en-US" sz="1100" b="1"/>
            <a:t>3</a:t>
          </a:r>
          <a:r>
            <a:rPr lang="ru-RU" sz="1100" b="1" baseline="0"/>
            <a:t> - </a:t>
          </a:r>
          <a:r>
            <a:rPr lang="en-US" sz="1100" b="1" baseline="0"/>
            <a:t>1B</a:t>
          </a:r>
        </a:p>
      </xdr:txBody>
    </xdr:sp>
    <xdr:clientData/>
  </xdr:twoCellAnchor>
  <xdr:twoCellAnchor>
    <xdr:from>
      <xdr:col>22</xdr:col>
      <xdr:colOff>409575</xdr:colOff>
      <xdr:row>28</xdr:row>
      <xdr:rowOff>57150</xdr:rowOff>
    </xdr:from>
    <xdr:to>
      <xdr:col>24</xdr:col>
      <xdr:colOff>219075</xdr:colOff>
      <xdr:row>29</xdr:row>
      <xdr:rowOff>152400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953B956A-E065-4323-9E0C-27DC439D530D}"/>
            </a:ext>
          </a:extLst>
        </xdr:cNvPr>
        <xdr:cNvSpPr/>
      </xdr:nvSpPr>
      <xdr:spPr>
        <a:xfrm>
          <a:off x="13820775" y="556260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№1</a:t>
          </a:r>
          <a:r>
            <a:rPr lang="en-US" sz="1100" b="1"/>
            <a:t>4</a:t>
          </a:r>
          <a:r>
            <a:rPr lang="ru-RU" sz="1100" b="1" baseline="0"/>
            <a:t> - </a:t>
          </a:r>
          <a:r>
            <a:rPr lang="en-US" sz="1100" b="1" baseline="0"/>
            <a:t>2A</a:t>
          </a:r>
        </a:p>
      </xdr:txBody>
    </xdr:sp>
    <xdr:clientData/>
  </xdr:twoCellAnchor>
  <xdr:twoCellAnchor>
    <xdr:from>
      <xdr:col>18</xdr:col>
      <xdr:colOff>352425</xdr:colOff>
      <xdr:row>28</xdr:row>
      <xdr:rowOff>38100</xdr:rowOff>
    </xdr:from>
    <xdr:to>
      <xdr:col>20</xdr:col>
      <xdr:colOff>161925</xdr:colOff>
      <xdr:row>29</xdr:row>
      <xdr:rowOff>133350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80D76B12-D57A-4044-952F-6CAD8143314C}"/>
            </a:ext>
          </a:extLst>
        </xdr:cNvPr>
        <xdr:cNvSpPr/>
      </xdr:nvSpPr>
      <xdr:spPr>
        <a:xfrm>
          <a:off x="11325225" y="554355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№1</a:t>
          </a:r>
          <a:r>
            <a:rPr lang="en-US" sz="1100" b="1"/>
            <a:t>5</a:t>
          </a:r>
          <a:r>
            <a:rPr lang="ru-RU" sz="1100" b="1" baseline="0"/>
            <a:t> - </a:t>
          </a:r>
          <a:r>
            <a:rPr lang="en-US" sz="1100" b="1" baseline="0"/>
            <a:t>1A</a:t>
          </a:r>
        </a:p>
      </xdr:txBody>
    </xdr:sp>
    <xdr:clientData/>
  </xdr:twoCellAnchor>
  <xdr:twoCellAnchor>
    <xdr:from>
      <xdr:col>16</xdr:col>
      <xdr:colOff>28575</xdr:colOff>
      <xdr:row>28</xdr:row>
      <xdr:rowOff>38100</xdr:rowOff>
    </xdr:from>
    <xdr:to>
      <xdr:col>17</xdr:col>
      <xdr:colOff>447675</xdr:colOff>
      <xdr:row>29</xdr:row>
      <xdr:rowOff>133350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6B7F60C4-E628-4D59-AA64-E415ADAAD436}"/>
            </a:ext>
          </a:extLst>
        </xdr:cNvPr>
        <xdr:cNvSpPr/>
      </xdr:nvSpPr>
      <xdr:spPr>
        <a:xfrm>
          <a:off x="9782175" y="554355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№1</a:t>
          </a:r>
          <a:r>
            <a:rPr lang="en-US" sz="1100" b="1"/>
            <a:t>6</a:t>
          </a:r>
          <a:r>
            <a:rPr lang="ru-RU" sz="1100" b="1" baseline="0"/>
            <a:t> - </a:t>
          </a:r>
          <a:r>
            <a:rPr lang="en-US" sz="1100" b="1" baseline="0"/>
            <a:t>1A</a:t>
          </a:r>
        </a:p>
      </xdr:txBody>
    </xdr:sp>
    <xdr:clientData/>
  </xdr:twoCellAnchor>
  <xdr:twoCellAnchor>
    <xdr:from>
      <xdr:col>12</xdr:col>
      <xdr:colOff>342900</xdr:colOff>
      <xdr:row>28</xdr:row>
      <xdr:rowOff>47625</xdr:rowOff>
    </xdr:from>
    <xdr:to>
      <xdr:col>14</xdr:col>
      <xdr:colOff>152400</xdr:colOff>
      <xdr:row>29</xdr:row>
      <xdr:rowOff>142875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D9668ECD-4364-4AF5-A437-148C16C531F0}"/>
            </a:ext>
          </a:extLst>
        </xdr:cNvPr>
        <xdr:cNvSpPr/>
      </xdr:nvSpPr>
      <xdr:spPr>
        <a:xfrm>
          <a:off x="7658100" y="555307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№1</a:t>
          </a:r>
          <a:r>
            <a:rPr lang="en-US" sz="1100" b="1"/>
            <a:t>7</a:t>
          </a:r>
          <a:r>
            <a:rPr lang="ru-RU" sz="1100" b="1" baseline="0"/>
            <a:t> - </a:t>
          </a:r>
          <a:r>
            <a:rPr lang="en-US" sz="1100" b="1" baseline="0"/>
            <a:t>2B</a:t>
          </a:r>
        </a:p>
      </xdr:txBody>
    </xdr:sp>
    <xdr:clientData/>
  </xdr:twoCellAnchor>
  <xdr:twoCellAnchor>
    <xdr:from>
      <xdr:col>11</xdr:col>
      <xdr:colOff>152400</xdr:colOff>
      <xdr:row>3</xdr:row>
      <xdr:rowOff>152400</xdr:rowOff>
    </xdr:from>
    <xdr:to>
      <xdr:col>12</xdr:col>
      <xdr:colOff>571500</xdr:colOff>
      <xdr:row>5</xdr:row>
      <xdr:rowOff>57150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004DA01C-CB04-48BB-9852-031BA8EDF984}"/>
            </a:ext>
          </a:extLst>
        </xdr:cNvPr>
        <xdr:cNvSpPr/>
      </xdr:nvSpPr>
      <xdr:spPr>
        <a:xfrm>
          <a:off x="6858000" y="89535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№18</a:t>
          </a:r>
          <a:r>
            <a:rPr lang="ru-RU" sz="1100" b="1" baseline="0"/>
            <a:t> - </a:t>
          </a:r>
          <a:r>
            <a:rPr lang="en-US" sz="1100" b="1" baseline="0"/>
            <a:t>2F</a:t>
          </a:r>
        </a:p>
      </xdr:txBody>
    </xdr:sp>
    <xdr:clientData/>
  </xdr:twoCellAnchor>
  <xdr:twoCellAnchor>
    <xdr:from>
      <xdr:col>14</xdr:col>
      <xdr:colOff>114300</xdr:colOff>
      <xdr:row>3</xdr:row>
      <xdr:rowOff>142875</xdr:rowOff>
    </xdr:from>
    <xdr:to>
      <xdr:col>15</xdr:col>
      <xdr:colOff>533400</xdr:colOff>
      <xdr:row>5</xdr:row>
      <xdr:rowOff>47625</xdr:rowOff>
    </xdr:to>
    <xdr:sp macro="" textlink="">
      <xdr:nvSpPr>
        <xdr:cNvPr id="20" name="Прямоугольник 19">
          <a:extLst>
            <a:ext uri="{FF2B5EF4-FFF2-40B4-BE49-F238E27FC236}">
              <a16:creationId xmlns:a16="http://schemas.microsoft.com/office/drawing/2014/main" id="{252A15FF-30E3-4F5A-8B5C-E441A42CFB74}"/>
            </a:ext>
          </a:extLst>
        </xdr:cNvPr>
        <xdr:cNvSpPr/>
      </xdr:nvSpPr>
      <xdr:spPr>
        <a:xfrm>
          <a:off x="8648700" y="88582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№1</a:t>
          </a:r>
          <a:r>
            <a:rPr lang="en-US" sz="1100" b="1"/>
            <a:t>9</a:t>
          </a:r>
          <a:r>
            <a:rPr lang="ru-RU" sz="1100" b="1" baseline="0"/>
            <a:t> - </a:t>
          </a:r>
          <a:r>
            <a:rPr lang="en-US" sz="1100" b="1" baseline="0"/>
            <a:t>2H</a:t>
          </a:r>
        </a:p>
      </xdr:txBody>
    </xdr:sp>
    <xdr:clientData/>
  </xdr:twoCellAnchor>
  <xdr:twoCellAnchor>
    <xdr:from>
      <xdr:col>8</xdr:col>
      <xdr:colOff>66675</xdr:colOff>
      <xdr:row>3</xdr:row>
      <xdr:rowOff>142875</xdr:rowOff>
    </xdr:from>
    <xdr:to>
      <xdr:col>9</xdr:col>
      <xdr:colOff>485775</xdr:colOff>
      <xdr:row>5</xdr:row>
      <xdr:rowOff>47625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023807A2-2217-4912-8474-624F0D9DC6B2}"/>
            </a:ext>
          </a:extLst>
        </xdr:cNvPr>
        <xdr:cNvSpPr/>
      </xdr:nvSpPr>
      <xdr:spPr>
        <a:xfrm>
          <a:off x="4943475" y="88582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20</a:t>
          </a:r>
          <a:r>
            <a:rPr lang="ru-RU" sz="1100" b="1" baseline="0"/>
            <a:t> - </a:t>
          </a:r>
          <a:r>
            <a:rPr lang="en-US" sz="1100" b="1" baseline="0"/>
            <a:t>3B</a:t>
          </a:r>
        </a:p>
      </xdr:txBody>
    </xdr:sp>
    <xdr:clientData/>
  </xdr:twoCellAnchor>
  <xdr:twoCellAnchor>
    <xdr:from>
      <xdr:col>7</xdr:col>
      <xdr:colOff>257175</xdr:colOff>
      <xdr:row>28</xdr:row>
      <xdr:rowOff>9525</xdr:rowOff>
    </xdr:from>
    <xdr:to>
      <xdr:col>9</xdr:col>
      <xdr:colOff>66675</xdr:colOff>
      <xdr:row>29</xdr:row>
      <xdr:rowOff>104775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3877379F-CEF3-4766-8C75-5604D75E4066}"/>
            </a:ext>
          </a:extLst>
        </xdr:cNvPr>
        <xdr:cNvSpPr/>
      </xdr:nvSpPr>
      <xdr:spPr>
        <a:xfrm>
          <a:off x="4524375" y="551497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21</a:t>
          </a:r>
          <a:r>
            <a:rPr lang="ru-RU" sz="1100" b="1" baseline="0"/>
            <a:t> - </a:t>
          </a:r>
          <a:r>
            <a:rPr lang="en-US" sz="1100" b="1" baseline="0"/>
            <a:t>1A</a:t>
          </a:r>
        </a:p>
      </xdr:txBody>
    </xdr:sp>
    <xdr:clientData/>
  </xdr:twoCellAnchor>
  <xdr:twoCellAnchor>
    <xdr:from>
      <xdr:col>4</xdr:col>
      <xdr:colOff>76200</xdr:colOff>
      <xdr:row>28</xdr:row>
      <xdr:rowOff>28575</xdr:rowOff>
    </xdr:from>
    <xdr:to>
      <xdr:col>5</xdr:col>
      <xdr:colOff>495300</xdr:colOff>
      <xdr:row>29</xdr:row>
      <xdr:rowOff>123825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C8350DED-1062-43B4-B8BA-C49A54A206B7}"/>
            </a:ext>
          </a:extLst>
        </xdr:cNvPr>
        <xdr:cNvSpPr/>
      </xdr:nvSpPr>
      <xdr:spPr>
        <a:xfrm>
          <a:off x="2514600" y="553402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22</a:t>
          </a:r>
          <a:r>
            <a:rPr lang="ru-RU" sz="1100" b="1" baseline="0"/>
            <a:t> - </a:t>
          </a:r>
          <a:r>
            <a:rPr lang="en-US" sz="1100" b="1" baseline="0"/>
            <a:t>2C</a:t>
          </a:r>
        </a:p>
      </xdr:txBody>
    </xdr:sp>
    <xdr:clientData/>
  </xdr:twoCellAnchor>
  <xdr:twoCellAnchor>
    <xdr:from>
      <xdr:col>1</xdr:col>
      <xdr:colOff>209550</xdr:colOff>
      <xdr:row>28</xdr:row>
      <xdr:rowOff>57150</xdr:rowOff>
    </xdr:from>
    <xdr:to>
      <xdr:col>3</xdr:col>
      <xdr:colOff>19050</xdr:colOff>
      <xdr:row>29</xdr:row>
      <xdr:rowOff>152400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74D6775E-073B-4552-A60A-A5EE80E7B698}"/>
            </a:ext>
          </a:extLst>
        </xdr:cNvPr>
        <xdr:cNvSpPr/>
      </xdr:nvSpPr>
      <xdr:spPr>
        <a:xfrm>
          <a:off x="819150" y="556260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23</a:t>
          </a:r>
          <a:r>
            <a:rPr lang="ru-RU" sz="1100" b="1" baseline="0"/>
            <a:t> - </a:t>
          </a:r>
          <a:r>
            <a:rPr lang="en-US" sz="1100" b="1" baseline="0"/>
            <a:t>2D</a:t>
          </a:r>
        </a:p>
      </xdr:txBody>
    </xdr:sp>
    <xdr:clientData/>
  </xdr:twoCellAnchor>
  <xdr:twoCellAnchor>
    <xdr:from>
      <xdr:col>1</xdr:col>
      <xdr:colOff>552450</xdr:colOff>
      <xdr:row>3</xdr:row>
      <xdr:rowOff>133350</xdr:rowOff>
    </xdr:from>
    <xdr:to>
      <xdr:col>3</xdr:col>
      <xdr:colOff>361950</xdr:colOff>
      <xdr:row>5</xdr:row>
      <xdr:rowOff>38100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D6BD4A63-C152-4C25-82CC-C5A468D6F37A}"/>
            </a:ext>
          </a:extLst>
        </xdr:cNvPr>
        <xdr:cNvSpPr/>
      </xdr:nvSpPr>
      <xdr:spPr>
        <a:xfrm>
          <a:off x="1162050" y="87630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24</a:t>
          </a:r>
          <a:r>
            <a:rPr lang="ru-RU" sz="1100" b="1" baseline="0"/>
            <a:t> - </a:t>
          </a:r>
          <a:r>
            <a:rPr lang="en-US" sz="1100" b="1" baseline="0"/>
            <a:t>2E</a:t>
          </a:r>
        </a:p>
      </xdr:txBody>
    </xdr:sp>
    <xdr:clientData/>
  </xdr:twoCellAnchor>
  <xdr:twoCellAnchor>
    <xdr:from>
      <xdr:col>22</xdr:col>
      <xdr:colOff>495300</xdr:colOff>
      <xdr:row>33</xdr:row>
      <xdr:rowOff>190500</xdr:rowOff>
    </xdr:from>
    <xdr:to>
      <xdr:col>24</xdr:col>
      <xdr:colOff>304800</xdr:colOff>
      <xdr:row>34</xdr:row>
      <xdr:rowOff>114300</xdr:rowOff>
    </xdr:to>
    <xdr:sp macro="" textlink="">
      <xdr:nvSpPr>
        <xdr:cNvPr id="27" name="Прямоугольник 26">
          <a:extLst>
            <a:ext uri="{FF2B5EF4-FFF2-40B4-BE49-F238E27FC236}">
              <a16:creationId xmlns:a16="http://schemas.microsoft.com/office/drawing/2014/main" id="{FF60FA64-F749-4FA5-9940-C3A9280D61E3}"/>
            </a:ext>
          </a:extLst>
        </xdr:cNvPr>
        <xdr:cNvSpPr/>
      </xdr:nvSpPr>
      <xdr:spPr>
        <a:xfrm>
          <a:off x="13906500" y="664845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55</a:t>
          </a:r>
          <a:r>
            <a:rPr lang="ru-RU" sz="1100" b="1" baseline="0"/>
            <a:t> - </a:t>
          </a:r>
          <a:r>
            <a:rPr lang="en-US" sz="1100" b="1" baseline="0"/>
            <a:t>3A</a:t>
          </a:r>
        </a:p>
      </xdr:txBody>
    </xdr:sp>
    <xdr:clientData/>
  </xdr:twoCellAnchor>
  <xdr:twoCellAnchor>
    <xdr:from>
      <xdr:col>24</xdr:col>
      <xdr:colOff>590550</xdr:colOff>
      <xdr:row>45</xdr:row>
      <xdr:rowOff>47625</xdr:rowOff>
    </xdr:from>
    <xdr:to>
      <xdr:col>26</xdr:col>
      <xdr:colOff>400050</xdr:colOff>
      <xdr:row>46</xdr:row>
      <xdr:rowOff>142875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617CFDF6-DA60-4A70-AB24-59A6ADFA7530}"/>
            </a:ext>
          </a:extLst>
        </xdr:cNvPr>
        <xdr:cNvSpPr/>
      </xdr:nvSpPr>
      <xdr:spPr>
        <a:xfrm>
          <a:off x="15220950" y="896302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56</a:t>
          </a:r>
          <a:r>
            <a:rPr lang="ru-RU" sz="1100" b="1" baseline="0"/>
            <a:t> - </a:t>
          </a:r>
          <a:r>
            <a:rPr lang="en-US" sz="1100" b="1" baseline="0"/>
            <a:t>1B</a:t>
          </a:r>
        </a:p>
      </xdr:txBody>
    </xdr:sp>
    <xdr:clientData/>
  </xdr:twoCellAnchor>
  <xdr:twoCellAnchor>
    <xdr:from>
      <xdr:col>23</xdr:col>
      <xdr:colOff>152400</xdr:colOff>
      <xdr:row>62</xdr:row>
      <xdr:rowOff>9525</xdr:rowOff>
    </xdr:from>
    <xdr:to>
      <xdr:col>24</xdr:col>
      <xdr:colOff>571500</xdr:colOff>
      <xdr:row>63</xdr:row>
      <xdr:rowOff>104775</xdr:rowOff>
    </xdr:to>
    <xdr:sp macro="" textlink="">
      <xdr:nvSpPr>
        <xdr:cNvPr id="29" name="Прямоугольник 28">
          <a:extLst>
            <a:ext uri="{FF2B5EF4-FFF2-40B4-BE49-F238E27FC236}">
              <a16:creationId xmlns:a16="http://schemas.microsoft.com/office/drawing/2014/main" id="{D82EC00B-D0D7-47B7-85EF-2E3BED6D8916}"/>
            </a:ext>
          </a:extLst>
        </xdr:cNvPr>
        <xdr:cNvSpPr/>
      </xdr:nvSpPr>
      <xdr:spPr>
        <a:xfrm>
          <a:off x="14173200" y="1216342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57</a:t>
          </a:r>
          <a:r>
            <a:rPr lang="ru-RU" sz="1100" b="1" baseline="0"/>
            <a:t> - </a:t>
          </a:r>
          <a:r>
            <a:rPr lang="en-US" sz="1100" b="1" baseline="0"/>
            <a:t>2A</a:t>
          </a:r>
        </a:p>
      </xdr:txBody>
    </xdr:sp>
    <xdr:clientData/>
  </xdr:twoCellAnchor>
  <xdr:twoCellAnchor>
    <xdr:from>
      <xdr:col>19</xdr:col>
      <xdr:colOff>114300</xdr:colOff>
      <xdr:row>62</xdr:row>
      <xdr:rowOff>47625</xdr:rowOff>
    </xdr:from>
    <xdr:to>
      <xdr:col>20</xdr:col>
      <xdr:colOff>533400</xdr:colOff>
      <xdr:row>63</xdr:row>
      <xdr:rowOff>142875</xdr:rowOff>
    </xdr:to>
    <xdr:sp macro="" textlink="">
      <xdr:nvSpPr>
        <xdr:cNvPr id="30" name="Прямоугольник 29">
          <a:extLst>
            <a:ext uri="{FF2B5EF4-FFF2-40B4-BE49-F238E27FC236}">
              <a16:creationId xmlns:a16="http://schemas.microsoft.com/office/drawing/2014/main" id="{A6C9D5C1-9017-446D-941A-FD788CA3BE49}"/>
            </a:ext>
          </a:extLst>
        </xdr:cNvPr>
        <xdr:cNvSpPr/>
      </xdr:nvSpPr>
      <xdr:spPr>
        <a:xfrm>
          <a:off x="11696700" y="1220152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58</a:t>
          </a:r>
          <a:r>
            <a:rPr lang="ru-RU" sz="1100" b="1" baseline="0"/>
            <a:t> - </a:t>
          </a:r>
          <a:r>
            <a:rPr lang="en-US" sz="1100" b="1" baseline="0"/>
            <a:t>1A</a:t>
          </a:r>
        </a:p>
      </xdr:txBody>
    </xdr:sp>
    <xdr:clientData/>
  </xdr:twoCellAnchor>
  <xdr:twoCellAnchor>
    <xdr:from>
      <xdr:col>16</xdr:col>
      <xdr:colOff>38100</xdr:colOff>
      <xdr:row>62</xdr:row>
      <xdr:rowOff>57150</xdr:rowOff>
    </xdr:from>
    <xdr:to>
      <xdr:col>17</xdr:col>
      <xdr:colOff>457200</xdr:colOff>
      <xdr:row>63</xdr:row>
      <xdr:rowOff>152400</xdr:rowOff>
    </xdr:to>
    <xdr:sp macro="" textlink="">
      <xdr:nvSpPr>
        <xdr:cNvPr id="31" name="Прямоугольник 30">
          <a:extLst>
            <a:ext uri="{FF2B5EF4-FFF2-40B4-BE49-F238E27FC236}">
              <a16:creationId xmlns:a16="http://schemas.microsoft.com/office/drawing/2014/main" id="{0BE38846-C3C5-47CE-B604-697D894883B8}"/>
            </a:ext>
          </a:extLst>
        </xdr:cNvPr>
        <xdr:cNvSpPr/>
      </xdr:nvSpPr>
      <xdr:spPr>
        <a:xfrm>
          <a:off x="9791700" y="1221105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59</a:t>
          </a:r>
          <a:r>
            <a:rPr lang="ru-RU" sz="1100" b="1" baseline="0"/>
            <a:t> - </a:t>
          </a:r>
          <a:r>
            <a:rPr lang="en-US" sz="1100" b="1" baseline="0"/>
            <a:t>1A</a:t>
          </a:r>
        </a:p>
      </xdr:txBody>
    </xdr:sp>
    <xdr:clientData/>
  </xdr:twoCellAnchor>
  <xdr:twoCellAnchor>
    <xdr:from>
      <xdr:col>13</xdr:col>
      <xdr:colOff>495300</xdr:colOff>
      <xdr:row>62</xdr:row>
      <xdr:rowOff>47625</xdr:rowOff>
    </xdr:from>
    <xdr:to>
      <xdr:col>15</xdr:col>
      <xdr:colOff>304800</xdr:colOff>
      <xdr:row>63</xdr:row>
      <xdr:rowOff>142875</xdr:rowOff>
    </xdr:to>
    <xdr:sp macro="" textlink="">
      <xdr:nvSpPr>
        <xdr:cNvPr id="32" name="Прямоугольник 31">
          <a:extLst>
            <a:ext uri="{FF2B5EF4-FFF2-40B4-BE49-F238E27FC236}">
              <a16:creationId xmlns:a16="http://schemas.microsoft.com/office/drawing/2014/main" id="{3C5BF0D7-2B3F-45C9-A5C5-19E659CA99D9}"/>
            </a:ext>
          </a:extLst>
        </xdr:cNvPr>
        <xdr:cNvSpPr/>
      </xdr:nvSpPr>
      <xdr:spPr>
        <a:xfrm>
          <a:off x="8420100" y="1220152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60</a:t>
          </a:r>
          <a:r>
            <a:rPr lang="ru-RU" sz="1100" b="1" baseline="0"/>
            <a:t> - </a:t>
          </a:r>
          <a:r>
            <a:rPr lang="en-US" sz="1100" b="1" baseline="0"/>
            <a:t>1A</a:t>
          </a:r>
        </a:p>
      </xdr:txBody>
    </xdr:sp>
    <xdr:clientData/>
  </xdr:twoCellAnchor>
  <xdr:twoCellAnchor>
    <xdr:from>
      <xdr:col>11</xdr:col>
      <xdr:colOff>0</xdr:colOff>
      <xdr:row>62</xdr:row>
      <xdr:rowOff>47625</xdr:rowOff>
    </xdr:from>
    <xdr:to>
      <xdr:col>12</xdr:col>
      <xdr:colOff>419100</xdr:colOff>
      <xdr:row>63</xdr:row>
      <xdr:rowOff>142875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E27C5C1B-2EB9-42D4-A6B5-4F33BAD9977F}"/>
            </a:ext>
          </a:extLst>
        </xdr:cNvPr>
        <xdr:cNvSpPr/>
      </xdr:nvSpPr>
      <xdr:spPr>
        <a:xfrm>
          <a:off x="6705600" y="12201525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61</a:t>
          </a:r>
          <a:r>
            <a:rPr lang="ru-RU" sz="1100" b="1" baseline="0"/>
            <a:t> - </a:t>
          </a:r>
          <a:r>
            <a:rPr lang="en-US" sz="1100" b="1" baseline="0"/>
            <a:t>2K</a:t>
          </a:r>
        </a:p>
      </xdr:txBody>
    </xdr:sp>
    <xdr:clientData/>
  </xdr:twoCellAnchor>
  <xdr:twoCellAnchor>
    <xdr:from>
      <xdr:col>13</xdr:col>
      <xdr:colOff>400050</xdr:colOff>
      <xdr:row>36</xdr:row>
      <xdr:rowOff>95250</xdr:rowOff>
    </xdr:from>
    <xdr:to>
      <xdr:col>15</xdr:col>
      <xdr:colOff>209550</xdr:colOff>
      <xdr:row>38</xdr:row>
      <xdr:rowOff>0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86BB0D12-8D59-45F1-B63B-64D1349E9741}"/>
            </a:ext>
          </a:extLst>
        </xdr:cNvPr>
        <xdr:cNvSpPr/>
      </xdr:nvSpPr>
      <xdr:spPr>
        <a:xfrm>
          <a:off x="8324850" y="7296150"/>
          <a:ext cx="1028700" cy="2857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№</a:t>
          </a:r>
          <a:r>
            <a:rPr lang="en-US" sz="1100" b="1"/>
            <a:t>62</a:t>
          </a:r>
          <a:r>
            <a:rPr lang="ru-RU" sz="1100" b="1" baseline="0"/>
            <a:t> - </a:t>
          </a:r>
          <a:r>
            <a:rPr lang="en-US" sz="1100" b="1" baseline="0"/>
            <a:t>3D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Житникова" refreshedDate="45415.57861689815" createdVersion="6" refreshedVersion="6" minRefreshableVersion="3" recordCount="79" xr:uid="{E0A03E92-4EC0-4060-BBC8-985A67927F28}">
  <cacheSource type="worksheet">
    <worksheetSource ref="A1:S80" sheet="прайс квартиры"/>
  </cacheSource>
  <cacheFields count="20">
    <cacheField name="Секция" numFmtId="0">
      <sharedItems containsString="0" containsBlank="1" containsNumber="1" containsInteger="1" minValue="1" maxValue="1"/>
    </cacheField>
    <cacheField name="Этаж" numFmtId="0">
      <sharedItems containsString="0" containsBlank="1" containsNumber="1" containsInteger="1" minValue="2" maxValue="9"/>
    </cacheField>
    <cacheField name="Номер" numFmtId="0">
      <sharedItems containsString="0" containsBlank="1" containsNumber="1" containsInteger="1" minValue="1" maxValue="78"/>
    </cacheField>
    <cacheField name="Площадь" numFmtId="0">
      <sharedItems containsString="0" containsBlank="1" containsNumber="1" minValue="41.84" maxValue="119.27"/>
    </cacheField>
    <cacheField name="Площадь мин" numFmtId="0">
      <sharedItems containsString="0" containsBlank="1" containsNumber="1" minValue="41.84" maxValue="119.27"/>
    </cacheField>
    <cacheField name="Площадь сред." numFmtId="0">
      <sharedItems containsString="0" containsBlank="1" containsNumber="1" minValue="41.84" maxValue="119.27"/>
    </cacheField>
    <cacheField name="Площадь макс." numFmtId="0">
      <sharedItems containsString="0" containsBlank="1" containsNumber="1" minValue="41.84" maxValue="119.27"/>
    </cacheField>
    <cacheField name="Комн" numFmtId="0">
      <sharedItems containsString="0" containsBlank="1" containsNumber="1" containsInteger="1" minValue="1" maxValue="4"/>
    </cacheField>
    <cacheField name="Тип маркетинговый" numFmtId="0">
      <sharedItems containsBlank="1" count="30">
        <m/>
        <s v="3A"/>
        <s v="1B"/>
        <s v="2A"/>
        <s v="1A"/>
        <s v="2B"/>
        <s v="4A"/>
        <s v="3B"/>
        <s v="2C"/>
        <s v="2D"/>
        <s v="2E"/>
        <s v="2F"/>
        <s v="2H"/>
        <s v="3Aa"/>
        <s v="3C"/>
        <s v="3D"/>
        <s v="2K"/>
        <s v="3L" u="1"/>
        <s v="2M" u="1"/>
        <s v="1L" u="1"/>
        <s v="1Aa" u="1"/>
        <s v="4L" u="1"/>
        <s v="3M" u="1"/>
        <s v="1Ma" u="1"/>
        <s v="2L" u="1"/>
        <s v="3S" u="1"/>
        <s v="1M" u="1"/>
        <s v="2Aa" u="1"/>
        <s v="2Ca" u="1"/>
        <s v="1S" u="1"/>
      </sharedItems>
    </cacheField>
    <cacheField name="Удорожание тип" numFmtId="0">
      <sharedItems containsString="0" containsBlank="1" containsNumber="1" containsInteger="1" minValue="8000" maxValue="34000"/>
    </cacheField>
    <cacheField name="Удорожание этаж" numFmtId="0">
      <sharedItems containsString="0" containsBlank="1" containsNumber="1" containsInteger="1" minValue="3000" maxValue="13500"/>
    </cacheField>
    <cacheField name="Цена итого" numFmtId="0">
      <sharedItems containsString="0" containsBlank="1" containsNumber="1" containsInteger="1" minValue="146000" maxValue="185500"/>
    </cacheField>
    <cacheField name="Цена мин" numFmtId="0">
      <sharedItems containsString="0" containsBlank="1" containsNumber="1" containsInteger="1" minValue="146000" maxValue="185500"/>
    </cacheField>
    <cacheField name="Цена сред" numFmtId="0">
      <sharedItems containsString="0" containsBlank="1" containsNumber="1" containsInteger="1" minValue="146000" maxValue="185500"/>
    </cacheField>
    <cacheField name="Цена макс" numFmtId="0">
      <sharedItems containsString="0" containsBlank="1" containsNumber="1" containsInteger="1" minValue="146000" maxValue="185500"/>
    </cacheField>
    <cacheField name="Сумма" numFmtId="0">
      <sharedItems containsString="0" containsBlank="1" containsNumber="1" minValue="7261840" maxValue="17890500"/>
    </cacheField>
    <cacheField name="Сумма мин" numFmtId="0">
      <sharedItems containsString="0" containsBlank="1" containsNumber="1" minValue="7261840" maxValue="17890500"/>
    </cacheField>
    <cacheField name="Сумма сред" numFmtId="0">
      <sharedItems containsString="0" containsBlank="1" containsNumber="1" minValue="7261840" maxValue="17890500"/>
    </cacheField>
    <cacheField name="Сумма макс" numFmtId="0">
      <sharedItems containsString="0" containsBlank="1" containsNumber="1" minValue="7261840" maxValue="17890500"/>
    </cacheField>
    <cacheField name="Средняя цена" numFmtId="0" formula="Сумма/Площадь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m/>
    <m/>
    <m/>
    <m/>
    <m/>
    <m/>
    <m/>
    <m/>
    <x v="0"/>
    <m/>
    <m/>
    <m/>
    <m/>
    <m/>
    <m/>
    <m/>
    <m/>
    <m/>
    <m/>
  </r>
  <r>
    <n v="1"/>
    <n v="2"/>
    <n v="1"/>
    <n v="100.28"/>
    <n v="100.28"/>
    <n v="100.28"/>
    <n v="100.28"/>
    <n v="3"/>
    <x v="1"/>
    <n v="10000"/>
    <n v="3000"/>
    <n v="148000"/>
    <n v="148000"/>
    <n v="148000"/>
    <n v="148000"/>
    <n v="14841440"/>
    <n v="14841440"/>
    <n v="14841440"/>
    <n v="14841440"/>
  </r>
  <r>
    <n v="1"/>
    <n v="2"/>
    <n v="2"/>
    <n v="46.58"/>
    <n v="46.58"/>
    <n v="46.58"/>
    <n v="46.58"/>
    <n v="1"/>
    <x v="2"/>
    <n v="30000"/>
    <n v="3000"/>
    <n v="168000"/>
    <n v="168000"/>
    <n v="168000"/>
    <n v="168000"/>
    <n v="7825440"/>
    <n v="7825440"/>
    <n v="7825440"/>
    <n v="7825440"/>
  </r>
  <r>
    <n v="1"/>
    <n v="2"/>
    <n v="3"/>
    <n v="65.680000000000007"/>
    <n v="65.680000000000007"/>
    <n v="65.680000000000007"/>
    <n v="65.680000000000007"/>
    <n v="2"/>
    <x v="3"/>
    <n v="15000"/>
    <n v="3000"/>
    <n v="153000"/>
    <n v="153000"/>
    <n v="153000"/>
    <n v="153000"/>
    <n v="10049040.000000002"/>
    <n v="10049040.000000002"/>
    <n v="10049040.000000002"/>
    <n v="10049040.000000002"/>
  </r>
  <r>
    <n v="1"/>
    <n v="2"/>
    <n v="4"/>
    <n v="42.73"/>
    <n v="42.73"/>
    <n v="42.73"/>
    <n v="42.73"/>
    <n v="1"/>
    <x v="4"/>
    <n v="34000"/>
    <n v="3000"/>
    <n v="172000"/>
    <n v="172000"/>
    <n v="172000"/>
    <n v="172000"/>
    <n v="7349559.9999999991"/>
    <n v="7349559.9999999991"/>
    <n v="7349559.9999999991"/>
    <n v="7349559.9999999991"/>
  </r>
  <r>
    <n v="1"/>
    <n v="2"/>
    <n v="5"/>
    <n v="63.39"/>
    <n v="63.39"/>
    <n v="63.39"/>
    <n v="63.39"/>
    <n v="2"/>
    <x v="5"/>
    <n v="14000"/>
    <n v="3000"/>
    <n v="152000"/>
    <n v="152000"/>
    <n v="152000"/>
    <n v="152000"/>
    <n v="9635280"/>
    <n v="9635280"/>
    <n v="9635280"/>
    <n v="9635280"/>
  </r>
  <r>
    <n v="1"/>
    <n v="2"/>
    <n v="6"/>
    <n v="119.27"/>
    <n v="119.27"/>
    <n v="119.27"/>
    <n v="119.27"/>
    <n v="4"/>
    <x v="6"/>
    <n v="12000"/>
    <n v="3000"/>
    <n v="150000"/>
    <n v="150000"/>
    <n v="150000"/>
    <n v="150000"/>
    <n v="17890500"/>
    <n v="17890500"/>
    <n v="17890500"/>
    <n v="17890500"/>
  </r>
  <r>
    <n v="1"/>
    <n v="2"/>
    <n v="7"/>
    <n v="109.1"/>
    <n v="109.1"/>
    <n v="109.1"/>
    <n v="109.1"/>
    <n v="3"/>
    <x v="7"/>
    <n v="8000"/>
    <n v="3000"/>
    <n v="146000"/>
    <n v="146000"/>
    <n v="146000"/>
    <n v="146000"/>
    <n v="15928600"/>
    <n v="15928600"/>
    <n v="15928600"/>
    <n v="15928600"/>
  </r>
  <r>
    <n v="1"/>
    <n v="2"/>
    <n v="8"/>
    <n v="42.22"/>
    <n v="42.22"/>
    <n v="42.22"/>
    <n v="42.22"/>
    <n v="1"/>
    <x v="4"/>
    <n v="34000"/>
    <n v="3000"/>
    <n v="172000"/>
    <n v="172000"/>
    <n v="172000"/>
    <n v="172000"/>
    <n v="7261840"/>
    <n v="7261840"/>
    <n v="7261840"/>
    <n v="7261840"/>
  </r>
  <r>
    <n v="1"/>
    <n v="2"/>
    <n v="9"/>
    <n v="63.63"/>
    <n v="63.63"/>
    <n v="63.63"/>
    <n v="63.63"/>
    <n v="2"/>
    <x v="8"/>
    <n v="14000"/>
    <n v="3000"/>
    <n v="152000"/>
    <n v="152000"/>
    <n v="152000"/>
    <n v="152000"/>
    <n v="9671760"/>
    <n v="9671760"/>
    <n v="9671760"/>
    <n v="9671760"/>
  </r>
  <r>
    <n v="1"/>
    <n v="2"/>
    <n v="10"/>
    <n v="71.36"/>
    <n v="71.36"/>
    <n v="71.36"/>
    <n v="71.36"/>
    <n v="2"/>
    <x v="9"/>
    <n v="15000"/>
    <n v="3000"/>
    <n v="153000"/>
    <n v="153000"/>
    <n v="153000"/>
    <n v="153000"/>
    <n v="10918080"/>
    <n v="10918080"/>
    <n v="10918080"/>
    <n v="10918080"/>
  </r>
  <r>
    <n v="1"/>
    <n v="2"/>
    <n v="11"/>
    <n v="73.48"/>
    <n v="73.48"/>
    <n v="73.48"/>
    <n v="73.48"/>
    <n v="2"/>
    <x v="10"/>
    <n v="15000"/>
    <n v="3000"/>
    <n v="153000"/>
    <n v="153000"/>
    <n v="153000"/>
    <n v="153000"/>
    <n v="11242440"/>
    <n v="11242440"/>
    <n v="11242440"/>
    <n v="11242440"/>
  </r>
  <r>
    <n v="1"/>
    <n v="3"/>
    <n v="12"/>
    <n v="100.28"/>
    <n v="100.28"/>
    <n v="100.28"/>
    <n v="100.28"/>
    <n v="3"/>
    <x v="1"/>
    <n v="10000"/>
    <n v="4500"/>
    <n v="149500"/>
    <n v="149500"/>
    <n v="149500"/>
    <n v="149500"/>
    <n v="14991860"/>
    <n v="14991860"/>
    <n v="14991860"/>
    <n v="14991860"/>
  </r>
  <r>
    <n v="1"/>
    <n v="3"/>
    <n v="13"/>
    <n v="47"/>
    <n v="47"/>
    <n v="47"/>
    <n v="47"/>
    <n v="1"/>
    <x v="2"/>
    <n v="30000"/>
    <n v="4500"/>
    <n v="169500"/>
    <n v="169500"/>
    <n v="169500"/>
    <n v="169500"/>
    <n v="7966500"/>
    <n v="7966500"/>
    <n v="7966500"/>
    <n v="7966500"/>
  </r>
  <r>
    <n v="1"/>
    <n v="3"/>
    <n v="14"/>
    <n v="65.95"/>
    <n v="65.95"/>
    <n v="65.95"/>
    <n v="65.95"/>
    <n v="2"/>
    <x v="3"/>
    <n v="15000"/>
    <n v="4500"/>
    <n v="154500"/>
    <n v="154500"/>
    <n v="154500"/>
    <n v="154500"/>
    <n v="10189275"/>
    <n v="10189275"/>
    <n v="10189275"/>
    <n v="10189275"/>
  </r>
  <r>
    <n v="1"/>
    <n v="3"/>
    <n v="15"/>
    <n v="42.64"/>
    <n v="42.64"/>
    <n v="42.64"/>
    <n v="42.64"/>
    <n v="1"/>
    <x v="4"/>
    <n v="34000"/>
    <n v="4500"/>
    <n v="173500"/>
    <n v="173500"/>
    <n v="173500"/>
    <n v="173500"/>
    <n v="7398040"/>
    <n v="7398040"/>
    <n v="7398040"/>
    <n v="7398040"/>
  </r>
  <r>
    <n v="1"/>
    <n v="3"/>
    <n v="16"/>
    <n v="42.89"/>
    <n v="42.89"/>
    <n v="42.89"/>
    <n v="42.89"/>
    <n v="1"/>
    <x v="4"/>
    <n v="34000"/>
    <n v="4500"/>
    <n v="173500"/>
    <n v="173500"/>
    <n v="173500"/>
    <n v="173500"/>
    <n v="7441415"/>
    <n v="7441415"/>
    <n v="7441415"/>
    <n v="7441415"/>
  </r>
  <r>
    <n v="1"/>
    <n v="3"/>
    <n v="17"/>
    <n v="65.56"/>
    <n v="65.56"/>
    <n v="65.56"/>
    <n v="65.56"/>
    <n v="2"/>
    <x v="5"/>
    <n v="14000"/>
    <n v="4500"/>
    <n v="153500"/>
    <n v="153500"/>
    <n v="153500"/>
    <n v="153500"/>
    <n v="10063460"/>
    <n v="10063460"/>
    <n v="10063460"/>
    <n v="10063460"/>
  </r>
  <r>
    <n v="1"/>
    <n v="3"/>
    <n v="18"/>
    <n v="78.63"/>
    <n v="78.63"/>
    <n v="78.63"/>
    <n v="78.63"/>
    <n v="2"/>
    <x v="11"/>
    <n v="12000"/>
    <n v="4500"/>
    <n v="151500"/>
    <n v="151500"/>
    <n v="151500"/>
    <n v="151500"/>
    <n v="11912445"/>
    <n v="11912445"/>
    <n v="11912445"/>
    <n v="11912445"/>
  </r>
  <r>
    <n v="1"/>
    <n v="3"/>
    <n v="19"/>
    <n v="69.91"/>
    <n v="69.91"/>
    <n v="69.91"/>
    <n v="69.91"/>
    <n v="2"/>
    <x v="12"/>
    <n v="14000"/>
    <n v="4500"/>
    <n v="153500"/>
    <n v="153500"/>
    <n v="153500"/>
    <n v="153500"/>
    <n v="10731185"/>
    <n v="10731185"/>
    <n v="10731185"/>
    <n v="10731185"/>
  </r>
  <r>
    <n v="1"/>
    <n v="3"/>
    <n v="20"/>
    <n v="107.31"/>
    <n v="107.31"/>
    <n v="107.31"/>
    <n v="107.31"/>
    <n v="3"/>
    <x v="7"/>
    <n v="8000"/>
    <n v="4500"/>
    <n v="147500"/>
    <n v="147500"/>
    <n v="147500"/>
    <n v="147500"/>
    <n v="15828225"/>
    <n v="15828225"/>
    <n v="15828225"/>
    <n v="15828225"/>
  </r>
  <r>
    <n v="1"/>
    <n v="3"/>
    <n v="21"/>
    <n v="41.84"/>
    <n v="41.84"/>
    <n v="41.84"/>
    <n v="41.84"/>
    <n v="1"/>
    <x v="4"/>
    <n v="34000"/>
    <n v="4500"/>
    <n v="176500"/>
    <n v="176500"/>
    <n v="176500"/>
    <n v="176500"/>
    <n v="7384760.0000000009"/>
    <n v="7384760.0000000009"/>
    <n v="7384760.0000000009"/>
    <n v="7384760.0000000009"/>
  </r>
  <r>
    <n v="1"/>
    <n v="3"/>
    <n v="22"/>
    <n v="62.78"/>
    <n v="62.78"/>
    <n v="62.78"/>
    <n v="62.78"/>
    <n v="2"/>
    <x v="8"/>
    <n v="14000"/>
    <n v="4500"/>
    <n v="153500"/>
    <n v="153500"/>
    <n v="153500"/>
    <n v="153500"/>
    <n v="9636730"/>
    <n v="9636730"/>
    <n v="9636730"/>
    <n v="9636730"/>
  </r>
  <r>
    <n v="1"/>
    <n v="3"/>
    <n v="23"/>
    <n v="71.099999999999994"/>
    <n v="71.099999999999994"/>
    <n v="71.099999999999994"/>
    <n v="71.099999999999994"/>
    <n v="2"/>
    <x v="9"/>
    <n v="15000"/>
    <n v="4500"/>
    <n v="154500"/>
    <n v="154500"/>
    <n v="154500"/>
    <n v="154500"/>
    <n v="10984950"/>
    <n v="10984950"/>
    <n v="10984950"/>
    <n v="10984950"/>
  </r>
  <r>
    <n v="1"/>
    <n v="3"/>
    <n v="24"/>
    <n v="72.66"/>
    <n v="72.66"/>
    <n v="72.66"/>
    <n v="72.66"/>
    <n v="2"/>
    <x v="10"/>
    <n v="15000"/>
    <n v="4500"/>
    <n v="154500"/>
    <n v="154500"/>
    <n v="154500"/>
    <n v="154500"/>
    <n v="11225970"/>
    <n v="11225970"/>
    <n v="11225970"/>
    <n v="11225970"/>
  </r>
  <r>
    <n v="1"/>
    <n v="4"/>
    <n v="25"/>
    <n v="92.62"/>
    <n v="92.62"/>
    <n v="92.62"/>
    <n v="92.62"/>
    <n v="3"/>
    <x v="13"/>
    <n v="11000"/>
    <n v="6000"/>
    <n v="152000"/>
    <n v="152000"/>
    <n v="152000"/>
    <n v="152000"/>
    <n v="14078240"/>
    <n v="14078240"/>
    <n v="14078240"/>
    <n v="14078240"/>
  </r>
  <r>
    <n v="1"/>
    <n v="4"/>
    <n v="26"/>
    <n v="46.88"/>
    <n v="46.88"/>
    <n v="46.88"/>
    <n v="46.88"/>
    <n v="1"/>
    <x v="2"/>
    <n v="30000"/>
    <n v="6000"/>
    <n v="171000"/>
    <n v="171000"/>
    <n v="171000"/>
    <n v="171000"/>
    <n v="8016480"/>
    <n v="8016480"/>
    <n v="8016480"/>
    <n v="8016480"/>
  </r>
  <r>
    <n v="1"/>
    <n v="4"/>
    <n v="27"/>
    <n v="65.48"/>
    <n v="65.48"/>
    <n v="65.48"/>
    <n v="65.48"/>
    <n v="2"/>
    <x v="3"/>
    <n v="15000"/>
    <n v="6000"/>
    <n v="156000"/>
    <n v="156000"/>
    <n v="156000"/>
    <n v="156000"/>
    <n v="10214880"/>
    <n v="10214880"/>
    <n v="10214880"/>
    <n v="10214880"/>
  </r>
  <r>
    <n v="1"/>
    <n v="4"/>
    <n v="28"/>
    <n v="42.41"/>
    <n v="42.41"/>
    <n v="42.41"/>
    <n v="42.41"/>
    <n v="1"/>
    <x v="4"/>
    <n v="34000"/>
    <n v="6000"/>
    <n v="175000"/>
    <n v="175000"/>
    <n v="175000"/>
    <n v="175000"/>
    <n v="7421749.9999999991"/>
    <n v="7421749.9999999991"/>
    <n v="7421749.9999999991"/>
    <n v="7421749.9999999991"/>
  </r>
  <r>
    <n v="1"/>
    <n v="4"/>
    <n v="29"/>
    <n v="42.89"/>
    <n v="42.89"/>
    <n v="42.89"/>
    <n v="42.89"/>
    <n v="1"/>
    <x v="4"/>
    <n v="34000"/>
    <n v="6000"/>
    <n v="175000"/>
    <n v="175000"/>
    <n v="175000"/>
    <n v="175000"/>
    <n v="7505750"/>
    <n v="7505750"/>
    <n v="7505750"/>
    <n v="7505750"/>
  </r>
  <r>
    <n v="1"/>
    <n v="4"/>
    <n v="30"/>
    <n v="62.23"/>
    <n v="62.23"/>
    <n v="62.23"/>
    <n v="62.23"/>
    <n v="2"/>
    <x v="5"/>
    <n v="14000"/>
    <n v="6000"/>
    <n v="155000"/>
    <n v="155000"/>
    <n v="155000"/>
    <n v="155000"/>
    <n v="9645650"/>
    <n v="9645650"/>
    <n v="9645650"/>
    <n v="9645650"/>
  </r>
  <r>
    <n v="1"/>
    <n v="4"/>
    <n v="31"/>
    <n v="76.78"/>
    <n v="76.78"/>
    <n v="76.78"/>
    <n v="76.78"/>
    <n v="2"/>
    <x v="11"/>
    <n v="12000"/>
    <n v="6000"/>
    <n v="153000"/>
    <n v="153000"/>
    <n v="153000"/>
    <n v="153000"/>
    <n v="11747340"/>
    <n v="11747340"/>
    <n v="11747340"/>
    <n v="11747340"/>
  </r>
  <r>
    <n v="1"/>
    <n v="4"/>
    <n v="32"/>
    <n v="69.91"/>
    <n v="69.91"/>
    <n v="69.91"/>
    <n v="69.91"/>
    <n v="2"/>
    <x v="12"/>
    <n v="14000"/>
    <n v="6000"/>
    <n v="155000"/>
    <n v="155000"/>
    <n v="155000"/>
    <n v="155000"/>
    <n v="10836050"/>
    <n v="10836050"/>
    <n v="10836050"/>
    <n v="10836050"/>
  </r>
  <r>
    <n v="1"/>
    <n v="4"/>
    <n v="33"/>
    <n v="107.31"/>
    <n v="107.31"/>
    <n v="107.31"/>
    <n v="107.31"/>
    <n v="3"/>
    <x v="7"/>
    <n v="8000"/>
    <n v="6000"/>
    <n v="149000"/>
    <n v="149000"/>
    <n v="149000"/>
    <n v="149000"/>
    <n v="15989190"/>
    <n v="15989190"/>
    <n v="15989190"/>
    <n v="15989190"/>
  </r>
  <r>
    <n v="1"/>
    <n v="4"/>
    <n v="34"/>
    <n v="41.84"/>
    <n v="41.84"/>
    <n v="41.84"/>
    <n v="41.84"/>
    <n v="1"/>
    <x v="4"/>
    <n v="34000"/>
    <n v="6000"/>
    <n v="178000"/>
    <n v="178000"/>
    <n v="178000"/>
    <n v="178000"/>
    <n v="7447520.0000000009"/>
    <n v="7447520.0000000009"/>
    <n v="7447520.0000000009"/>
    <n v="7447520.0000000009"/>
  </r>
  <r>
    <n v="1"/>
    <n v="4"/>
    <n v="35"/>
    <n v="62.78"/>
    <n v="62.78"/>
    <n v="62.78"/>
    <n v="62.78"/>
    <n v="2"/>
    <x v="8"/>
    <n v="14000"/>
    <n v="6000"/>
    <n v="155000"/>
    <n v="155000"/>
    <n v="155000"/>
    <n v="155000"/>
    <n v="9730900"/>
    <n v="9730900"/>
    <n v="9730900"/>
    <n v="9730900"/>
  </r>
  <r>
    <n v="1"/>
    <n v="4"/>
    <n v="36"/>
    <n v="71.099999999999994"/>
    <n v="71.099999999999994"/>
    <n v="71.099999999999994"/>
    <n v="71.099999999999994"/>
    <n v="2"/>
    <x v="9"/>
    <n v="15000"/>
    <n v="6000"/>
    <n v="156000"/>
    <n v="156000"/>
    <n v="156000"/>
    <n v="156000"/>
    <n v="11091600"/>
    <n v="11091600"/>
    <n v="11091600"/>
    <n v="11091600"/>
  </r>
  <r>
    <n v="1"/>
    <n v="4"/>
    <n v="37"/>
    <n v="72.66"/>
    <n v="72.66"/>
    <n v="72.66"/>
    <n v="72.66"/>
    <n v="2"/>
    <x v="10"/>
    <n v="15000"/>
    <n v="6000"/>
    <n v="156000"/>
    <n v="156000"/>
    <n v="156000"/>
    <n v="156000"/>
    <n v="11334960"/>
    <n v="11334960"/>
    <n v="11334960"/>
    <n v="11334960"/>
  </r>
  <r>
    <n v="1"/>
    <n v="5"/>
    <n v="38"/>
    <n v="92.62"/>
    <n v="92.62"/>
    <n v="92.62"/>
    <n v="92.62"/>
    <n v="3"/>
    <x v="13"/>
    <n v="11000"/>
    <n v="7500"/>
    <n v="153500"/>
    <n v="153500"/>
    <n v="153500"/>
    <n v="153500"/>
    <n v="14217170"/>
    <n v="14217170"/>
    <n v="14217170"/>
    <n v="14217170"/>
  </r>
  <r>
    <n v="1"/>
    <n v="5"/>
    <n v="39"/>
    <n v="46.86"/>
    <n v="46.86"/>
    <n v="46.86"/>
    <n v="46.86"/>
    <n v="1"/>
    <x v="2"/>
    <n v="30000"/>
    <n v="7500"/>
    <n v="172500"/>
    <n v="172500"/>
    <n v="172500"/>
    <n v="172500"/>
    <n v="8083350"/>
    <n v="8083350"/>
    <n v="8083350"/>
    <n v="8083350"/>
  </r>
  <r>
    <n v="1"/>
    <n v="5"/>
    <n v="40"/>
    <n v="66.14"/>
    <n v="66.14"/>
    <n v="66.14"/>
    <n v="66.14"/>
    <n v="2"/>
    <x v="3"/>
    <n v="15000"/>
    <n v="7500"/>
    <n v="160500"/>
    <n v="160500"/>
    <n v="160500"/>
    <n v="160500"/>
    <n v="10615470"/>
    <n v="10615470"/>
    <n v="10615470"/>
    <n v="10615470"/>
  </r>
  <r>
    <n v="1"/>
    <n v="5"/>
    <n v="41"/>
    <n v="42.99"/>
    <n v="42.99"/>
    <n v="42.99"/>
    <n v="42.99"/>
    <n v="1"/>
    <x v="4"/>
    <n v="34000"/>
    <n v="7500"/>
    <n v="179500"/>
    <n v="179500"/>
    <n v="179500"/>
    <n v="179500"/>
    <n v="7716705"/>
    <n v="7716705"/>
    <n v="7716705"/>
    <n v="7716705"/>
  </r>
  <r>
    <n v="1"/>
    <n v="5"/>
    <n v="42"/>
    <n v="43.41"/>
    <n v="43.41"/>
    <n v="43.41"/>
    <n v="43.41"/>
    <n v="1"/>
    <x v="4"/>
    <n v="34000"/>
    <n v="7500"/>
    <n v="179500"/>
    <n v="179500"/>
    <n v="179500"/>
    <n v="179500"/>
    <n v="7792094.9999999991"/>
    <n v="7792094.9999999991"/>
    <n v="7792094.9999999991"/>
    <n v="7792094.9999999991"/>
  </r>
  <r>
    <n v="1"/>
    <n v="5"/>
    <n v="43"/>
    <n v="83.55"/>
    <n v="83.55"/>
    <n v="83.55"/>
    <n v="83.55"/>
    <n v="3"/>
    <x v="14"/>
    <n v="12000"/>
    <n v="7500"/>
    <n v="154500"/>
    <n v="154500"/>
    <n v="154500"/>
    <n v="154500"/>
    <n v="12908475"/>
    <n v="12908475"/>
    <n v="12908475"/>
    <n v="12908475"/>
  </r>
  <r>
    <n v="1"/>
    <n v="5"/>
    <n v="44"/>
    <n v="97.54"/>
    <n v="97.54"/>
    <n v="97.54"/>
    <n v="97.54"/>
    <n v="3"/>
    <x v="15"/>
    <n v="11000"/>
    <n v="7500"/>
    <n v="156500"/>
    <n v="156500"/>
    <n v="156500"/>
    <n v="156500"/>
    <n v="15265010.000000002"/>
    <n v="15265010.000000002"/>
    <n v="15265010.000000002"/>
    <n v="15265010.000000002"/>
  </r>
  <r>
    <n v="1"/>
    <n v="5"/>
    <n v="45"/>
    <n v="62.55"/>
    <n v="62.55"/>
    <n v="62.55"/>
    <n v="62.55"/>
    <n v="2"/>
    <x v="8"/>
    <n v="14000"/>
    <n v="7500"/>
    <n v="159500"/>
    <n v="159500"/>
    <n v="159500"/>
    <n v="159500"/>
    <n v="9976725"/>
    <n v="9976725"/>
    <n v="9976725"/>
    <n v="9976725"/>
  </r>
  <r>
    <n v="1"/>
    <n v="5"/>
    <n v="46"/>
    <n v="62.86"/>
    <n v="62.86"/>
    <n v="62.86"/>
    <n v="62.86"/>
    <n v="2"/>
    <x v="8"/>
    <n v="14000"/>
    <n v="7500"/>
    <n v="156500"/>
    <n v="156500"/>
    <n v="156500"/>
    <n v="156500"/>
    <n v="9837590"/>
    <n v="9837590"/>
    <n v="9837590"/>
    <n v="9837590"/>
  </r>
  <r>
    <n v="1"/>
    <n v="5"/>
    <n v="47"/>
    <n v="72.3"/>
    <n v="72.3"/>
    <n v="72.3"/>
    <n v="72.3"/>
    <n v="2"/>
    <x v="9"/>
    <n v="15000"/>
    <n v="7500"/>
    <n v="157500"/>
    <n v="157500"/>
    <n v="157500"/>
    <n v="157500"/>
    <n v="11387250"/>
    <n v="11387250"/>
    <n v="11387250"/>
    <n v="11387250"/>
  </r>
  <r>
    <n v="1"/>
    <n v="6"/>
    <n v="48"/>
    <n v="92.17"/>
    <n v="92.17"/>
    <n v="92.17"/>
    <n v="92.17"/>
    <n v="3"/>
    <x v="13"/>
    <n v="11000"/>
    <n v="9000"/>
    <n v="155000"/>
    <n v="155000"/>
    <n v="155000"/>
    <n v="155000"/>
    <n v="14286350"/>
    <n v="14286350"/>
    <n v="14286350"/>
    <n v="14286350"/>
  </r>
  <r>
    <n v="1"/>
    <n v="6"/>
    <n v="49"/>
    <n v="46.7"/>
    <n v="46.7"/>
    <n v="46.7"/>
    <n v="46.7"/>
    <n v="1"/>
    <x v="2"/>
    <n v="30000"/>
    <n v="9000"/>
    <n v="174000"/>
    <n v="174000"/>
    <n v="174000"/>
    <n v="174000"/>
    <n v="8125800.0000000009"/>
    <n v="8125800.0000000009"/>
    <n v="8125800.0000000009"/>
    <n v="8125800.0000000009"/>
  </r>
  <r>
    <n v="1"/>
    <n v="6"/>
    <n v="50"/>
    <n v="65.84"/>
    <n v="65.84"/>
    <n v="65.84"/>
    <n v="65.84"/>
    <n v="2"/>
    <x v="3"/>
    <n v="15000"/>
    <n v="9000"/>
    <n v="162000"/>
    <n v="162000"/>
    <n v="162000"/>
    <n v="162000"/>
    <n v="10666080"/>
    <n v="10666080"/>
    <n v="10666080"/>
    <n v="10666080"/>
  </r>
  <r>
    <n v="1"/>
    <n v="6"/>
    <n v="51"/>
    <n v="42.98"/>
    <n v="42.98"/>
    <n v="42.98"/>
    <n v="42.98"/>
    <n v="1"/>
    <x v="4"/>
    <n v="34000"/>
    <n v="9000"/>
    <n v="181000"/>
    <n v="181000"/>
    <n v="181000"/>
    <n v="181000"/>
    <n v="7779379.9999999991"/>
    <n v="7779379.9999999991"/>
    <n v="7779379.9999999991"/>
    <n v="7779379.9999999991"/>
  </r>
  <r>
    <n v="1"/>
    <n v="6"/>
    <n v="52"/>
    <n v="43.46"/>
    <n v="43.46"/>
    <n v="43.46"/>
    <n v="43.46"/>
    <n v="1"/>
    <x v="4"/>
    <n v="34000"/>
    <n v="9000"/>
    <n v="181000"/>
    <n v="181000"/>
    <n v="181000"/>
    <n v="181000"/>
    <n v="7866260"/>
    <n v="7866260"/>
    <n v="7866260"/>
    <n v="7866260"/>
  </r>
  <r>
    <n v="1"/>
    <n v="6"/>
    <n v="53"/>
    <n v="83.57"/>
    <n v="83.57"/>
    <n v="83.57"/>
    <n v="83.57"/>
    <n v="3"/>
    <x v="14"/>
    <n v="12000"/>
    <n v="9000"/>
    <n v="156000"/>
    <n v="156000"/>
    <n v="156000"/>
    <n v="156000"/>
    <n v="13036919.999999998"/>
    <n v="13036919.999999998"/>
    <n v="13036919.999999998"/>
    <n v="13036919.999999998"/>
  </r>
  <r>
    <n v="1"/>
    <n v="6"/>
    <n v="54"/>
    <n v="91.39"/>
    <n v="91.39"/>
    <n v="91.39"/>
    <n v="91.39"/>
    <n v="3"/>
    <x v="15"/>
    <n v="11000"/>
    <n v="9000"/>
    <n v="155000"/>
    <n v="155000"/>
    <n v="155000"/>
    <n v="155000"/>
    <n v="14165450"/>
    <n v="14165450"/>
    <n v="14165450"/>
    <n v="14165450"/>
  </r>
  <r>
    <n v="1"/>
    <n v="7"/>
    <n v="55"/>
    <n v="92.26"/>
    <n v="92.26"/>
    <n v="92.26"/>
    <n v="92.26"/>
    <n v="3"/>
    <x v="13"/>
    <n v="11000"/>
    <n v="10500"/>
    <n v="156500"/>
    <n v="156500"/>
    <n v="156500"/>
    <n v="156500"/>
    <n v="14438690"/>
    <n v="14438690"/>
    <n v="14438690"/>
    <n v="14438690"/>
  </r>
  <r>
    <n v="1"/>
    <n v="7"/>
    <n v="56"/>
    <n v="46.83"/>
    <n v="46.83"/>
    <n v="46.83"/>
    <n v="46.83"/>
    <n v="1"/>
    <x v="2"/>
    <n v="30000"/>
    <n v="10500"/>
    <n v="175500"/>
    <n v="175500"/>
    <n v="175500"/>
    <n v="175500"/>
    <n v="8218665"/>
    <n v="8218665"/>
    <n v="8218665"/>
    <n v="8218665"/>
  </r>
  <r>
    <n v="1"/>
    <n v="7"/>
    <n v="57"/>
    <n v="65.89"/>
    <n v="65.89"/>
    <n v="65.89"/>
    <n v="65.89"/>
    <n v="2"/>
    <x v="3"/>
    <n v="15000"/>
    <n v="10500"/>
    <n v="163500"/>
    <n v="163500"/>
    <n v="163500"/>
    <n v="163500"/>
    <n v="10773015"/>
    <n v="10773015"/>
    <n v="10773015"/>
    <n v="10773015"/>
  </r>
  <r>
    <n v="1"/>
    <n v="7"/>
    <n v="58"/>
    <n v="43.05"/>
    <n v="43.05"/>
    <n v="43.05"/>
    <n v="43.05"/>
    <n v="1"/>
    <x v="4"/>
    <n v="34000"/>
    <n v="10500"/>
    <n v="182500"/>
    <n v="182500"/>
    <n v="182500"/>
    <n v="182500"/>
    <n v="7856624.9999999991"/>
    <n v="7856624.9999999991"/>
    <n v="7856624.9999999991"/>
    <n v="7856624.9999999991"/>
  </r>
  <r>
    <n v="1"/>
    <n v="7"/>
    <n v="59"/>
    <n v="43.48"/>
    <n v="43.48"/>
    <n v="43.48"/>
    <n v="43.48"/>
    <n v="1"/>
    <x v="4"/>
    <n v="34000"/>
    <n v="10500"/>
    <n v="182500"/>
    <n v="182500"/>
    <n v="182500"/>
    <n v="182500"/>
    <n v="7935099.9999999991"/>
    <n v="7935099.9999999991"/>
    <n v="7935099.9999999991"/>
    <n v="7935099.9999999991"/>
  </r>
  <r>
    <n v="1"/>
    <n v="7"/>
    <n v="60"/>
    <n v="42.53"/>
    <n v="42.53"/>
    <n v="42.53"/>
    <n v="42.53"/>
    <n v="1"/>
    <x v="4"/>
    <n v="34000"/>
    <n v="10500"/>
    <n v="182500"/>
    <n v="182500"/>
    <n v="182500"/>
    <n v="182500"/>
    <n v="7761725"/>
    <n v="7761725"/>
    <n v="7761725"/>
    <n v="7761725"/>
  </r>
  <r>
    <n v="1"/>
    <n v="7"/>
    <n v="61"/>
    <n v="62.57"/>
    <n v="62.57"/>
    <n v="62.57"/>
    <n v="62.57"/>
    <n v="2"/>
    <x v="16"/>
    <n v="15000"/>
    <n v="10500"/>
    <n v="160500"/>
    <n v="160500"/>
    <n v="160500"/>
    <n v="160500"/>
    <n v="10042485"/>
    <n v="10042485"/>
    <n v="10042485"/>
    <n v="10042485"/>
  </r>
  <r>
    <n v="1"/>
    <n v="7"/>
    <n v="62"/>
    <n v="91.08"/>
    <n v="91.08"/>
    <n v="91.08"/>
    <n v="91.08"/>
    <n v="3"/>
    <x v="15"/>
    <n v="11000"/>
    <n v="10500"/>
    <n v="156500"/>
    <n v="156500"/>
    <n v="156500"/>
    <n v="156500"/>
    <n v="14254020"/>
    <n v="14254020"/>
    <n v="14254020"/>
    <n v="14254020"/>
  </r>
  <r>
    <n v="1"/>
    <n v="8"/>
    <n v="63"/>
    <n v="92.08"/>
    <n v="92.08"/>
    <n v="92.08"/>
    <n v="92.08"/>
    <n v="3"/>
    <x v="13"/>
    <n v="11000"/>
    <n v="12000"/>
    <n v="158000"/>
    <n v="158000"/>
    <n v="158000"/>
    <n v="158000"/>
    <n v="14548640"/>
    <n v="14548640"/>
    <n v="14548640"/>
    <n v="14548640"/>
  </r>
  <r>
    <n v="1"/>
    <n v="8"/>
    <n v="64"/>
    <n v="46.83"/>
    <n v="46.83"/>
    <n v="46.83"/>
    <n v="46.83"/>
    <n v="1"/>
    <x v="2"/>
    <n v="30000"/>
    <n v="12000"/>
    <n v="177000"/>
    <n v="177000"/>
    <n v="177000"/>
    <n v="177000"/>
    <n v="8288910"/>
    <n v="8288910"/>
    <n v="8288910"/>
    <n v="8288910"/>
  </r>
  <r>
    <n v="1"/>
    <n v="8"/>
    <n v="65"/>
    <n v="65.89"/>
    <n v="65.89"/>
    <n v="65.89"/>
    <n v="65.89"/>
    <n v="2"/>
    <x v="3"/>
    <n v="15000"/>
    <n v="12000"/>
    <n v="165000"/>
    <n v="165000"/>
    <n v="165000"/>
    <n v="165000"/>
    <n v="10871850"/>
    <n v="10871850"/>
    <n v="10871850"/>
    <n v="10871850"/>
  </r>
  <r>
    <n v="1"/>
    <n v="8"/>
    <n v="66"/>
    <n v="43.05"/>
    <n v="43.05"/>
    <n v="43.05"/>
    <n v="43.05"/>
    <n v="1"/>
    <x v="4"/>
    <n v="34000"/>
    <n v="12000"/>
    <n v="185000"/>
    <n v="185000"/>
    <n v="185000"/>
    <n v="185000"/>
    <n v="7964249.9999999991"/>
    <n v="7964249.9999999991"/>
    <n v="7964249.9999999991"/>
    <n v="7964249.9999999991"/>
  </r>
  <r>
    <n v="1"/>
    <n v="8"/>
    <n v="67"/>
    <n v="43.48"/>
    <n v="43.48"/>
    <n v="43.48"/>
    <n v="43.48"/>
    <n v="1"/>
    <x v="4"/>
    <n v="34000"/>
    <n v="12000"/>
    <n v="184000"/>
    <n v="184000"/>
    <n v="184000"/>
    <n v="184000"/>
    <n v="8000319.9999999991"/>
    <n v="8000319.9999999991"/>
    <n v="8000319.9999999991"/>
    <n v="8000319.9999999991"/>
  </r>
  <r>
    <n v="1"/>
    <n v="8"/>
    <n v="68"/>
    <n v="42.53"/>
    <n v="42.53"/>
    <n v="42.53"/>
    <n v="42.53"/>
    <n v="1"/>
    <x v="4"/>
    <n v="34000"/>
    <n v="12000"/>
    <n v="184000"/>
    <n v="184000"/>
    <n v="184000"/>
    <n v="184000"/>
    <n v="7825520"/>
    <n v="7825520"/>
    <n v="7825520"/>
    <n v="7825520"/>
  </r>
  <r>
    <n v="1"/>
    <n v="8"/>
    <n v="69"/>
    <n v="62.62"/>
    <n v="62.62"/>
    <n v="62.62"/>
    <n v="62.62"/>
    <n v="2"/>
    <x v="16"/>
    <n v="15000"/>
    <n v="12000"/>
    <n v="162000"/>
    <n v="162000"/>
    <n v="162000"/>
    <n v="162000"/>
    <n v="10144440"/>
    <n v="10144440"/>
    <n v="10144440"/>
    <n v="10144440"/>
  </r>
  <r>
    <n v="1"/>
    <n v="8"/>
    <n v="70"/>
    <n v="91.03"/>
    <n v="91.03"/>
    <n v="91.03"/>
    <n v="91.03"/>
    <n v="3"/>
    <x v="15"/>
    <n v="11000"/>
    <n v="12000"/>
    <n v="158000"/>
    <n v="158000"/>
    <n v="158000"/>
    <n v="158000"/>
    <n v="14382740"/>
    <n v="14382740"/>
    <n v="14382740"/>
    <n v="14382740"/>
  </r>
  <r>
    <n v="1"/>
    <n v="9"/>
    <n v="71"/>
    <n v="90.95"/>
    <n v="90.95"/>
    <n v="90.95"/>
    <n v="90.95"/>
    <n v="3"/>
    <x v="13"/>
    <n v="11000"/>
    <n v="13500"/>
    <n v="159500"/>
    <n v="159500"/>
    <n v="159500"/>
    <n v="159500"/>
    <n v="14506525"/>
    <n v="14506525"/>
    <n v="14506525"/>
    <n v="14506525"/>
  </r>
  <r>
    <n v="1"/>
    <n v="9"/>
    <n v="72"/>
    <n v="46.83"/>
    <n v="46.83"/>
    <n v="46.83"/>
    <n v="46.83"/>
    <n v="1"/>
    <x v="2"/>
    <n v="30000"/>
    <n v="13500"/>
    <n v="178500"/>
    <n v="178500"/>
    <n v="178500"/>
    <n v="178500"/>
    <n v="8359155"/>
    <n v="8359155"/>
    <n v="8359155"/>
    <n v="8359155"/>
  </r>
  <r>
    <n v="1"/>
    <n v="9"/>
    <n v="73"/>
    <n v="65.27"/>
    <n v="65.27"/>
    <n v="65.27"/>
    <n v="65.27"/>
    <n v="2"/>
    <x v="3"/>
    <n v="15000"/>
    <n v="13500"/>
    <n v="163500"/>
    <n v="163500"/>
    <n v="163500"/>
    <n v="163500"/>
    <n v="10671645"/>
    <n v="10671645"/>
    <n v="10671645"/>
    <n v="10671645"/>
  </r>
  <r>
    <n v="1"/>
    <n v="9"/>
    <n v="74"/>
    <n v="42.43"/>
    <n v="42.43"/>
    <n v="42.43"/>
    <n v="42.43"/>
    <n v="1"/>
    <x v="4"/>
    <n v="34000"/>
    <n v="13500"/>
    <n v="185500"/>
    <n v="185500"/>
    <n v="185500"/>
    <n v="185500"/>
    <n v="7870765"/>
    <n v="7870765"/>
    <n v="7870765"/>
    <n v="7870765"/>
  </r>
  <r>
    <n v="1"/>
    <n v="9"/>
    <n v="75"/>
    <n v="42.86"/>
    <n v="42.86"/>
    <n v="42.86"/>
    <n v="42.86"/>
    <n v="1"/>
    <x v="4"/>
    <n v="34000"/>
    <n v="13500"/>
    <n v="185500"/>
    <n v="185500"/>
    <n v="185500"/>
    <n v="185500"/>
    <n v="7950530"/>
    <n v="7950530"/>
    <n v="7950530"/>
    <n v="7950530"/>
  </r>
  <r>
    <n v="1"/>
    <n v="9"/>
    <n v="76"/>
    <n v="42.53"/>
    <n v="42.53"/>
    <n v="42.53"/>
    <n v="42.53"/>
    <n v="1"/>
    <x v="4"/>
    <n v="34000"/>
    <n v="13500"/>
    <n v="185500"/>
    <n v="185500"/>
    <n v="185500"/>
    <n v="185500"/>
    <n v="7889315"/>
    <n v="7889315"/>
    <n v="7889315"/>
    <n v="7889315"/>
  </r>
  <r>
    <n v="1"/>
    <n v="9"/>
    <n v="77"/>
    <n v="62.2"/>
    <n v="62.2"/>
    <n v="62.2"/>
    <n v="62.2"/>
    <n v="2"/>
    <x v="16"/>
    <n v="15000"/>
    <n v="13500"/>
    <n v="163500"/>
    <n v="163500"/>
    <n v="163500"/>
    <n v="163500"/>
    <n v="10169700"/>
    <n v="10169700"/>
    <n v="10169700"/>
    <n v="10169700"/>
  </r>
  <r>
    <n v="1"/>
    <n v="9"/>
    <n v="78"/>
    <n v="91.03"/>
    <n v="91.03"/>
    <n v="91.03"/>
    <n v="91.03"/>
    <n v="3"/>
    <x v="15"/>
    <n v="11000"/>
    <n v="13500"/>
    <n v="159500"/>
    <n v="159500"/>
    <n v="159500"/>
    <n v="159500"/>
    <n v="14519285"/>
    <n v="14519285"/>
    <n v="14519285"/>
    <n v="14519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9F9CC-13AE-45F1-821F-0F2E14C96918}" name="СводнаяТаблица1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>
  <location ref="A5:K23" firstHeaderRow="0" firstDataRow="1" firstDataCol="1"/>
  <pivotFields count="20"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axis="axisRow" showAll="0">
      <items count="31">
        <item x="4"/>
        <item m="1" x="20"/>
        <item x="2"/>
        <item n="StS" x="0"/>
        <item m="1" x="29"/>
        <item m="1" x="26"/>
        <item m="1" x="19"/>
        <item m="1" x="24"/>
        <item m="1" x="18"/>
        <item m="1" x="22"/>
        <item m="1" x="17"/>
        <item m="1" x="25"/>
        <item x="3"/>
        <item x="5"/>
        <item x="8"/>
        <item x="9"/>
        <item x="10"/>
        <item x="11"/>
        <item x="12"/>
        <item m="1" x="27"/>
        <item m="1" x="23"/>
        <item m="1" x="28"/>
        <item x="16"/>
        <item x="1"/>
        <item x="13"/>
        <item x="7"/>
        <item x="14"/>
        <item x="15"/>
        <item m="1" x="21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dragToRow="0" dragToCol="0" dragToPage="0" showAll="0" defaultSubtotal="0"/>
  </pivotFields>
  <rowFields count="1">
    <field x="8"/>
  </rowFields>
  <rowItems count="18">
    <i>
      <x/>
    </i>
    <i>
      <x v="2"/>
    </i>
    <i>
      <x v="3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7"/>
    </i>
    <i>
      <x v="2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Количество по полю Номер" fld="2" subtotal="count" baseField="0" baseItem="0"/>
    <dataField name="Сумма по полю Площадь" fld="3" baseField="8" baseItem="8" numFmtId="165"/>
    <dataField name="Среднее по полю Площадь сред." fld="5" subtotal="average" baseField="8" baseItem="8" numFmtId="166"/>
    <dataField name="Минимум по полю Цена мин" fld="12" subtotal="min" baseField="8" baseItem="8" numFmtId="165"/>
    <dataField name="Максимум по полю Цена сред" fld="13" subtotal="max" baseField="8" baseItem="8" numFmtId="165"/>
    <dataField name="Сумма по полю Сумма" fld="15" baseField="8" baseItem="8" numFmtId="165"/>
    <dataField name="Минимум по полю Сумма мин" fld="16" subtotal="min" baseField="8" baseItem="8" numFmtId="165"/>
    <dataField name="Среднее по полю Сумма сред" fld="17" subtotal="average" baseField="8" baseItem="8" numFmtId="165"/>
    <dataField name="Максимум по полю Сумма макс" fld="18" subtotal="max" baseField="8" baseItem="8" numFmtId="165"/>
    <dataField name="Сумма по полю Средняя цена" fld="19" baseField="0" baseItem="0" numFmtId="165"/>
  </dataFields>
  <formats count="70">
    <format dxfId="69">
      <pivotArea outline="0" collapsedLevelsAreSubtotals="1" fieldPosition="0">
        <references count="1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8">
      <pivotArea dataOnly="0" labelOnly="1" outline="0" fieldPosition="0">
        <references count="1">
          <reference field="4294967294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7">
      <pivotArea dataOnly="0" labelOnly="1" grandRow="1" outline="0" fieldPosition="0"/>
    </format>
    <format dxfId="66">
      <pivotArea field="8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65">
      <pivotArea field="8" grandRow="1" outline="0" collapsedLevelsAreSubtotals="1" axis="axisRow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64">
      <pivotArea field="8" grandRow="1" outline="0" collapsedLevelsAreSubtotals="1" axis="axisRow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63">
      <pivotArea type="all" dataOnly="0" outline="0" fieldPosition="0"/>
    </format>
    <format dxfId="62">
      <pivotArea field="8" type="button" dataOnly="0" labelOnly="1" outline="0" axis="axisRow" fieldPosition="0"/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9">
      <pivotArea dataOnly="0" labelOnly="1" grandRow="1" outline="0" fieldPosition="0"/>
    </format>
    <format dxfId="58">
      <pivotArea field="8" grandRow="1" outline="0" collapsedLevelsAreSubtotals="1" axis="axisRow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57">
      <pivotArea dataOnly="0" labelOnly="1" grandRow="1" outline="0" fieldPosition="0"/>
    </format>
    <format dxfId="56">
      <pivotArea field="8" grandRow="1" outline="0" collapsedLevelsAreSubtotals="1" axis="axisRow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55">
      <pivotArea field="8" grandRow="1" outline="0" collapsedLevelsAreSubtotals="1" axis="axisRow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54">
      <pivotArea field="8" grandRow="1" outline="0" collapsedLevelsAreSubtotals="1" axis="axisRow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53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field="8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47">
      <pivotArea field="8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46">
      <pivotArea field="8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45">
      <pivotArea grandRow="1" outline="0" collapsedLevelsAreSubtotals="1" fieldPosition="0"/>
    </format>
    <format dxfId="44">
      <pivotArea grandRow="1" outline="0" collapsedLevelsAreSubtotals="1" fieldPosition="0"/>
    </format>
    <format dxfId="43">
      <pivotArea dataOnly="0" labelOnly="1" grandRow="1" outline="0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outline="0" collapsedLevelsAreSubtotals="1" fieldPosition="0"/>
    </format>
    <format dxfId="37">
      <pivotArea dataOnly="0" labelOnly="1" fieldPosition="0">
        <references count="1">
          <reference field="8" count="0"/>
        </references>
      </pivotArea>
    </format>
    <format dxfId="36">
      <pivotArea dataOnly="0" labelOnly="1" grandRow="1" outline="0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1">
      <pivotArea collapsedLevelsAreSubtotals="1" fieldPosition="0">
        <references count="1">
          <reference field="8" count="3">
            <x v="4"/>
            <x v="5"/>
            <x v="6"/>
          </reference>
        </references>
      </pivotArea>
    </format>
    <format dxfId="30">
      <pivotArea dataOnly="0" labelOnly="1" fieldPosition="0">
        <references count="1">
          <reference field="8" count="3">
            <x v="4"/>
            <x v="5"/>
            <x v="6"/>
          </reference>
        </references>
      </pivotArea>
    </format>
    <format dxfId="29">
      <pivotArea collapsedLevelsAreSubtotals="1" fieldPosition="0">
        <references count="1">
          <reference field="8" count="1">
            <x v="7"/>
          </reference>
        </references>
      </pivotArea>
    </format>
    <format dxfId="28">
      <pivotArea dataOnly="0" labelOnly="1" fieldPosition="0">
        <references count="1">
          <reference field="8" count="1">
            <x v="7"/>
          </reference>
        </references>
      </pivotArea>
    </format>
    <format dxfId="27">
      <pivotArea dataOnly="0" fieldPosition="0">
        <references count="1">
          <reference field="8" count="1">
            <x v="8"/>
          </reference>
        </references>
      </pivotArea>
    </format>
    <format dxfId="26">
      <pivotArea collapsedLevelsAreSubtotals="1" fieldPosition="0">
        <references count="1">
          <reference field="8" count="3">
            <x v="9"/>
            <x v="10"/>
            <x v="11"/>
          </reference>
        </references>
      </pivotArea>
    </format>
    <format dxfId="25">
      <pivotArea dataOnly="0" labelOnly="1" fieldPosition="0">
        <references count="1">
          <reference field="8" count="3">
            <x v="9"/>
            <x v="10"/>
            <x v="11"/>
          </reference>
        </references>
      </pivotArea>
    </format>
    <format dxfId="24">
      <pivotArea collapsedLevelsAreSubtotals="1" fieldPosition="0">
        <references count="1">
          <reference field="8" count="1">
            <x v="28"/>
          </reference>
        </references>
      </pivotArea>
    </format>
    <format dxfId="23">
      <pivotArea dataOnly="0" labelOnly="1" fieldPosition="0">
        <references count="1">
          <reference field="8" count="1">
            <x v="28"/>
          </reference>
        </references>
      </pivotArea>
    </format>
    <format dxfId="22">
      <pivotArea collapsedLevelsAreSubtotals="1" fieldPosition="0">
        <references count="1">
          <reference field="8" count="4">
            <x v="23"/>
            <x v="25"/>
            <x v="26"/>
            <x v="27"/>
          </reference>
        </references>
      </pivotArea>
    </format>
    <format dxfId="21">
      <pivotArea dataOnly="0" labelOnly="1" fieldPosition="0">
        <references count="1">
          <reference field="8" count="4">
            <x v="23"/>
            <x v="25"/>
            <x v="26"/>
            <x v="27"/>
          </reference>
        </references>
      </pivotArea>
    </format>
    <format dxfId="20">
      <pivotArea collapsedLevelsAreSubtotals="1" fieldPosition="0">
        <references count="1">
          <reference field="8" count="3">
            <x v="0"/>
            <x v="1"/>
            <x v="2"/>
          </reference>
        </references>
      </pivotArea>
    </format>
    <format dxfId="19">
      <pivotArea dataOnly="0" labelOnly="1" fieldPosition="0">
        <references count="1">
          <reference field="8" count="3">
            <x v="0"/>
            <x v="1"/>
            <x v="2"/>
          </reference>
        </references>
      </pivotArea>
    </format>
    <format dxfId="18">
      <pivotArea collapsedLevelsAreSubtotals="1" fieldPosition="0">
        <references count="1">
          <reference field="8" count="10">
            <x v="12"/>
            <x v="13"/>
            <x v="14"/>
            <x v="15"/>
            <x v="16"/>
            <x v="17"/>
            <x v="18"/>
            <x v="19"/>
            <x v="21"/>
            <x v="22"/>
          </reference>
        </references>
      </pivotArea>
    </format>
    <format dxfId="17">
      <pivotArea dataOnly="0" labelOnly="1" fieldPosition="0">
        <references count="1">
          <reference field="8" count="10">
            <x v="12"/>
            <x v="13"/>
            <x v="14"/>
            <x v="15"/>
            <x v="16"/>
            <x v="17"/>
            <x v="18"/>
            <x v="19"/>
            <x v="21"/>
            <x v="22"/>
          </reference>
        </references>
      </pivotArea>
    </format>
    <format dxfId="16">
      <pivotArea collapsedLevelsAreSubtotals="1" fieldPosition="0">
        <references count="1">
          <reference field="8" count="1">
            <x v="29"/>
          </reference>
        </references>
      </pivotArea>
    </format>
    <format dxfId="15">
      <pivotArea dataOnly="0" labelOnly="1" fieldPosition="0">
        <references count="1">
          <reference field="8" count="1">
            <x v="29"/>
          </reference>
        </references>
      </pivotArea>
    </format>
    <format dxfId="14">
      <pivotArea collapsedLevelsAreSubtotals="1" fieldPosition="0">
        <references count="1">
          <reference field="8" count="1">
            <x v="24"/>
          </reference>
        </references>
      </pivotArea>
    </format>
    <format dxfId="13">
      <pivotArea dataOnly="0" labelOnly="1" fieldPosition="0">
        <references count="1">
          <reference field="8" count="1">
            <x v="24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8" type="button" dataOnly="0" labelOnly="1" outline="0" axis="axisRow" fieldPosition="0"/>
    </format>
    <format dxfId="9">
      <pivotArea dataOnly="0" labelOnly="1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4"/>
  <sheetViews>
    <sheetView view="pageBreakPreview" topLeftCell="A19" zoomScaleNormal="80" zoomScaleSheetLayoutView="100" workbookViewId="0">
      <selection activeCell="A34" sqref="A34:Z34"/>
    </sheetView>
  </sheetViews>
  <sheetFormatPr defaultRowHeight="15" x14ac:dyDescent="0.25"/>
  <sheetData>
    <row r="1" spans="1:26" ht="28.5" x14ac:dyDescent="0.45">
      <c r="A1" s="186" t="s">
        <v>149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34" spans="1:26" ht="28.5" x14ac:dyDescent="0.45">
      <c r="A34" s="186" t="s">
        <v>179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</sheetData>
  <mergeCells count="2">
    <mergeCell ref="A1:Z1"/>
    <mergeCell ref="A34:Z34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42"/>
  <sheetViews>
    <sheetView tabSelected="1" view="pageBreakPreview" zoomScale="85" zoomScaleNormal="100" zoomScaleSheetLayoutView="85" workbookViewId="0">
      <selection activeCell="A2" sqref="A2:K2"/>
    </sheetView>
  </sheetViews>
  <sheetFormatPr defaultRowHeight="15" x14ac:dyDescent="0.25"/>
  <cols>
    <col min="1" max="1" width="36.42578125" customWidth="1"/>
    <col min="2" max="2" width="16" customWidth="1"/>
    <col min="3" max="3" width="16.5703125" style="9" customWidth="1"/>
    <col min="4" max="4" width="13.85546875" style="9" customWidth="1"/>
    <col min="5" max="5" width="18.28515625" style="9" customWidth="1"/>
    <col min="6" max="6" width="19.5703125" style="9" customWidth="1"/>
    <col min="7" max="7" width="21.42578125" style="9" customWidth="1"/>
    <col min="8" max="8" width="20.28515625" style="9" customWidth="1"/>
    <col min="9" max="9" width="29" style="9" customWidth="1"/>
    <col min="10" max="10" width="20.85546875" style="9" customWidth="1"/>
    <col min="11" max="11" width="15" customWidth="1"/>
    <col min="12" max="12" width="12.140625" customWidth="1"/>
    <col min="13" max="13" width="9.140625" style="89"/>
  </cols>
  <sheetData>
    <row r="2" spans="1:12" ht="52.5" customHeight="1" x14ac:dyDescent="0.25">
      <c r="A2" s="187" t="s">
        <v>138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82"/>
    </row>
    <row r="3" spans="1:12" ht="14.25" customHeight="1" thickBot="1" x14ac:dyDescent="0.3">
      <c r="L3" s="59"/>
    </row>
    <row r="4" spans="1:12" ht="54.75" customHeight="1" thickBot="1" x14ac:dyDescent="0.3">
      <c r="A4" s="136" t="s">
        <v>37</v>
      </c>
      <c r="B4" s="137" t="s">
        <v>38</v>
      </c>
      <c r="C4" s="137" t="s">
        <v>39</v>
      </c>
      <c r="D4" s="137" t="s">
        <v>40</v>
      </c>
      <c r="E4" s="137" t="s">
        <v>41</v>
      </c>
      <c r="F4" s="137" t="s">
        <v>42</v>
      </c>
      <c r="G4" s="137" t="s">
        <v>43</v>
      </c>
      <c r="H4" s="137" t="s">
        <v>44</v>
      </c>
      <c r="I4" s="137" t="s">
        <v>45</v>
      </c>
      <c r="J4" s="137" t="s">
        <v>46</v>
      </c>
      <c r="K4" s="138" t="s">
        <v>47</v>
      </c>
      <c r="L4" s="83"/>
    </row>
    <row r="5" spans="1:12" hidden="1" x14ac:dyDescent="0.25">
      <c r="A5" s="139" t="s">
        <v>23</v>
      </c>
      <c r="B5" s="140" t="s">
        <v>25</v>
      </c>
      <c r="C5" s="141" t="s">
        <v>29</v>
      </c>
      <c r="D5" s="141" t="s">
        <v>30</v>
      </c>
      <c r="E5" s="141" t="s">
        <v>31</v>
      </c>
      <c r="F5" s="141" t="s">
        <v>32</v>
      </c>
      <c r="G5" s="141" t="s">
        <v>33</v>
      </c>
      <c r="H5" s="141" t="s">
        <v>34</v>
      </c>
      <c r="I5" s="141" t="s">
        <v>35</v>
      </c>
      <c r="J5" s="142" t="s">
        <v>36</v>
      </c>
      <c r="K5" s="143" t="s">
        <v>94</v>
      </c>
      <c r="L5" s="84"/>
    </row>
    <row r="6" spans="1:12" ht="21" customHeight="1" x14ac:dyDescent="0.25">
      <c r="A6" s="144" t="s">
        <v>157</v>
      </c>
      <c r="B6" s="145">
        <v>21</v>
      </c>
      <c r="C6" s="146">
        <v>898.2399999999999</v>
      </c>
      <c r="D6" s="147">
        <v>42.773333333333326</v>
      </c>
      <c r="E6" s="146">
        <v>172000</v>
      </c>
      <c r="F6" s="146">
        <v>185500</v>
      </c>
      <c r="G6" s="146">
        <v>161419225</v>
      </c>
      <c r="H6" s="146">
        <v>7261840</v>
      </c>
      <c r="I6" s="146">
        <v>7686629.7619047621</v>
      </c>
      <c r="J6" s="146">
        <v>8000319.9999999991</v>
      </c>
      <c r="K6" s="146">
        <v>179706.11974527969</v>
      </c>
      <c r="L6" s="92"/>
    </row>
    <row r="7" spans="1:12" ht="21" customHeight="1" x14ac:dyDescent="0.25">
      <c r="A7" s="144" t="s">
        <v>158</v>
      </c>
      <c r="B7" s="145">
        <v>8</v>
      </c>
      <c r="C7" s="146">
        <v>374.50999999999993</v>
      </c>
      <c r="D7" s="147">
        <v>46.813749999999992</v>
      </c>
      <c r="E7" s="146">
        <v>168000</v>
      </c>
      <c r="F7" s="146">
        <v>178500</v>
      </c>
      <c r="G7" s="146">
        <v>64884300</v>
      </c>
      <c r="H7" s="146">
        <v>7825440</v>
      </c>
      <c r="I7" s="146">
        <v>8110537.5</v>
      </c>
      <c r="J7" s="146">
        <v>8359155</v>
      </c>
      <c r="K7" s="146">
        <v>173251.18154388404</v>
      </c>
      <c r="L7" s="86"/>
    </row>
    <row r="8" spans="1:12" ht="21" hidden="1" customHeight="1" x14ac:dyDescent="0.25">
      <c r="A8" s="148" t="s">
        <v>93</v>
      </c>
      <c r="B8" s="149"/>
      <c r="C8" s="150"/>
      <c r="D8" s="151"/>
      <c r="E8" s="150"/>
      <c r="F8" s="150"/>
      <c r="G8" s="150"/>
      <c r="H8" s="150"/>
      <c r="I8" s="150"/>
      <c r="J8" s="150"/>
      <c r="K8" s="150" t="e">
        <v>#DIV/0!</v>
      </c>
      <c r="L8" s="86"/>
    </row>
    <row r="9" spans="1:12" ht="21" customHeight="1" x14ac:dyDescent="0.25">
      <c r="A9" s="152" t="s">
        <v>139</v>
      </c>
      <c r="B9" s="153">
        <v>8</v>
      </c>
      <c r="C9" s="154">
        <v>526.14</v>
      </c>
      <c r="D9" s="155">
        <v>65.767499999999998</v>
      </c>
      <c r="E9" s="154">
        <v>153000</v>
      </c>
      <c r="F9" s="154">
        <v>165000</v>
      </c>
      <c r="G9" s="154">
        <v>84051255</v>
      </c>
      <c r="H9" s="154">
        <v>10049040.000000002</v>
      </c>
      <c r="I9" s="154">
        <v>10506406.875</v>
      </c>
      <c r="J9" s="154">
        <v>10871850</v>
      </c>
      <c r="K9" s="154">
        <v>159750.74124757669</v>
      </c>
      <c r="L9" s="86"/>
    </row>
    <row r="10" spans="1:12" ht="21" customHeight="1" x14ac:dyDescent="0.25">
      <c r="A10" s="152" t="s">
        <v>140</v>
      </c>
      <c r="B10" s="153">
        <v>3</v>
      </c>
      <c r="C10" s="154">
        <v>191.17999999999998</v>
      </c>
      <c r="D10" s="155">
        <v>63.726666666666659</v>
      </c>
      <c r="E10" s="154">
        <v>152000</v>
      </c>
      <c r="F10" s="154">
        <v>155000</v>
      </c>
      <c r="G10" s="154">
        <v>29344390</v>
      </c>
      <c r="H10" s="154">
        <v>9635280</v>
      </c>
      <c r="I10" s="154">
        <v>9781463.333333334</v>
      </c>
      <c r="J10" s="154">
        <v>10063460</v>
      </c>
      <c r="K10" s="154">
        <v>153490.89862956377</v>
      </c>
      <c r="L10" s="92"/>
    </row>
    <row r="11" spans="1:12" ht="21" customHeight="1" x14ac:dyDescent="0.25">
      <c r="A11" s="152" t="s">
        <v>141</v>
      </c>
      <c r="B11" s="153">
        <v>5</v>
      </c>
      <c r="C11" s="154">
        <v>314.60000000000002</v>
      </c>
      <c r="D11" s="155">
        <v>62.92</v>
      </c>
      <c r="E11" s="154">
        <v>152000</v>
      </c>
      <c r="F11" s="154">
        <v>159500</v>
      </c>
      <c r="G11" s="154">
        <v>48853705</v>
      </c>
      <c r="H11" s="154">
        <v>9636730</v>
      </c>
      <c r="I11" s="154">
        <v>9770741</v>
      </c>
      <c r="J11" s="154">
        <v>9976725</v>
      </c>
      <c r="K11" s="154">
        <v>155288.31849968212</v>
      </c>
      <c r="L11" s="81"/>
    </row>
    <row r="12" spans="1:12" ht="21" customHeight="1" x14ac:dyDescent="0.25">
      <c r="A12" s="152" t="s">
        <v>142</v>
      </c>
      <c r="B12" s="153">
        <v>4</v>
      </c>
      <c r="C12" s="154">
        <v>285.85999999999996</v>
      </c>
      <c r="D12" s="155">
        <v>71.464999999999989</v>
      </c>
      <c r="E12" s="154">
        <v>153000</v>
      </c>
      <c r="F12" s="154">
        <v>157500</v>
      </c>
      <c r="G12" s="154">
        <v>44381880</v>
      </c>
      <c r="H12" s="154">
        <v>10918080</v>
      </c>
      <c r="I12" s="154">
        <v>11095470</v>
      </c>
      <c r="J12" s="154">
        <v>11387250</v>
      </c>
      <c r="K12" s="154">
        <v>155257.39872664944</v>
      </c>
      <c r="L12" s="85"/>
    </row>
    <row r="13" spans="1:12" ht="21" customHeight="1" x14ac:dyDescent="0.25">
      <c r="A13" s="152" t="s">
        <v>143</v>
      </c>
      <c r="B13" s="153">
        <v>3</v>
      </c>
      <c r="C13" s="154">
        <v>218.79999999999998</v>
      </c>
      <c r="D13" s="155">
        <v>72.933333333333323</v>
      </c>
      <c r="E13" s="154">
        <v>153000</v>
      </c>
      <c r="F13" s="154">
        <v>156000</v>
      </c>
      <c r="G13" s="154">
        <v>33803370</v>
      </c>
      <c r="H13" s="154">
        <v>11225970</v>
      </c>
      <c r="I13" s="154">
        <v>11267790</v>
      </c>
      <c r="J13" s="154">
        <v>11334960</v>
      </c>
      <c r="K13" s="154">
        <v>154494.37842778795</v>
      </c>
    </row>
    <row r="14" spans="1:12" ht="21" customHeight="1" x14ac:dyDescent="0.25">
      <c r="A14" s="152" t="s">
        <v>144</v>
      </c>
      <c r="B14" s="153">
        <v>2</v>
      </c>
      <c r="C14" s="154">
        <v>155.41</v>
      </c>
      <c r="D14" s="155">
        <v>77.704999999999998</v>
      </c>
      <c r="E14" s="154">
        <v>151500</v>
      </c>
      <c r="F14" s="154">
        <v>153000</v>
      </c>
      <c r="G14" s="154">
        <v>23659785</v>
      </c>
      <c r="H14" s="154">
        <v>11747340</v>
      </c>
      <c r="I14" s="154">
        <v>11829892.5</v>
      </c>
      <c r="J14" s="154">
        <v>11912445</v>
      </c>
      <c r="K14" s="154">
        <v>152241.0720030886</v>
      </c>
      <c r="L14" s="81"/>
    </row>
    <row r="15" spans="1:12" ht="21" customHeight="1" x14ac:dyDescent="0.25">
      <c r="A15" s="152" t="s">
        <v>145</v>
      </c>
      <c r="B15" s="153">
        <v>2</v>
      </c>
      <c r="C15" s="154">
        <v>139.82</v>
      </c>
      <c r="D15" s="155">
        <v>69.91</v>
      </c>
      <c r="E15" s="154">
        <v>153500</v>
      </c>
      <c r="F15" s="154">
        <v>155000</v>
      </c>
      <c r="G15" s="154">
        <v>21567235</v>
      </c>
      <c r="H15" s="154">
        <v>10731185</v>
      </c>
      <c r="I15" s="154">
        <v>10783617.5</v>
      </c>
      <c r="J15" s="154">
        <v>10836050</v>
      </c>
      <c r="K15" s="154">
        <v>154250</v>
      </c>
    </row>
    <row r="16" spans="1:12" ht="21" customHeight="1" x14ac:dyDescent="0.25">
      <c r="A16" s="152" t="s">
        <v>156</v>
      </c>
      <c r="B16" s="153">
        <v>3</v>
      </c>
      <c r="C16" s="154">
        <v>187.39</v>
      </c>
      <c r="D16" s="155">
        <v>62.463333333333331</v>
      </c>
      <c r="E16" s="154">
        <v>160500</v>
      </c>
      <c r="F16" s="154">
        <v>163500</v>
      </c>
      <c r="G16" s="154">
        <v>30356625</v>
      </c>
      <c r="H16" s="154">
        <v>10042485</v>
      </c>
      <c r="I16" s="154">
        <v>10118875</v>
      </c>
      <c r="J16" s="154">
        <v>10169700</v>
      </c>
      <c r="K16" s="154">
        <v>161997.03826244731</v>
      </c>
    </row>
    <row r="17" spans="1:12" ht="21" customHeight="1" x14ac:dyDescent="0.25">
      <c r="A17" s="156" t="s">
        <v>152</v>
      </c>
      <c r="B17" s="157">
        <v>2</v>
      </c>
      <c r="C17" s="158">
        <v>200.56</v>
      </c>
      <c r="D17" s="159">
        <v>100.28</v>
      </c>
      <c r="E17" s="158">
        <v>148000</v>
      </c>
      <c r="F17" s="158">
        <v>149500</v>
      </c>
      <c r="G17" s="158">
        <v>29833300</v>
      </c>
      <c r="H17" s="158">
        <v>14841440</v>
      </c>
      <c r="I17" s="158">
        <v>14916650</v>
      </c>
      <c r="J17" s="158">
        <v>14991860</v>
      </c>
      <c r="K17" s="158">
        <v>148750</v>
      </c>
    </row>
    <row r="18" spans="1:12" ht="21" customHeight="1" x14ac:dyDescent="0.25">
      <c r="A18" s="156" t="s">
        <v>162</v>
      </c>
      <c r="B18" s="157">
        <v>6</v>
      </c>
      <c r="C18" s="158">
        <v>552.70000000000005</v>
      </c>
      <c r="D18" s="159">
        <v>92.116666666666674</v>
      </c>
      <c r="E18" s="158">
        <v>152000</v>
      </c>
      <c r="F18" s="158">
        <v>159500</v>
      </c>
      <c r="G18" s="158">
        <v>86075615</v>
      </c>
      <c r="H18" s="158">
        <v>14078240</v>
      </c>
      <c r="I18" s="158">
        <v>14345935.833333334</v>
      </c>
      <c r="J18" s="158">
        <v>14548640</v>
      </c>
      <c r="K18" s="158">
        <v>155736.59308847474</v>
      </c>
    </row>
    <row r="19" spans="1:12" ht="21" customHeight="1" x14ac:dyDescent="0.25">
      <c r="A19" s="156" t="s">
        <v>153</v>
      </c>
      <c r="B19" s="157">
        <v>3</v>
      </c>
      <c r="C19" s="158">
        <v>323.72000000000003</v>
      </c>
      <c r="D19" s="159">
        <v>107.90666666666668</v>
      </c>
      <c r="E19" s="158">
        <v>146000</v>
      </c>
      <c r="F19" s="158">
        <v>149000</v>
      </c>
      <c r="G19" s="158">
        <v>47746015</v>
      </c>
      <c r="H19" s="158">
        <v>15828225</v>
      </c>
      <c r="I19" s="158">
        <v>15915338.333333334</v>
      </c>
      <c r="J19" s="158">
        <v>15989190</v>
      </c>
      <c r="K19" s="158">
        <v>147491.70579513159</v>
      </c>
    </row>
    <row r="20" spans="1:12" ht="21" customHeight="1" x14ac:dyDescent="0.25">
      <c r="A20" s="156" t="s">
        <v>154</v>
      </c>
      <c r="B20" s="157">
        <v>2</v>
      </c>
      <c r="C20" s="158">
        <v>167.12</v>
      </c>
      <c r="D20" s="159">
        <v>83.56</v>
      </c>
      <c r="E20" s="158">
        <v>154500</v>
      </c>
      <c r="F20" s="158">
        <v>156000</v>
      </c>
      <c r="G20" s="158">
        <v>25945395</v>
      </c>
      <c r="H20" s="158">
        <v>12908475</v>
      </c>
      <c r="I20" s="158">
        <v>12972697.5</v>
      </c>
      <c r="J20" s="158">
        <v>13036919.999999998</v>
      </c>
      <c r="K20" s="158">
        <v>155250.08975586406</v>
      </c>
    </row>
    <row r="21" spans="1:12" ht="21" customHeight="1" x14ac:dyDescent="0.25">
      <c r="A21" s="156" t="s">
        <v>155</v>
      </c>
      <c r="B21" s="157">
        <v>5</v>
      </c>
      <c r="C21" s="158">
        <v>462.06999999999994</v>
      </c>
      <c r="D21" s="159">
        <v>92.413999999999987</v>
      </c>
      <c r="E21" s="158">
        <v>155000</v>
      </c>
      <c r="F21" s="158">
        <v>159500</v>
      </c>
      <c r="G21" s="158">
        <v>72586505</v>
      </c>
      <c r="H21" s="158">
        <v>14165450</v>
      </c>
      <c r="I21" s="158">
        <v>14517301</v>
      </c>
      <c r="J21" s="158">
        <v>15265010.000000002</v>
      </c>
      <c r="K21" s="158">
        <v>157089.84569437534</v>
      </c>
    </row>
    <row r="22" spans="1:12" ht="21" customHeight="1" x14ac:dyDescent="0.25">
      <c r="A22" s="160" t="s">
        <v>160</v>
      </c>
      <c r="B22" s="161">
        <v>1</v>
      </c>
      <c r="C22" s="162">
        <v>119.27</v>
      </c>
      <c r="D22" s="163">
        <v>119.27</v>
      </c>
      <c r="E22" s="162">
        <v>150000</v>
      </c>
      <c r="F22" s="162">
        <v>150000</v>
      </c>
      <c r="G22" s="162">
        <v>17890500</v>
      </c>
      <c r="H22" s="162">
        <v>17890500</v>
      </c>
      <c r="I22" s="162">
        <v>17890500</v>
      </c>
      <c r="J22" s="162">
        <v>17890500</v>
      </c>
      <c r="K22" s="162">
        <v>150000</v>
      </c>
    </row>
    <row r="23" spans="1:12" ht="17.25" customHeight="1" x14ac:dyDescent="0.25">
      <c r="A23" s="164" t="s">
        <v>24</v>
      </c>
      <c r="B23" s="165">
        <v>78</v>
      </c>
      <c r="C23" s="166">
        <v>5117.3900000000021</v>
      </c>
      <c r="D23" s="167">
        <v>65.607564102564126</v>
      </c>
      <c r="E23" s="166">
        <v>146000</v>
      </c>
      <c r="F23" s="166">
        <v>185500</v>
      </c>
      <c r="G23" s="166">
        <v>822399100</v>
      </c>
      <c r="H23" s="166">
        <v>7261840</v>
      </c>
      <c r="I23" s="166">
        <v>10543578.205128206</v>
      </c>
      <c r="J23" s="166">
        <v>17890500</v>
      </c>
      <c r="K23" s="166">
        <v>160706.7469940731</v>
      </c>
    </row>
    <row r="24" spans="1:12" ht="17.25" customHeight="1" x14ac:dyDescent="0.25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</row>
    <row r="25" spans="1:12" ht="17.25" customHeight="1" x14ac:dyDescent="0.25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</row>
    <row r="26" spans="1:12" ht="17.25" customHeight="1" x14ac:dyDescent="0.25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</row>
    <row r="27" spans="1:12" ht="17.25" customHeight="1" x14ac:dyDescent="0.25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60"/>
    </row>
    <row r="28" spans="1:12" ht="17.25" customHeight="1" thickBot="1" x14ac:dyDescent="0.3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</row>
    <row r="29" spans="1:12" ht="36" customHeight="1" thickBot="1" x14ac:dyDescent="0.3">
      <c r="A29" s="136" t="s">
        <v>37</v>
      </c>
      <c r="B29" s="137" t="s">
        <v>120</v>
      </c>
      <c r="C29" s="137" t="s">
        <v>119</v>
      </c>
      <c r="D29" s="137" t="s">
        <v>118</v>
      </c>
      <c r="E29" s="137" t="s">
        <v>41</v>
      </c>
      <c r="F29" s="137" t="s">
        <v>42</v>
      </c>
      <c r="G29" s="137" t="s">
        <v>43</v>
      </c>
      <c r="H29" s="137" t="s">
        <v>44</v>
      </c>
      <c r="I29" s="137" t="s">
        <v>45</v>
      </c>
      <c r="J29" s="137" t="s">
        <v>46</v>
      </c>
      <c r="K29" s="138" t="s">
        <v>47</v>
      </c>
    </row>
    <row r="30" spans="1:12" ht="17.25" customHeight="1" x14ac:dyDescent="0.25">
      <c r="A30" s="126" t="s">
        <v>115</v>
      </c>
      <c r="B30" s="127">
        <f>SUM(B6:B8)</f>
        <v>29</v>
      </c>
      <c r="C30" s="127">
        <f>SUM(C6:C8)</f>
        <v>1272.7499999999998</v>
      </c>
      <c r="D30" s="128">
        <f>C30/B30</f>
        <v>43.887931034482747</v>
      </c>
      <c r="E30" s="127">
        <f>MIN(E6:E8)</f>
        <v>168000</v>
      </c>
      <c r="F30" s="127">
        <f>MAX(F6:F8)</f>
        <v>185500</v>
      </c>
      <c r="G30" s="127">
        <f t="shared" ref="G30" si="0">SUM(G6:G8)</f>
        <v>226303525</v>
      </c>
      <c r="H30" s="127">
        <f>MIN(H6:H8)</f>
        <v>7261840</v>
      </c>
      <c r="I30" s="129">
        <f>G30/B30</f>
        <v>7803569.8275862066</v>
      </c>
      <c r="J30" s="127">
        <f>MAX(J6:J8)</f>
        <v>8359155</v>
      </c>
      <c r="K30" s="130">
        <f>G30/C30</f>
        <v>177806.73737968967</v>
      </c>
    </row>
    <row r="31" spans="1:12" ht="17.25" customHeight="1" x14ac:dyDescent="0.25">
      <c r="A31" s="131" t="s">
        <v>117</v>
      </c>
      <c r="B31" s="129">
        <f>SUM(B9:B16)</f>
        <v>30</v>
      </c>
      <c r="C31" s="129">
        <f>SUM(C9:C16)</f>
        <v>2019.1999999999998</v>
      </c>
      <c r="D31" s="128">
        <f t="shared" ref="D31" si="1">C31/B31</f>
        <v>67.306666666666658</v>
      </c>
      <c r="E31" s="129">
        <f>MIN(E9:E16)</f>
        <v>151500</v>
      </c>
      <c r="F31" s="129">
        <f>MAX(F9:F16)</f>
        <v>165000</v>
      </c>
      <c r="G31" s="129">
        <f>SUM(G9:G16)</f>
        <v>316018245</v>
      </c>
      <c r="H31" s="129">
        <f>MIN(H9:H16)</f>
        <v>9635280</v>
      </c>
      <c r="I31" s="129">
        <f>G31/B31</f>
        <v>10533941.5</v>
      </c>
      <c r="J31" s="129">
        <f>MAX(J9:J16)</f>
        <v>11912445</v>
      </c>
      <c r="K31" s="130">
        <f>G31/C31</f>
        <v>156506.65857765454</v>
      </c>
    </row>
    <row r="32" spans="1:12" ht="17.25" customHeight="1" x14ac:dyDescent="0.25">
      <c r="A32" s="131" t="s">
        <v>116</v>
      </c>
      <c r="B32" s="129">
        <f>SUM(B17:B21)</f>
        <v>18</v>
      </c>
      <c r="C32" s="129">
        <f>SUM(C17:C21)</f>
        <v>1706.1699999999998</v>
      </c>
      <c r="D32" s="128">
        <f>C32/B32</f>
        <v>94.787222222222212</v>
      </c>
      <c r="E32" s="129">
        <f>MIN(E17:E21)</f>
        <v>146000</v>
      </c>
      <c r="F32" s="129">
        <f>MAX(F17:F21)</f>
        <v>159500</v>
      </c>
      <c r="G32" s="129">
        <f>SUM(G17:G21)</f>
        <v>262186830</v>
      </c>
      <c r="H32" s="129">
        <f>MIN(H17:H21)</f>
        <v>12908475</v>
      </c>
      <c r="I32" s="129">
        <f>G32/B32</f>
        <v>14565935</v>
      </c>
      <c r="J32" s="129">
        <f>MAX(J17:J21)</f>
        <v>15989190</v>
      </c>
      <c r="K32" s="130">
        <f>G32/C32</f>
        <v>153669.81602067791</v>
      </c>
    </row>
    <row r="33" spans="1:11" ht="17.25" customHeight="1" thickBot="1" x14ac:dyDescent="0.3">
      <c r="A33" s="132" t="s">
        <v>137</v>
      </c>
      <c r="B33" s="133">
        <f>GETPIVOTDATA("Количество по полю Номер",$A$5,"Тип маркетинговый","4A")</f>
        <v>1</v>
      </c>
      <c r="C33" s="133">
        <f>GETPIVOTDATA("Сумма по полю Площадь",$A$5,"Тип маркетинговый","4A")</f>
        <v>119.27</v>
      </c>
      <c r="D33" s="134">
        <f>C33/B33</f>
        <v>119.27</v>
      </c>
      <c r="E33" s="133">
        <f>GETPIVOTDATA("Минимум по полю Цена мин",$A$5,"Тип маркетинговый","4A")</f>
        <v>150000</v>
      </c>
      <c r="F33" s="133">
        <f>GETPIVOTDATA("Максимум по полю Цена сред",$A$5,"Тип маркетинговый","4A")</f>
        <v>150000</v>
      </c>
      <c r="G33" s="133">
        <f>GETPIVOTDATA("Сумма по полю Сумма",$A$5,"Тип маркетинговый","4A")</f>
        <v>17890500</v>
      </c>
      <c r="H33" s="133">
        <f>GETPIVOTDATA("Минимум по полю Сумма мин",$A$5,"Тип маркетинговый","4A")</f>
        <v>17890500</v>
      </c>
      <c r="I33" s="133">
        <f>GETPIVOTDATA("Среднее по полю Сумма сред",$A$5,"Тип маркетинговый","4A")</f>
        <v>17890500</v>
      </c>
      <c r="J33" s="133">
        <f>GETPIVOTDATA("Максимум по полю Сумма макс",$A$5,"Тип маркетинговый","4A")</f>
        <v>17890500</v>
      </c>
      <c r="K33" s="135">
        <f>G33/C33</f>
        <v>150000</v>
      </c>
    </row>
    <row r="34" spans="1:11" ht="17.25" customHeight="1" x14ac:dyDescent="0.25">
      <c r="C34"/>
      <c r="D34"/>
      <c r="E34"/>
      <c r="F34"/>
      <c r="G34"/>
      <c r="H34"/>
      <c r="I34" s="117"/>
      <c r="J34" s="117"/>
    </row>
    <row r="35" spans="1:11" ht="17.25" customHeight="1" x14ac:dyDescent="0.25">
      <c r="C35"/>
      <c r="D35"/>
      <c r="E35"/>
      <c r="F35"/>
      <c r="G35"/>
      <c r="H35"/>
      <c r="I35"/>
      <c r="J35"/>
    </row>
    <row r="36" spans="1:11" ht="17.25" hidden="1" customHeight="1" x14ac:dyDescent="0.25">
      <c r="C36"/>
      <c r="D36"/>
      <c r="E36"/>
      <c r="F36"/>
      <c r="G36"/>
      <c r="H36"/>
      <c r="I36"/>
      <c r="J36"/>
    </row>
    <row r="37" spans="1:11" ht="17.25" customHeight="1" x14ac:dyDescent="0.25">
      <c r="C37"/>
      <c r="D37"/>
      <c r="E37"/>
      <c r="F37"/>
      <c r="G37"/>
      <c r="H37"/>
      <c r="I37"/>
      <c r="J37"/>
    </row>
    <row r="38" spans="1:11" x14ac:dyDescent="0.25">
      <c r="C38"/>
      <c r="D38"/>
      <c r="E38"/>
      <c r="F38"/>
      <c r="G38"/>
      <c r="H38"/>
      <c r="I38"/>
      <c r="J38"/>
    </row>
    <row r="39" spans="1:11" x14ac:dyDescent="0.25">
      <c r="C39"/>
      <c r="D39"/>
      <c r="E39"/>
      <c r="F39"/>
      <c r="G39"/>
      <c r="H39"/>
      <c r="I39"/>
      <c r="J39"/>
    </row>
    <row r="40" spans="1:11" x14ac:dyDescent="0.25">
      <c r="C40"/>
      <c r="D40"/>
      <c r="E40"/>
      <c r="F40"/>
      <c r="G40"/>
      <c r="H40"/>
      <c r="I40"/>
      <c r="J40"/>
    </row>
    <row r="41" spans="1:11" x14ac:dyDescent="0.25">
      <c r="C41"/>
      <c r="D41"/>
      <c r="E41"/>
      <c r="F41"/>
      <c r="G41"/>
      <c r="H41"/>
      <c r="I41"/>
      <c r="J41"/>
    </row>
    <row r="42" spans="1:11" x14ac:dyDescent="0.25">
      <c r="C42"/>
      <c r="D42"/>
      <c r="E42"/>
      <c r="F42"/>
      <c r="G42"/>
      <c r="H42"/>
      <c r="I42"/>
      <c r="J42"/>
    </row>
  </sheetData>
  <mergeCells count="1">
    <mergeCell ref="A2:K2"/>
  </mergeCells>
  <pageMargins left="0.7" right="0.7" top="0.75" bottom="0.75" header="0.3" footer="0.3"/>
  <pageSetup paperSize="9" scale="54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N19"/>
  <sheetViews>
    <sheetView zoomScale="70" zoomScaleNormal="70" zoomScaleSheetLayoutView="20" workbookViewId="0">
      <selection activeCell="Q31" sqref="Q31"/>
    </sheetView>
  </sheetViews>
  <sheetFormatPr defaultRowHeight="15" x14ac:dyDescent="0.25"/>
  <cols>
    <col min="1" max="1" width="6.85546875" customWidth="1"/>
    <col min="2" max="2" width="7.7109375" customWidth="1"/>
    <col min="3" max="3" width="16.5703125" style="9" customWidth="1"/>
    <col min="4" max="4" width="20.42578125" customWidth="1"/>
    <col min="5" max="5" width="7.7109375" customWidth="1"/>
    <col min="6" max="6" width="18.7109375" style="9" customWidth="1"/>
    <col min="7" max="7" width="16.140625" customWidth="1"/>
    <col min="8" max="8" width="7.7109375" customWidth="1"/>
    <col min="9" max="9" width="16.5703125" style="9" customWidth="1"/>
    <col min="10" max="10" width="19.140625" customWidth="1"/>
    <col min="11" max="11" width="7.7109375" customWidth="1"/>
    <col min="12" max="12" width="16.5703125" style="9" customWidth="1"/>
    <col min="13" max="13" width="16.140625" customWidth="1"/>
    <col min="14" max="14" width="7.7109375" customWidth="1"/>
    <col min="15" max="15" width="16.5703125" style="9" customWidth="1"/>
    <col min="16" max="16" width="17" customWidth="1"/>
    <col min="17" max="17" width="7.7109375" customWidth="1"/>
    <col min="18" max="18" width="15.7109375" style="9" customWidth="1"/>
    <col min="19" max="19" width="20.7109375" customWidth="1"/>
    <col min="20" max="20" width="7.7109375" customWidth="1"/>
    <col min="21" max="21" width="15.7109375" style="9" customWidth="1"/>
    <col min="22" max="22" width="18.85546875" customWidth="1"/>
    <col min="23" max="23" width="7.7109375" customWidth="1"/>
    <col min="24" max="24" width="15.7109375" style="9" customWidth="1"/>
    <col min="25" max="25" width="20.140625" customWidth="1"/>
    <col min="26" max="26" width="7.7109375" customWidth="1"/>
    <col min="27" max="27" width="15.7109375" style="9" customWidth="1"/>
    <col min="28" max="28" width="17.5703125" customWidth="1"/>
    <col min="29" max="29" width="9.28515625" bestFit="1" customWidth="1"/>
    <col min="30" max="30" width="14.28515625" customWidth="1"/>
    <col min="31" max="31" width="16.28515625" customWidth="1"/>
    <col min="32" max="32" width="10.7109375" customWidth="1"/>
    <col min="33" max="33" width="15.5703125" bestFit="1" customWidth="1"/>
    <col min="34" max="34" width="18" bestFit="1" customWidth="1"/>
    <col min="35" max="35" width="10.7109375" customWidth="1"/>
    <col min="36" max="36" width="15.5703125" bestFit="1" customWidth="1"/>
    <col min="37" max="37" width="19.5703125" bestFit="1" customWidth="1"/>
    <col min="38" max="38" width="10.7109375" customWidth="1"/>
    <col min="39" max="39" width="15.5703125" bestFit="1" customWidth="1"/>
    <col min="40" max="40" width="19.5703125" bestFit="1" customWidth="1"/>
  </cols>
  <sheetData>
    <row r="2" spans="1:40" ht="66" customHeight="1" x14ac:dyDescent="0.25">
      <c r="A2" s="232" t="s">
        <v>159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</row>
    <row r="3" spans="1:40" ht="15.75" thickBot="1" x14ac:dyDescent="0.3">
      <c r="A3" s="233"/>
      <c r="B3" s="233"/>
      <c r="D3" s="233"/>
      <c r="E3" s="233"/>
      <c r="G3" s="233"/>
      <c r="H3" s="233"/>
      <c r="J3" s="233"/>
      <c r="K3" s="233"/>
      <c r="M3" s="233"/>
      <c r="N3" s="233"/>
      <c r="P3" s="233"/>
      <c r="Q3" s="233"/>
      <c r="S3" s="233"/>
      <c r="T3" s="233"/>
      <c r="V3" s="233"/>
      <c r="W3" s="233"/>
      <c r="Y3" s="233"/>
      <c r="Z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</row>
    <row r="4" spans="1:40" ht="26.25" customHeight="1" x14ac:dyDescent="0.25">
      <c r="A4" s="188">
        <v>9</v>
      </c>
      <c r="B4" s="234">
        <f>INDEX('прайс квартиры'!$D$3:$D$80,MATCH(Шахматка!B5,'прайс квартиры'!$C$3:$C$80))</f>
        <v>90.95</v>
      </c>
      <c r="C4" s="235">
        <f>INDEX('прайс квартиры'!$L$3:$L$80, MATCH(Шахматка!B5,'прайс квартиры'!$C$3:$C$80))</f>
        <v>159500</v>
      </c>
      <c r="D4" s="236">
        <f t="shared" ref="D4" si="0">C4*B4</f>
        <v>14506525</v>
      </c>
      <c r="E4" s="237">
        <f>INDEX('прайс квартиры'!$D$3:$D$80,MATCH(Шахматка!E5,'прайс квартиры'!$C$3:$C$80))</f>
        <v>46.83</v>
      </c>
      <c r="F4" s="238">
        <f>INDEX('прайс квартиры'!$L$3:$L$80, MATCH(Шахматка!E5,'прайс квартиры'!$C$3:$C$80))</f>
        <v>178500</v>
      </c>
      <c r="G4" s="239">
        <f t="shared" ref="G4" si="1">F4*E4</f>
        <v>8359155</v>
      </c>
      <c r="H4" s="240">
        <f>INDEX('прайс квартиры'!$D$3:$D$80,MATCH(Шахматка!H5,'прайс квартиры'!$C$3:$C$80))</f>
        <v>65.27</v>
      </c>
      <c r="I4" s="241">
        <f>INDEX('прайс квартиры'!$L$3:$L$80, MATCH(Шахматка!H5,'прайс квартиры'!$C$3:$C$80))</f>
        <v>163500</v>
      </c>
      <c r="J4" s="242">
        <f t="shared" ref="J4" si="2">I4*H4</f>
        <v>10671645</v>
      </c>
      <c r="K4" s="237">
        <f>INDEX('прайс квартиры'!$D$3:$D$80,MATCH(Шахматка!K5,'прайс квартиры'!$C$3:$C$80))</f>
        <v>42.43</v>
      </c>
      <c r="L4" s="238">
        <f>INDEX('прайс квартиры'!$L$3:$L$80, MATCH(Шахматка!K5,'прайс квартиры'!$C$3:$C$80))</f>
        <v>185500</v>
      </c>
      <c r="M4" s="239">
        <f t="shared" ref="M4" si="3">L4*K4</f>
        <v>7870765</v>
      </c>
      <c r="N4" s="237">
        <f>INDEX('прайс квартиры'!$D$3:$D$80,MATCH(Шахматка!N5,'прайс квартиры'!$C$3:$C$80))</f>
        <v>42.86</v>
      </c>
      <c r="O4" s="238">
        <f>INDEX('прайс квартиры'!$L$3:$L$80, MATCH(Шахматка!N5,'прайс квартиры'!$C$3:$C$80))</f>
        <v>185500</v>
      </c>
      <c r="P4" s="239">
        <f t="shared" ref="P4" si="4">O4*N4</f>
        <v>7950530</v>
      </c>
      <c r="Q4" s="237">
        <f>INDEX('прайс квартиры'!$D$3:$D$80,MATCH(Шахматка!Q5,'прайс квартиры'!$C$3:$C$80))</f>
        <v>42.53</v>
      </c>
      <c r="R4" s="238">
        <f>INDEX('прайс квартиры'!$L$3:$L$80, MATCH(Шахматка!Q5,'прайс квартиры'!$C$3:$C$80))</f>
        <v>185500</v>
      </c>
      <c r="S4" s="239">
        <f t="shared" ref="S4" si="5">R4*Q4</f>
        <v>7889315</v>
      </c>
      <c r="T4" s="240">
        <f>INDEX('прайс квартиры'!$D$3:$D$80,MATCH(Шахматка!T5,'прайс квартиры'!$C$3:$C$80))</f>
        <v>62.2</v>
      </c>
      <c r="U4" s="241">
        <f>INDEX('прайс квартиры'!$L$3:$L$80, MATCH(Шахматка!T5,'прайс квартиры'!$C$3:$C$80))</f>
        <v>163500</v>
      </c>
      <c r="V4" s="242">
        <f t="shared" ref="V4" si="6">U4*T4</f>
        <v>10169700</v>
      </c>
      <c r="W4" s="234">
        <f>INDEX('прайс квартиры'!$D$3:$D$80,MATCH(Шахматка!W5,'прайс квартиры'!$C$3:$C$80))</f>
        <v>91.03</v>
      </c>
      <c r="X4" s="235">
        <f>INDEX('прайс квартиры'!$L$3:$L$80, MATCH(Шахматка!W5,'прайс квартиры'!$C$3:$C$80))</f>
        <v>159500</v>
      </c>
      <c r="Y4" s="236">
        <f t="shared" ref="Y4" si="7">X4*W4</f>
        <v>14519285</v>
      </c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</row>
    <row r="5" spans="1:40" ht="26.25" customHeight="1" thickBot="1" x14ac:dyDescent="0.3">
      <c r="A5" s="188"/>
      <c r="B5" s="243">
        <v>71</v>
      </c>
      <c r="C5" s="244" t="str">
        <f>INDEX('прайс квартиры'!$I$3:$I$80,MATCH(B5,'прайс квартиры'!$C$3:$C$80,0))</f>
        <v>3Aa</v>
      </c>
      <c r="D5" s="245"/>
      <c r="E5" s="246">
        <v>72</v>
      </c>
      <c r="F5" s="247" t="str">
        <f>INDEX('прайс квартиры'!$I$3:$I$80,MATCH(E5,'прайс квартиры'!$C$3:$C$80,0))</f>
        <v>1B</v>
      </c>
      <c r="G5" s="248"/>
      <c r="H5" s="249">
        <v>73</v>
      </c>
      <c r="I5" s="250" t="str">
        <f>INDEX('прайс квартиры'!$I$3:$I$80,MATCH(H5,'прайс квартиры'!$C$3:$C$80,0))</f>
        <v>2A</v>
      </c>
      <c r="J5" s="251"/>
      <c r="K5" s="246">
        <v>74</v>
      </c>
      <c r="L5" s="247" t="str">
        <f>INDEX('прайс квартиры'!$I$3:$I$80,MATCH(K5,'прайс квартиры'!$C$3:$C$80,0))</f>
        <v>1A</v>
      </c>
      <c r="M5" s="248"/>
      <c r="N5" s="246">
        <v>75</v>
      </c>
      <c r="O5" s="247" t="str">
        <f>INDEX('прайс квартиры'!$I$3:$I$80,MATCH(N5,'прайс квартиры'!$C$3:$C$80,0))</f>
        <v>1A</v>
      </c>
      <c r="P5" s="248"/>
      <c r="Q5" s="246">
        <v>76</v>
      </c>
      <c r="R5" s="247" t="str">
        <f>INDEX('прайс квартиры'!$I$3:$I$80,MATCH(Q5,'прайс квартиры'!$C$3:$C$80,0))</f>
        <v>1A</v>
      </c>
      <c r="S5" s="248"/>
      <c r="T5" s="249">
        <v>77</v>
      </c>
      <c r="U5" s="250" t="str">
        <f>INDEX('прайс квартиры'!$I$3:$I$80,MATCH(T5,'прайс квартиры'!$C$3:$C$80,0))</f>
        <v>2K</v>
      </c>
      <c r="V5" s="251"/>
      <c r="W5" s="243">
        <v>78</v>
      </c>
      <c r="X5" s="244" t="str">
        <f>INDEX('прайс квартиры'!$I$3:$I$80,MATCH(W5,'прайс квартиры'!$C$3:$C$80,0))</f>
        <v>3D</v>
      </c>
      <c r="Y5" s="245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</row>
    <row r="6" spans="1:40" ht="26.25" customHeight="1" x14ac:dyDescent="0.25">
      <c r="A6" s="188">
        <v>8</v>
      </c>
      <c r="B6" s="234">
        <f>INDEX('прайс квартиры'!$D$3:$D$79,MATCH(Шахматка!B7,'прайс квартиры'!$C$3:$C$79))</f>
        <v>92.08</v>
      </c>
      <c r="C6" s="235">
        <f>INDEX('прайс квартиры'!$L$3:$L$79, MATCH(Шахматка!B7,'прайс квартиры'!$C$3:$C$79))</f>
        <v>158000</v>
      </c>
      <c r="D6" s="236">
        <f t="shared" ref="D6" si="8">C6*B6</f>
        <v>14548640</v>
      </c>
      <c r="E6" s="237">
        <f>INDEX('прайс квартиры'!$D$3:$D$79,MATCH(Шахматка!E7,'прайс квартиры'!$C$3:$C$79))</f>
        <v>46.83</v>
      </c>
      <c r="F6" s="238">
        <f>INDEX('прайс квартиры'!$L$3:$L$79, MATCH(Шахматка!E7,'прайс квартиры'!$C$3:$C$79))</f>
        <v>177000</v>
      </c>
      <c r="G6" s="239">
        <f t="shared" ref="G6" si="9">F6*E6</f>
        <v>8288910</v>
      </c>
      <c r="H6" s="240">
        <f>INDEX('прайс квартиры'!$D$3:$D$79,MATCH(Шахматка!H7,'прайс квартиры'!$C$3:$C$79))</f>
        <v>65.89</v>
      </c>
      <c r="I6" s="241">
        <f>INDEX('прайс квартиры'!$L$3:$L$79, MATCH(Шахматка!H7,'прайс квартиры'!$C$3:$C$79))</f>
        <v>165000</v>
      </c>
      <c r="J6" s="242">
        <f t="shared" ref="J6" si="10">I6*H6</f>
        <v>10871850</v>
      </c>
      <c r="K6" s="237">
        <f>INDEX('прайс квартиры'!$D$3:$D$79,MATCH(Шахматка!K7,'прайс квартиры'!$C$3:$C$79))</f>
        <v>43.05</v>
      </c>
      <c r="L6" s="238">
        <f>INDEX('прайс квартиры'!$L$3:$L$79, MATCH(Шахматка!K7,'прайс квартиры'!$C$3:$C$79))</f>
        <v>185000</v>
      </c>
      <c r="M6" s="239">
        <f t="shared" ref="M6" si="11">L6*K6</f>
        <v>7964249.9999999991</v>
      </c>
      <c r="N6" s="237">
        <f>INDEX('прайс квартиры'!$D$3:$D$79,MATCH(Шахматка!N7,'прайс квартиры'!$C$3:$C$79))</f>
        <v>43.48</v>
      </c>
      <c r="O6" s="238">
        <f>INDEX('прайс квартиры'!$L$3:$L$79, MATCH(Шахматка!N7,'прайс квартиры'!$C$3:$C$79))</f>
        <v>184000</v>
      </c>
      <c r="P6" s="239">
        <f t="shared" ref="P6" si="12">O6*N6</f>
        <v>8000319.9999999991</v>
      </c>
      <c r="Q6" s="237">
        <f>INDEX('прайс квартиры'!$D$3:$D$79,MATCH(Шахматка!Q7,'прайс квартиры'!$C$3:$C$79))</f>
        <v>42.53</v>
      </c>
      <c r="R6" s="238">
        <f>INDEX('прайс квартиры'!$L$3:$L$79, MATCH(Шахматка!Q7,'прайс квартиры'!$C$3:$C$79))</f>
        <v>184000</v>
      </c>
      <c r="S6" s="239">
        <f t="shared" ref="S6" si="13">R6*Q6</f>
        <v>7825520</v>
      </c>
      <c r="T6" s="240">
        <f>INDEX('прайс квартиры'!$D$3:$D$79,MATCH(Шахматка!T7,'прайс квартиры'!$C$3:$C$79))</f>
        <v>62.62</v>
      </c>
      <c r="U6" s="241">
        <f>INDEX('прайс квартиры'!$L$3:$L$79, MATCH(Шахматка!T7,'прайс квартиры'!$C$3:$C$79))</f>
        <v>162000</v>
      </c>
      <c r="V6" s="242">
        <f t="shared" ref="V6" si="14">U6*T6</f>
        <v>10144440</v>
      </c>
      <c r="W6" s="234">
        <f>INDEX('прайс квартиры'!$D$3:$D$79,MATCH(Шахматка!W7,'прайс квартиры'!$C$3:$C$79))</f>
        <v>91.03</v>
      </c>
      <c r="X6" s="235">
        <f>INDEX('прайс квартиры'!$L$3:$L$79, MATCH(Шахматка!W7,'прайс квартиры'!$C$3:$C$79))</f>
        <v>158000</v>
      </c>
      <c r="Y6" s="236">
        <f t="shared" ref="Y6" si="15">X6*W6</f>
        <v>14382740</v>
      </c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</row>
    <row r="7" spans="1:40" ht="26.25" customHeight="1" thickBot="1" x14ac:dyDescent="0.3">
      <c r="A7" s="188"/>
      <c r="B7" s="243">
        <v>63</v>
      </c>
      <c r="C7" s="244" t="str">
        <f>INDEX('прайс квартиры'!$I$3:$I$79,MATCH(B7,'прайс квартиры'!$C$3:$C$79,0))</f>
        <v>3Aa</v>
      </c>
      <c r="D7" s="245"/>
      <c r="E7" s="246">
        <f t="shared" ref="E7" si="16">B7+1</f>
        <v>64</v>
      </c>
      <c r="F7" s="247" t="str">
        <f>INDEX('прайс квартиры'!$I$3:$I$79,MATCH(E7,'прайс квартиры'!$C$3:$C$79,0))</f>
        <v>1B</v>
      </c>
      <c r="G7" s="248"/>
      <c r="H7" s="249">
        <f t="shared" ref="H7" si="17">E7+1</f>
        <v>65</v>
      </c>
      <c r="I7" s="250" t="str">
        <f>INDEX('прайс квартиры'!$I$3:$I$79,MATCH(H7,'прайс квартиры'!$C$3:$C$79,0))</f>
        <v>2A</v>
      </c>
      <c r="J7" s="251"/>
      <c r="K7" s="246">
        <f t="shared" ref="K7" si="18">H7+1</f>
        <v>66</v>
      </c>
      <c r="L7" s="247" t="str">
        <f>INDEX('прайс квартиры'!$I$3:$I$79,MATCH(K7,'прайс квартиры'!$C$3:$C$79,0))</f>
        <v>1A</v>
      </c>
      <c r="M7" s="248"/>
      <c r="N7" s="246">
        <f t="shared" ref="N7" si="19">K7+1</f>
        <v>67</v>
      </c>
      <c r="O7" s="247" t="str">
        <f>INDEX('прайс квартиры'!$I$3:$I$79,MATCH(N7,'прайс квартиры'!$C$3:$C$79,0))</f>
        <v>1A</v>
      </c>
      <c r="P7" s="248"/>
      <c r="Q7" s="246">
        <f t="shared" ref="Q7" si="20">N7+1</f>
        <v>68</v>
      </c>
      <c r="R7" s="247" t="str">
        <f>INDEX('прайс квартиры'!$I$3:$I$79,MATCH(Q7,'прайс квартиры'!$C$3:$C$79,0))</f>
        <v>1A</v>
      </c>
      <c r="S7" s="248"/>
      <c r="T7" s="249">
        <f t="shared" ref="T7" si="21">Q7+1</f>
        <v>69</v>
      </c>
      <c r="U7" s="250" t="str">
        <f>INDEX('прайс квартиры'!$I$3:$I$79,MATCH(T7,'прайс квартиры'!$C$3:$C$79,0))</f>
        <v>2K</v>
      </c>
      <c r="V7" s="251"/>
      <c r="W7" s="243">
        <f t="shared" ref="W7" si="22">T7+1</f>
        <v>70</v>
      </c>
      <c r="X7" s="244" t="str">
        <f>INDEX('прайс квартиры'!$I$3:$I$79,MATCH(W7,'прайс квартиры'!$C$3:$C$79,0))</f>
        <v>3D</v>
      </c>
      <c r="Y7" s="245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</row>
    <row r="8" spans="1:40" ht="26.25" customHeight="1" x14ac:dyDescent="0.25">
      <c r="A8" s="188">
        <v>7</v>
      </c>
      <c r="B8" s="234">
        <f>INDEX('прайс квартиры'!$D$3:$D$79,MATCH(Шахматка!B9,'прайс квартиры'!$C$3:$C$79))</f>
        <v>92.26</v>
      </c>
      <c r="C8" s="235">
        <f>INDEX('прайс квартиры'!$L$3:$L$79, MATCH(Шахматка!B9,'прайс квартиры'!$C$3:$C$79))</f>
        <v>156500</v>
      </c>
      <c r="D8" s="236">
        <f t="shared" ref="D8" si="23">C8*B8</f>
        <v>14438690</v>
      </c>
      <c r="E8" s="237">
        <f>INDEX('прайс квартиры'!$D$3:$D$79,MATCH(Шахматка!E9,'прайс квартиры'!$C$3:$C$79))</f>
        <v>46.83</v>
      </c>
      <c r="F8" s="238">
        <f>INDEX('прайс квартиры'!$L$3:$L$79, MATCH(Шахматка!E9,'прайс квартиры'!$C$3:$C$79))</f>
        <v>175500</v>
      </c>
      <c r="G8" s="239">
        <f t="shared" ref="G8" si="24">F8*E8</f>
        <v>8218665</v>
      </c>
      <c r="H8" s="240">
        <f>INDEX('прайс квартиры'!$D$3:$D$79,MATCH(Шахматка!H9,'прайс квартиры'!$C$3:$C$79))</f>
        <v>65.89</v>
      </c>
      <c r="I8" s="241">
        <f>INDEX('прайс квартиры'!$L$3:$L$79, MATCH(Шахматка!H9,'прайс квартиры'!$C$3:$C$79))</f>
        <v>163500</v>
      </c>
      <c r="J8" s="242">
        <f t="shared" ref="J8" si="25">I8*H8</f>
        <v>10773015</v>
      </c>
      <c r="K8" s="237">
        <f>INDEX('прайс квартиры'!$D$3:$D$79,MATCH(Шахматка!K9,'прайс квартиры'!$C$3:$C$79))</f>
        <v>43.05</v>
      </c>
      <c r="L8" s="238">
        <f>INDEX('прайс квартиры'!$L$3:$L$79, MATCH(Шахматка!K9,'прайс квартиры'!$C$3:$C$79))</f>
        <v>182500</v>
      </c>
      <c r="M8" s="239">
        <f t="shared" ref="M8" si="26">L8*K8</f>
        <v>7856624.9999999991</v>
      </c>
      <c r="N8" s="237">
        <f>INDEX('прайс квартиры'!$D$3:$D$79,MATCH(Шахматка!N9,'прайс квартиры'!$C$3:$C$79))</f>
        <v>43.48</v>
      </c>
      <c r="O8" s="238">
        <f>INDEX('прайс квартиры'!$L$3:$L$79, MATCH(Шахматка!N9,'прайс квартиры'!$C$3:$C$79))</f>
        <v>182500</v>
      </c>
      <c r="P8" s="239">
        <f t="shared" ref="P8" si="27">O8*N8</f>
        <v>7935099.9999999991</v>
      </c>
      <c r="Q8" s="237">
        <f>INDEX('прайс квартиры'!$D$3:$D$79,MATCH(Шахматка!Q9,'прайс квартиры'!$C$3:$C$79))</f>
        <v>42.53</v>
      </c>
      <c r="R8" s="238">
        <f>INDEX('прайс квартиры'!$L$3:$L$79, MATCH(Шахматка!Q9,'прайс квартиры'!$C$3:$C$79))</f>
        <v>182500</v>
      </c>
      <c r="S8" s="239">
        <f t="shared" ref="S8" si="28">R8*Q8</f>
        <v>7761725</v>
      </c>
      <c r="T8" s="240">
        <f>INDEX('прайс квартиры'!$D$3:$D$79,MATCH(Шахматка!T9,'прайс квартиры'!$C$3:$C$79))</f>
        <v>62.57</v>
      </c>
      <c r="U8" s="241">
        <f>INDEX('прайс квартиры'!$L$3:$L$79, MATCH(Шахматка!T9,'прайс квартиры'!$C$3:$C$79))</f>
        <v>160500</v>
      </c>
      <c r="V8" s="242">
        <f t="shared" ref="V8" si="29">U8*T8</f>
        <v>10042485</v>
      </c>
      <c r="W8" s="234">
        <f>INDEX('прайс квартиры'!$D$3:$D$79,MATCH(Шахматка!W9,'прайс квартиры'!$C$3:$C$79))</f>
        <v>91.08</v>
      </c>
      <c r="X8" s="235">
        <f>INDEX('прайс квартиры'!$L$3:$L$79, MATCH(Шахматка!W9,'прайс квартиры'!$C$3:$C$79))</f>
        <v>156500</v>
      </c>
      <c r="Y8" s="236">
        <f t="shared" ref="Y8" si="30">X8*W8</f>
        <v>14254020</v>
      </c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</row>
    <row r="9" spans="1:40" ht="26.25" customHeight="1" thickBot="1" x14ac:dyDescent="0.3">
      <c r="A9" s="188"/>
      <c r="B9" s="243">
        <v>55</v>
      </c>
      <c r="C9" s="244" t="str">
        <f>INDEX('прайс квартиры'!$I$3:$I$79,MATCH(B9,'прайс квартиры'!$C$3:$C$79,0))</f>
        <v>3Aa</v>
      </c>
      <c r="D9" s="245"/>
      <c r="E9" s="246">
        <f t="shared" ref="E9" si="31">B9+1</f>
        <v>56</v>
      </c>
      <c r="F9" s="247" t="str">
        <f>INDEX('прайс квартиры'!$I$3:$I$79,MATCH(E9,'прайс квартиры'!$C$3:$C$79,0))</f>
        <v>1B</v>
      </c>
      <c r="G9" s="248"/>
      <c r="H9" s="249">
        <f t="shared" ref="H9" si="32">E9+1</f>
        <v>57</v>
      </c>
      <c r="I9" s="250" t="str">
        <f>INDEX('прайс квартиры'!$I$3:$I$79,MATCH(H9,'прайс квартиры'!$C$3:$C$79,0))</f>
        <v>2A</v>
      </c>
      <c r="J9" s="251"/>
      <c r="K9" s="246">
        <f t="shared" ref="K9" si="33">H9+1</f>
        <v>58</v>
      </c>
      <c r="L9" s="247" t="str">
        <f>INDEX('прайс квартиры'!$I$3:$I$79,MATCH(K9,'прайс квартиры'!$C$3:$C$79,0))</f>
        <v>1A</v>
      </c>
      <c r="M9" s="248"/>
      <c r="N9" s="246">
        <f t="shared" ref="N9" si="34">K9+1</f>
        <v>59</v>
      </c>
      <c r="O9" s="247" t="str">
        <f>INDEX('прайс квартиры'!$I$3:$I$79,MATCH(N9,'прайс квартиры'!$C$3:$C$79,0))</f>
        <v>1A</v>
      </c>
      <c r="P9" s="248"/>
      <c r="Q9" s="246">
        <f t="shared" ref="Q9" si="35">N9+1</f>
        <v>60</v>
      </c>
      <c r="R9" s="247" t="str">
        <f>INDEX('прайс квартиры'!$I$3:$I$79,MATCH(Q9,'прайс квартиры'!$C$3:$C$79,0))</f>
        <v>1A</v>
      </c>
      <c r="S9" s="248"/>
      <c r="T9" s="249">
        <f t="shared" ref="T9" si="36">Q9+1</f>
        <v>61</v>
      </c>
      <c r="U9" s="250" t="str">
        <f>INDEX('прайс квартиры'!$I$3:$I$79,MATCH(T9,'прайс квартиры'!$C$3:$C$79,0))</f>
        <v>2K</v>
      </c>
      <c r="V9" s="251"/>
      <c r="W9" s="243">
        <f t="shared" ref="W9" si="37">T9+1</f>
        <v>62</v>
      </c>
      <c r="X9" s="244" t="str">
        <f>INDEX('прайс квартиры'!$I$3:$I$79,MATCH(W9,'прайс квартиры'!$C$3:$C$79,0))</f>
        <v>3D</v>
      </c>
      <c r="Y9" s="245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</row>
    <row r="10" spans="1:40" ht="26.25" customHeight="1" x14ac:dyDescent="0.25">
      <c r="A10" s="188">
        <v>6</v>
      </c>
      <c r="B10" s="234">
        <f>INDEX('прайс квартиры'!$D$3:$D$79,MATCH(Шахматка!B11,'прайс квартиры'!$C$3:$C$79))</f>
        <v>92.17</v>
      </c>
      <c r="C10" s="235">
        <f>INDEX('прайс квартиры'!$L$3:$L$79, MATCH(Шахматка!B11,'прайс квартиры'!$C$3:$C$79))</f>
        <v>155000</v>
      </c>
      <c r="D10" s="236">
        <f t="shared" ref="D10" si="38">C10*B10</f>
        <v>14286350</v>
      </c>
      <c r="E10" s="237">
        <f>INDEX('прайс квартиры'!$D$3:$D$79,MATCH(Шахматка!E11,'прайс квартиры'!$C$3:$C$79))</f>
        <v>46.7</v>
      </c>
      <c r="F10" s="238">
        <f>INDEX('прайс квартиры'!$L$3:$L$79, MATCH(Шахматка!E11,'прайс квартиры'!$C$3:$C$79))</f>
        <v>174000</v>
      </c>
      <c r="G10" s="239">
        <f t="shared" ref="G10" si="39">F10*E10</f>
        <v>8125800.0000000009</v>
      </c>
      <c r="H10" s="240">
        <f>INDEX('прайс квартиры'!$D$3:$D$79,MATCH(Шахматка!H11,'прайс квартиры'!$C$3:$C$79))</f>
        <v>65.84</v>
      </c>
      <c r="I10" s="241">
        <f>INDEX('прайс квартиры'!$L$3:$L$79, MATCH(Шахматка!H11,'прайс квартиры'!$C$3:$C$79))</f>
        <v>162000</v>
      </c>
      <c r="J10" s="242">
        <f t="shared" ref="J10" si="40">I10*H10</f>
        <v>10666080</v>
      </c>
      <c r="K10" s="237">
        <f>INDEX('прайс квартиры'!$D$3:$D$79,MATCH(Шахматка!K11,'прайс квартиры'!$C$3:$C$79))</f>
        <v>42.98</v>
      </c>
      <c r="L10" s="238">
        <f>INDEX('прайс квартиры'!$L$3:$L$79, MATCH(Шахматка!K11,'прайс квартиры'!$C$3:$C$79))</f>
        <v>181000</v>
      </c>
      <c r="M10" s="239">
        <f t="shared" ref="M10" si="41">L10*K10</f>
        <v>7779379.9999999991</v>
      </c>
      <c r="N10" s="237">
        <f>INDEX('прайс квартиры'!$D$3:$D$79,MATCH(Шахматка!N11,'прайс квартиры'!$C$3:$C$79))</f>
        <v>43.46</v>
      </c>
      <c r="O10" s="238">
        <f>INDEX('прайс квартиры'!$L$3:$L$79, MATCH(Шахматка!N11,'прайс квартиры'!$C$3:$C$79))</f>
        <v>181000</v>
      </c>
      <c r="P10" s="239">
        <f t="shared" ref="P10" si="42">O10*N10</f>
        <v>7866260</v>
      </c>
      <c r="Q10" s="234">
        <f>INDEX('прайс квартиры'!$D$3:$D$79,MATCH(Шахматка!Q11,'прайс квартиры'!$C$3:$C$79))</f>
        <v>83.57</v>
      </c>
      <c r="R10" s="235">
        <f>INDEX('прайс квартиры'!$L$3:$L$79, MATCH(Шахматка!Q11,'прайс квартиры'!$C$3:$C$79))</f>
        <v>156000</v>
      </c>
      <c r="S10" s="236">
        <f t="shared" ref="S10" si="43">R10*Q10</f>
        <v>13036919.999999998</v>
      </c>
      <c r="T10" s="233"/>
      <c r="V10" s="233"/>
      <c r="W10" s="252">
        <f>INDEX('прайс квартиры'!$D$3:$D$79,MATCH(Шахматка!W11,'прайс квартиры'!$C$3:$C$79))</f>
        <v>91.39</v>
      </c>
      <c r="X10" s="235">
        <f>INDEX('прайс квартиры'!$L$3:$L$79, MATCH(Шахматка!W11,'прайс квартиры'!$C$3:$C$79))</f>
        <v>155000</v>
      </c>
      <c r="Y10" s="236">
        <f t="shared" ref="Y10" si="44">X10*W10</f>
        <v>14165450</v>
      </c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</row>
    <row r="11" spans="1:40" ht="26.25" customHeight="1" thickBot="1" x14ac:dyDescent="0.3">
      <c r="A11" s="188"/>
      <c r="B11" s="243">
        <v>48</v>
      </c>
      <c r="C11" s="244" t="str">
        <f>INDEX('прайс квартиры'!$I$3:$I$79,MATCH(B11,'прайс квартиры'!$C$3:$C$79,0))</f>
        <v>3Aa</v>
      </c>
      <c r="D11" s="245"/>
      <c r="E11" s="246">
        <f t="shared" ref="E11" si="45">B11+1</f>
        <v>49</v>
      </c>
      <c r="F11" s="247" t="str">
        <f>INDEX('прайс квартиры'!$I$3:$I$79,MATCH(E11,'прайс квартиры'!$C$3:$C$79,0))</f>
        <v>1B</v>
      </c>
      <c r="G11" s="248"/>
      <c r="H11" s="249">
        <f t="shared" ref="H11" si="46">E11+1</f>
        <v>50</v>
      </c>
      <c r="I11" s="250" t="str">
        <f>INDEX('прайс квартиры'!$I$3:$I$79,MATCH(H11,'прайс квартиры'!$C$3:$C$79,0))</f>
        <v>2A</v>
      </c>
      <c r="J11" s="251"/>
      <c r="K11" s="246">
        <f t="shared" ref="K11" si="47">H11+1</f>
        <v>51</v>
      </c>
      <c r="L11" s="247" t="str">
        <f>INDEX('прайс квартиры'!$I$3:$I$79,MATCH(K11,'прайс квартиры'!$C$3:$C$79,0))</f>
        <v>1A</v>
      </c>
      <c r="M11" s="248"/>
      <c r="N11" s="246">
        <f t="shared" ref="N11" si="48">K11+1</f>
        <v>52</v>
      </c>
      <c r="O11" s="247" t="str">
        <f>INDEX('прайс квартиры'!$I$3:$I$79,MATCH(N11,'прайс квартиры'!$C$3:$C$79,0))</f>
        <v>1A</v>
      </c>
      <c r="P11" s="248"/>
      <c r="Q11" s="243">
        <f>N11+1</f>
        <v>53</v>
      </c>
      <c r="R11" s="244" t="str">
        <f>INDEX('прайс квартиры'!$I$3:$I$79,MATCH(Q11,'прайс квартиры'!$C$3:$C$79,0))</f>
        <v>3C</v>
      </c>
      <c r="S11" s="245"/>
      <c r="T11" s="233"/>
      <c r="V11" s="233"/>
      <c r="W11" s="253">
        <f>Q11+1</f>
        <v>54</v>
      </c>
      <c r="X11" s="244" t="str">
        <f>INDEX('прайс квартиры'!$I$3:$I$79,MATCH(W11,'прайс квартиры'!$C$3:$C$79,0))</f>
        <v>3D</v>
      </c>
      <c r="Y11" s="245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</row>
    <row r="12" spans="1:40" ht="26.25" customHeight="1" x14ac:dyDescent="0.25">
      <c r="A12" s="188">
        <v>5</v>
      </c>
      <c r="B12" s="234">
        <f>INDEX('прайс квартиры'!$D$3:$D$79,MATCH(Шахматка!B13,'прайс квартиры'!$C$3:$C$79))</f>
        <v>92.62</v>
      </c>
      <c r="C12" s="235">
        <f>INDEX('прайс квартиры'!$L$3:$L$79, MATCH(Шахматка!B13,'прайс квартиры'!$C$3:$C$79))</f>
        <v>153500</v>
      </c>
      <c r="D12" s="236">
        <f t="shared" ref="D12" si="49">C12*B12</f>
        <v>14217170</v>
      </c>
      <c r="E12" s="237">
        <f>INDEX('прайс квартиры'!$D$3:$D$79,MATCH(Шахматка!E13,'прайс квартиры'!$C$3:$C$79))</f>
        <v>46.86</v>
      </c>
      <c r="F12" s="238">
        <f>INDEX('прайс квартиры'!$L$3:$L$79, MATCH(Шахматка!E13,'прайс квартиры'!$C$3:$C$79))</f>
        <v>172500</v>
      </c>
      <c r="G12" s="239">
        <f t="shared" ref="G12" si="50">F12*E12</f>
        <v>8083350</v>
      </c>
      <c r="H12" s="240">
        <f>INDEX('прайс квартиры'!$D$3:$D$79,MATCH(Шахматка!H13,'прайс квартиры'!$C$3:$C$79))</f>
        <v>66.14</v>
      </c>
      <c r="I12" s="241">
        <f>INDEX('прайс квартиры'!$L$3:$L$79, MATCH(Шахматка!H13,'прайс квартиры'!$C$3:$C$79))</f>
        <v>160500</v>
      </c>
      <c r="J12" s="242">
        <f t="shared" ref="J12" si="51">I12*H12</f>
        <v>10615470</v>
      </c>
      <c r="K12" s="237">
        <f>INDEX('прайс квартиры'!$D$3:$D$79,MATCH(Шахматка!K13,'прайс квартиры'!$C$3:$C$79))</f>
        <v>42.99</v>
      </c>
      <c r="L12" s="238">
        <f>INDEX('прайс квартиры'!$L$3:$L$79, MATCH(Шахматка!K13,'прайс квартиры'!$C$3:$C$79))</f>
        <v>179500</v>
      </c>
      <c r="M12" s="239">
        <f t="shared" ref="M12" si="52">L12*K12</f>
        <v>7716705</v>
      </c>
      <c r="N12" s="237">
        <f>INDEX('прайс квартиры'!$D$3:$D$79,MATCH(Шахматка!N13,'прайс квартиры'!$C$3:$C$79))</f>
        <v>43.41</v>
      </c>
      <c r="O12" s="238">
        <f>INDEX('прайс квартиры'!$L$3:$L$79, MATCH(Шахматка!N13,'прайс квартиры'!$C$3:$C$79))</f>
        <v>179500</v>
      </c>
      <c r="P12" s="239">
        <f t="shared" ref="P12" si="53">O12*N12</f>
        <v>7792094.9999999991</v>
      </c>
      <c r="Q12" s="234">
        <f>INDEX('прайс квартиры'!$D$3:$D$79,MATCH(Шахматка!Q13,'прайс квартиры'!$C$3:$C$79))</f>
        <v>83.55</v>
      </c>
      <c r="R12" s="235">
        <f>INDEX('прайс квартиры'!$L$3:$L$79, MATCH(Шахматка!Q13,'прайс квартиры'!$C$3:$C$79))</f>
        <v>154500</v>
      </c>
      <c r="S12" s="236">
        <f t="shared" ref="S12" si="54">R12*Q12</f>
        <v>12908475</v>
      </c>
      <c r="T12" s="233"/>
      <c r="V12" s="233"/>
      <c r="W12" s="252">
        <f>INDEX('прайс квартиры'!$D$3:$D$79,MATCH(Шахматка!W13,'прайс квартиры'!$C$3:$C$79))</f>
        <v>97.54</v>
      </c>
      <c r="X12" s="235">
        <f>INDEX('прайс квартиры'!$L$3:$L$79, MATCH(Шахматка!W13,'прайс квартиры'!$C$3:$C$79))</f>
        <v>156500</v>
      </c>
      <c r="Y12" s="236">
        <f t="shared" ref="Y12" si="55">X12*W12</f>
        <v>15265010.000000002</v>
      </c>
      <c r="Z12" s="233"/>
      <c r="AB12" s="233"/>
      <c r="AC12" s="254">
        <f>INDEX('прайс квартиры'!$D$3:$D$79,MATCH(Шахматка!AC13,'прайс квартиры'!$C$3:$C$79))</f>
        <v>62.55</v>
      </c>
      <c r="AD12" s="241">
        <f>INDEX('прайс квартиры'!$L$3:$L$79, MATCH(Шахматка!AC13,'прайс квартиры'!$C$3:$C$79))</f>
        <v>159500</v>
      </c>
      <c r="AE12" s="242">
        <f t="shared" ref="AE12" si="56">AD12*AC12</f>
        <v>9976725</v>
      </c>
      <c r="AF12" s="240">
        <f>INDEX('прайс квартиры'!$D$3:$D$79,MATCH(Шахматка!AF13,'прайс квартиры'!$C$3:$C$79))</f>
        <v>62.86</v>
      </c>
      <c r="AG12" s="241">
        <f>INDEX('прайс квартиры'!$L$3:$L$79, MATCH(Шахматка!AF13,'прайс квартиры'!$C$3:$C$79))</f>
        <v>156500</v>
      </c>
      <c r="AH12" s="242">
        <f t="shared" ref="AH12" si="57">AG12*AF12</f>
        <v>9837590</v>
      </c>
      <c r="AI12" s="240">
        <f>INDEX('прайс квартиры'!$D$3:$D$79,MATCH(Шахматка!AI13,'прайс квартиры'!$C$3:$C$79))</f>
        <v>72.3</v>
      </c>
      <c r="AJ12" s="241">
        <f>INDEX('прайс квартиры'!$L$3:$L$79, MATCH(Шахматка!AI13,'прайс квартиры'!$C$3:$C$79))</f>
        <v>157500</v>
      </c>
      <c r="AK12" s="242">
        <f t="shared" ref="AK12" si="58">AJ12*AI12</f>
        <v>11387250</v>
      </c>
      <c r="AL12" s="233"/>
      <c r="AM12" s="233"/>
      <c r="AN12" s="233"/>
    </row>
    <row r="13" spans="1:40" ht="26.25" customHeight="1" thickBot="1" x14ac:dyDescent="0.3">
      <c r="A13" s="188"/>
      <c r="B13" s="243">
        <v>38</v>
      </c>
      <c r="C13" s="244" t="str">
        <f>INDEX('прайс квартиры'!$I$3:$I$79,MATCH(B13,'прайс квартиры'!$C$3:$C$79,0))</f>
        <v>3Aa</v>
      </c>
      <c r="D13" s="245"/>
      <c r="E13" s="246">
        <f t="shared" ref="E13" si="59">B13+1</f>
        <v>39</v>
      </c>
      <c r="F13" s="247" t="str">
        <f>INDEX('прайс квартиры'!$I$3:$I$79,MATCH(E13,'прайс квартиры'!$C$3:$C$79,0))</f>
        <v>1B</v>
      </c>
      <c r="G13" s="248"/>
      <c r="H13" s="249">
        <f t="shared" ref="H13" si="60">E13+1</f>
        <v>40</v>
      </c>
      <c r="I13" s="250" t="str">
        <f>INDEX('прайс квартиры'!$I$3:$I$79,MATCH(H13,'прайс квартиры'!$C$3:$C$79,0))</f>
        <v>2A</v>
      </c>
      <c r="J13" s="251"/>
      <c r="K13" s="246">
        <f t="shared" ref="K13" si="61">H13+1</f>
        <v>41</v>
      </c>
      <c r="L13" s="247" t="str">
        <f>INDEX('прайс квартиры'!$I$3:$I$79,MATCH(K13,'прайс квартиры'!$C$3:$C$79,0))</f>
        <v>1A</v>
      </c>
      <c r="M13" s="248"/>
      <c r="N13" s="246">
        <f t="shared" ref="N13" si="62">K13+1</f>
        <v>42</v>
      </c>
      <c r="O13" s="247" t="str">
        <f>INDEX('прайс квартиры'!$I$3:$I$79,MATCH(N13,'прайс квартиры'!$C$3:$C$79,0))</f>
        <v>1A</v>
      </c>
      <c r="P13" s="248"/>
      <c r="Q13" s="243">
        <f>N13+1</f>
        <v>43</v>
      </c>
      <c r="R13" s="244" t="str">
        <f>INDEX('прайс квартиры'!$I$3:$I$79,MATCH(Q13,'прайс квартиры'!$C$3:$C$79,0))</f>
        <v>3C</v>
      </c>
      <c r="S13" s="245"/>
      <c r="T13" s="233"/>
      <c r="V13" s="233"/>
      <c r="W13" s="253">
        <f>Q13+1</f>
        <v>44</v>
      </c>
      <c r="X13" s="244" t="str">
        <f>INDEX('прайс квартиры'!$I$3:$I$79,MATCH(W13,'прайс квартиры'!$C$3:$C$79,0))</f>
        <v>3D</v>
      </c>
      <c r="Y13" s="245"/>
      <c r="Z13" s="233"/>
      <c r="AB13" s="233"/>
      <c r="AC13" s="255">
        <f>W13+1</f>
        <v>45</v>
      </c>
      <c r="AD13" s="250" t="str">
        <f>INDEX('прайс квартиры'!$I$3:$I$79,MATCH(AC13,'прайс квартиры'!$C$3:$C$79,0))</f>
        <v>2C</v>
      </c>
      <c r="AE13" s="251"/>
      <c r="AF13" s="249">
        <f t="shared" ref="AF13" si="63">AC13+1</f>
        <v>46</v>
      </c>
      <c r="AG13" s="250" t="str">
        <f>INDEX('прайс квартиры'!$I$3:$I$79,MATCH(AF13,'прайс квартиры'!$C$3:$C$79,0))</f>
        <v>2C</v>
      </c>
      <c r="AH13" s="251"/>
      <c r="AI13" s="249">
        <f t="shared" ref="AI13" si="64">AF13+1</f>
        <v>47</v>
      </c>
      <c r="AJ13" s="250" t="str">
        <f>INDEX('прайс квартиры'!$I$3:$I$79,MATCH(AI13,'прайс квартиры'!$C$3:$C$79,0))</f>
        <v>2D</v>
      </c>
      <c r="AK13" s="251"/>
      <c r="AL13" s="233"/>
      <c r="AM13" s="233"/>
      <c r="AN13" s="233"/>
    </row>
    <row r="14" spans="1:40" ht="26.25" customHeight="1" x14ac:dyDescent="0.25">
      <c r="A14" s="188">
        <v>4</v>
      </c>
      <c r="B14" s="234">
        <f>INDEX('прайс квартиры'!$D$3:$D$79,MATCH(Шахматка!B15,'прайс квартиры'!$C$3:$C$79))</f>
        <v>92.62</v>
      </c>
      <c r="C14" s="235">
        <f>INDEX('прайс квартиры'!$L$3:$L$79, MATCH(Шахматка!B15,'прайс квартиры'!$C$3:$C$79))</f>
        <v>152000</v>
      </c>
      <c r="D14" s="236">
        <f>C14*B14</f>
        <v>14078240</v>
      </c>
      <c r="E14" s="237">
        <f>INDEX('прайс квартиры'!$D$3:$D$79,MATCH(Шахматка!E15,'прайс квартиры'!$C$3:$C$79))</f>
        <v>46.88</v>
      </c>
      <c r="F14" s="238">
        <f>INDEX('прайс квартиры'!$L$3:$L$79, MATCH(Шахматка!E15,'прайс квартиры'!$C$3:$C$79))</f>
        <v>171000</v>
      </c>
      <c r="G14" s="239">
        <f t="shared" ref="G14" si="65">F14*E14</f>
        <v>8016480</v>
      </c>
      <c r="H14" s="240">
        <f>INDEX('прайс квартиры'!$D$3:$D$79,MATCH(Шахматка!H15,'прайс квартиры'!$C$3:$C$79))</f>
        <v>65.48</v>
      </c>
      <c r="I14" s="241">
        <f>INDEX('прайс квартиры'!$L$3:$L$79, MATCH(Шахматка!H15,'прайс квартиры'!$C$3:$C$79))</f>
        <v>156000</v>
      </c>
      <c r="J14" s="242">
        <f t="shared" ref="J14" si="66">I14*H14</f>
        <v>10214880</v>
      </c>
      <c r="K14" s="237">
        <f>INDEX('прайс квартиры'!$D$3:$D$79,MATCH(Шахматка!K15,'прайс квартиры'!$C$3:$C$79))</f>
        <v>42.41</v>
      </c>
      <c r="L14" s="238">
        <f>INDEX('прайс квартиры'!$L$3:$L$79, MATCH(Шахматка!K15,'прайс квартиры'!$C$3:$C$79))</f>
        <v>175000</v>
      </c>
      <c r="M14" s="239">
        <f t="shared" ref="M14" si="67">L14*K14</f>
        <v>7421749.9999999991</v>
      </c>
      <c r="N14" s="237">
        <f>INDEX('прайс квартиры'!$D$3:$D$79,MATCH(Шахматка!N15,'прайс квартиры'!$C$3:$C$79))</f>
        <v>42.89</v>
      </c>
      <c r="O14" s="238">
        <f>INDEX('прайс квартиры'!$L$3:$L$79, MATCH(Шахматка!N15,'прайс квартиры'!$C$3:$C$79))</f>
        <v>175000</v>
      </c>
      <c r="P14" s="239">
        <f t="shared" ref="P14" si="68">O14*N14</f>
        <v>7505750</v>
      </c>
      <c r="Q14" s="240">
        <f>INDEX('прайс квартиры'!$D$3:$D$79,MATCH(Шахматка!Q15,'прайс квартиры'!$C$3:$C$79))</f>
        <v>62.23</v>
      </c>
      <c r="R14" s="241">
        <f>INDEX('прайс квартиры'!$L$3:$L$79, MATCH(Шахматка!Q15,'прайс квартиры'!$C$3:$C$79))</f>
        <v>155000</v>
      </c>
      <c r="S14" s="242">
        <f t="shared" ref="S14" si="69">R14*Q14</f>
        <v>9645650</v>
      </c>
      <c r="T14" s="240">
        <f>INDEX('прайс квартиры'!$D$3:$D$79,MATCH(Шахматка!T15,'прайс квартиры'!$C$3:$C$79))</f>
        <v>76.78</v>
      </c>
      <c r="U14" s="241">
        <f>INDEX('прайс квартиры'!$L$3:$L$79, MATCH(Шахматка!T15,'прайс квартиры'!$C$3:$C$79))</f>
        <v>153000</v>
      </c>
      <c r="V14" s="242">
        <f t="shared" ref="V14" si="70">U14*T14</f>
        <v>11747340</v>
      </c>
      <c r="W14" s="240">
        <f>INDEX('прайс квартиры'!$D$3:$D$79,MATCH(Шахматка!W15,'прайс квартиры'!$C$3:$C$79))</f>
        <v>69.91</v>
      </c>
      <c r="X14" s="241">
        <f>INDEX('прайс квартиры'!$L$3:$L$79, MATCH(Шахматка!W15,'прайс квартиры'!$C$3:$C$79))</f>
        <v>155000</v>
      </c>
      <c r="Y14" s="241">
        <f t="shared" ref="Y14" si="71">X14*W14</f>
        <v>10836050</v>
      </c>
      <c r="Z14" s="252">
        <f>INDEX('прайс квартиры'!$D$3:$D$79,MATCH(Шахматка!Z15,'прайс квартиры'!$C$3:$C$79))</f>
        <v>107.31</v>
      </c>
      <c r="AA14" s="235">
        <f>INDEX('прайс квартиры'!$L$3:$L$79, MATCH(Шахматка!Z15,'прайс квартиры'!$C$3:$C$79))</f>
        <v>149000</v>
      </c>
      <c r="AB14" s="236">
        <f t="shared" ref="AB14" si="72">AA14*Z14</f>
        <v>15989190</v>
      </c>
      <c r="AC14" s="237">
        <f>INDEX('прайс квартиры'!$D$3:$D$79,MATCH(Шахматка!AC15,'прайс квартиры'!$C$3:$C$79))</f>
        <v>41.84</v>
      </c>
      <c r="AD14" s="238">
        <f>INDEX('прайс квартиры'!$L$3:$L$79, MATCH(Шахматка!AC15,'прайс квартиры'!$C$3:$C$79))</f>
        <v>178000</v>
      </c>
      <c r="AE14" s="239">
        <f t="shared" ref="AE14" si="73">AD14*AC14</f>
        <v>7447520.0000000009</v>
      </c>
      <c r="AF14" s="240">
        <f>INDEX('прайс квартиры'!$D$3:$D$79,MATCH(Шахматка!AF15,'прайс квартиры'!$C$3:$C$79))</f>
        <v>62.78</v>
      </c>
      <c r="AG14" s="241">
        <f>INDEX('прайс квартиры'!$L$3:$L$79, MATCH(Шахматка!AF15,'прайс квартиры'!$C$3:$C$79))</f>
        <v>155000</v>
      </c>
      <c r="AH14" s="242">
        <f t="shared" ref="AH14" si="74">AG14*AF14</f>
        <v>9730900</v>
      </c>
      <c r="AI14" s="240">
        <f>INDEX('прайс квартиры'!$D$3:$D$79,MATCH(Шахматка!AI15,'прайс квартиры'!$C$3:$C$79))</f>
        <v>71.099999999999994</v>
      </c>
      <c r="AJ14" s="241">
        <f>INDEX('прайс квартиры'!$L$3:$L$79, MATCH(Шахматка!AI15,'прайс квартиры'!$C$3:$C$79))</f>
        <v>156000</v>
      </c>
      <c r="AK14" s="242">
        <f t="shared" ref="AK14" si="75">AJ14*AI14</f>
        <v>11091600</v>
      </c>
      <c r="AL14" s="240">
        <f>INDEX('прайс квартиры'!$D$3:$D$79,MATCH(Шахматка!AL15,'прайс квартиры'!$C$3:$C$79))</f>
        <v>72.66</v>
      </c>
      <c r="AM14" s="241">
        <f>INDEX('прайс квартиры'!$L$3:$L$79, MATCH(Шахматка!AL15,'прайс квартиры'!$C$3:$C$79))</f>
        <v>156000</v>
      </c>
      <c r="AN14" s="242">
        <f t="shared" ref="AN14" si="76">AM14*AL14</f>
        <v>11334960</v>
      </c>
    </row>
    <row r="15" spans="1:40" ht="26.25" customHeight="1" thickBot="1" x14ac:dyDescent="0.3">
      <c r="A15" s="188"/>
      <c r="B15" s="243">
        <v>25</v>
      </c>
      <c r="C15" s="244" t="str">
        <f>INDEX('прайс квартиры'!$I$3:$I$79,MATCH(B15,'прайс квартиры'!$C$3:$C$79,0))</f>
        <v>3Aa</v>
      </c>
      <c r="D15" s="245"/>
      <c r="E15" s="246">
        <f t="shared" ref="E15" si="77">B15+1</f>
        <v>26</v>
      </c>
      <c r="F15" s="247" t="str">
        <f>INDEX('прайс квартиры'!$I$3:$I$79,MATCH(E15,'прайс квартиры'!$C$3:$C$79,0))</f>
        <v>1B</v>
      </c>
      <c r="G15" s="248"/>
      <c r="H15" s="249">
        <f t="shared" ref="H15" si="78">E15+1</f>
        <v>27</v>
      </c>
      <c r="I15" s="250" t="str">
        <f>INDEX('прайс квартиры'!$I$3:$I$79,MATCH(H15,'прайс квартиры'!$C$3:$C$79,0))</f>
        <v>2A</v>
      </c>
      <c r="J15" s="251"/>
      <c r="K15" s="246">
        <f t="shared" ref="K15" si="79">H15+1</f>
        <v>28</v>
      </c>
      <c r="L15" s="247" t="str">
        <f>INDEX('прайс квартиры'!$I$3:$I$79,MATCH(K15,'прайс квартиры'!$C$3:$C$79,0))</f>
        <v>1A</v>
      </c>
      <c r="M15" s="248"/>
      <c r="N15" s="246">
        <f t="shared" ref="N15" si="80">K15+1</f>
        <v>29</v>
      </c>
      <c r="O15" s="247" t="str">
        <f>INDEX('прайс квартиры'!$I$3:$I$79,MATCH(N15,'прайс квартиры'!$C$3:$C$79,0))</f>
        <v>1A</v>
      </c>
      <c r="P15" s="248"/>
      <c r="Q15" s="249">
        <f t="shared" ref="Q15" si="81">N15+1</f>
        <v>30</v>
      </c>
      <c r="R15" s="250" t="str">
        <f>INDEX('прайс квартиры'!$I$3:$I$79,MATCH(Q15,'прайс квартиры'!$C$3:$C$79,0))</f>
        <v>2B</v>
      </c>
      <c r="S15" s="251"/>
      <c r="T15" s="249">
        <f t="shared" ref="T15" si="82">Q15+1</f>
        <v>31</v>
      </c>
      <c r="U15" s="250" t="str">
        <f>INDEX('прайс квартиры'!$I$3:$I$79,MATCH(T15,'прайс квартиры'!$C$3:$C$79,0))</f>
        <v>2F</v>
      </c>
      <c r="V15" s="251"/>
      <c r="W15" s="249">
        <f t="shared" ref="W15" si="83">T15+1</f>
        <v>32</v>
      </c>
      <c r="X15" s="250" t="str">
        <f>INDEX('прайс квартиры'!$I$3:$I$79,MATCH(W15,'прайс квартиры'!$C$3:$C$79,0))</f>
        <v>2H</v>
      </c>
      <c r="Y15" s="249"/>
      <c r="Z15" s="253">
        <f t="shared" ref="Z15" si="84">W15+1</f>
        <v>33</v>
      </c>
      <c r="AA15" s="244" t="str">
        <f>INDEX('прайс квартиры'!$I$3:$I$79,MATCH(Z15,'прайс квартиры'!$C$3:$C$79,0))</f>
        <v>3B</v>
      </c>
      <c r="AB15" s="245"/>
      <c r="AC15" s="246">
        <f t="shared" ref="AC15" si="85">Z15+1</f>
        <v>34</v>
      </c>
      <c r="AD15" s="247" t="str">
        <f>INDEX('прайс квартиры'!$I$3:$I$79,MATCH(AC15,'прайс квартиры'!$C$3:$C$79,0))</f>
        <v>1A</v>
      </c>
      <c r="AE15" s="248"/>
      <c r="AF15" s="249">
        <f t="shared" ref="AF15" si="86">AC15+1</f>
        <v>35</v>
      </c>
      <c r="AG15" s="250" t="str">
        <f>INDEX('прайс квартиры'!$I$3:$I$79,MATCH(AF15,'прайс квартиры'!$C$3:$C$79,0))</f>
        <v>2C</v>
      </c>
      <c r="AH15" s="251"/>
      <c r="AI15" s="249">
        <f t="shared" ref="AI15" si="87">AF15+1</f>
        <v>36</v>
      </c>
      <c r="AJ15" s="250" t="str">
        <f>INDEX('прайс квартиры'!$I$3:$I$79,MATCH(AI15,'прайс квартиры'!$C$3:$C$79,0))</f>
        <v>2D</v>
      </c>
      <c r="AK15" s="251"/>
      <c r="AL15" s="249">
        <f t="shared" ref="AL15" si="88">AI15+1</f>
        <v>37</v>
      </c>
      <c r="AM15" s="250" t="str">
        <f>INDEX('прайс квартиры'!$I$3:$I$79,MATCH(AL15,'прайс квартиры'!$C$3:$C$79,0))</f>
        <v>2E</v>
      </c>
      <c r="AN15" s="251"/>
    </row>
    <row r="16" spans="1:40" ht="26.25" customHeight="1" x14ac:dyDescent="0.25">
      <c r="A16" s="188">
        <v>3</v>
      </c>
      <c r="B16" s="234">
        <f>INDEX('прайс квартиры'!$D$3:$D$79,MATCH(Шахматка!B17,'прайс квартиры'!$C$3:$C$79))</f>
        <v>100.28</v>
      </c>
      <c r="C16" s="235">
        <f>INDEX('прайс квартиры'!$L$3:$L$79, MATCH(Шахматка!B17,'прайс квартиры'!$C$3:$C$79))</f>
        <v>149500</v>
      </c>
      <c r="D16" s="236">
        <f>C16*B16</f>
        <v>14991860</v>
      </c>
      <c r="E16" s="237">
        <f>INDEX('прайс квартиры'!$D$3:$D$79,MATCH(Шахматка!E17,'прайс квартиры'!$C$3:$C$79))</f>
        <v>47</v>
      </c>
      <c r="F16" s="238">
        <f>INDEX('прайс квартиры'!$L$3:$L$79, MATCH(Шахматка!E17,'прайс квартиры'!$C$3:$C$79))</f>
        <v>169500</v>
      </c>
      <c r="G16" s="239">
        <f t="shared" ref="G16" si="89">F16*E16</f>
        <v>7966500</v>
      </c>
      <c r="H16" s="240">
        <f>INDEX('прайс квартиры'!$D$3:$D$79,MATCH(Шахматка!H17,'прайс квартиры'!$C$3:$C$79))</f>
        <v>65.95</v>
      </c>
      <c r="I16" s="241">
        <f>INDEX('прайс квартиры'!$L$3:$L$79, MATCH(Шахматка!H17,'прайс квартиры'!$C$3:$C$79))</f>
        <v>154500</v>
      </c>
      <c r="J16" s="242">
        <f t="shared" ref="J16" si="90">I16*H16</f>
        <v>10189275</v>
      </c>
      <c r="K16" s="237">
        <f>INDEX('прайс квартиры'!$D$3:$D$79,MATCH(Шахматка!K17,'прайс квартиры'!$C$3:$C$79))</f>
        <v>42.64</v>
      </c>
      <c r="L16" s="238">
        <f>INDEX('прайс квартиры'!$L$3:$L$79, MATCH(Шахматка!K17,'прайс квартиры'!$C$3:$C$79))</f>
        <v>173500</v>
      </c>
      <c r="M16" s="239">
        <f t="shared" ref="M16" si="91">L16*K16</f>
        <v>7398040</v>
      </c>
      <c r="N16" s="237">
        <f>INDEX('прайс квартиры'!$D$3:$D$79,MATCH(Шахматка!N17,'прайс квартиры'!$C$3:$C$79))</f>
        <v>42.89</v>
      </c>
      <c r="O16" s="238">
        <f>INDEX('прайс квартиры'!$L$3:$L$79, MATCH(Шахматка!N17,'прайс квартиры'!$C$3:$C$79))</f>
        <v>173500</v>
      </c>
      <c r="P16" s="239">
        <f t="shared" ref="P16" si="92">O16*N16</f>
        <v>7441415</v>
      </c>
      <c r="Q16" s="240">
        <f>INDEX('прайс квартиры'!$D$3:$D$79,MATCH(Шахматка!Q17,'прайс квартиры'!$C$3:$C$79))</f>
        <v>65.56</v>
      </c>
      <c r="R16" s="241">
        <f>INDEX('прайс квартиры'!$L$3:$L$79, MATCH(Шахматка!Q17,'прайс квартиры'!$C$3:$C$79))</f>
        <v>153500</v>
      </c>
      <c r="S16" s="242">
        <f t="shared" ref="S16" si="93">R16*Q16</f>
        <v>10063460</v>
      </c>
      <c r="T16" s="240">
        <f>INDEX('прайс квартиры'!$D$3:$D$79,MATCH(Шахматка!T17,'прайс квартиры'!$C$3:$C$79))</f>
        <v>78.63</v>
      </c>
      <c r="U16" s="241">
        <f>INDEX('прайс квартиры'!$L$3:$L$79, MATCH(Шахматка!T17,'прайс квартиры'!$C$3:$C$79))</f>
        <v>151500</v>
      </c>
      <c r="V16" s="242">
        <f t="shared" ref="V16" si="94">U16*T16</f>
        <v>11912445</v>
      </c>
      <c r="W16" s="240">
        <f>INDEX('прайс квартиры'!$D$3:$D$79,MATCH(Шахматка!W17,'прайс квартиры'!$C$3:$C$79))</f>
        <v>69.91</v>
      </c>
      <c r="X16" s="241">
        <f>INDEX('прайс квартиры'!$L$3:$L$79, MATCH(Шахматка!W17,'прайс квартиры'!$C$3:$C$79))</f>
        <v>153500</v>
      </c>
      <c r="Y16" s="241">
        <f t="shared" ref="Y16" si="95">X16*W16</f>
        <v>10731185</v>
      </c>
      <c r="Z16" s="252">
        <f>INDEX('прайс квартиры'!$D$3:$D$79,MATCH(Шахматка!Z17,'прайс квартиры'!$C$3:$C$79))</f>
        <v>107.31</v>
      </c>
      <c r="AA16" s="235">
        <f>INDEX('прайс квартиры'!$L$3:$L$79, MATCH(Шахматка!Z17,'прайс квартиры'!$C$3:$C$79))</f>
        <v>147500</v>
      </c>
      <c r="AB16" s="236">
        <f t="shared" ref="AB16" si="96">AA16*Z16</f>
        <v>15828225</v>
      </c>
      <c r="AC16" s="237">
        <f>INDEX('прайс квартиры'!$D$3:$D$79,MATCH(Шахматка!AC17,'прайс квартиры'!$C$3:$C$79))</f>
        <v>41.84</v>
      </c>
      <c r="AD16" s="238">
        <f>INDEX('прайс квартиры'!$L$3:$L$79, MATCH(Шахматка!AC17,'прайс квартиры'!$C$3:$C$79))</f>
        <v>176500</v>
      </c>
      <c r="AE16" s="239">
        <f t="shared" ref="AE16" si="97">AD16*AC16</f>
        <v>7384760.0000000009</v>
      </c>
      <c r="AF16" s="240">
        <f>INDEX('прайс квартиры'!$D$3:$D$79,MATCH(Шахматка!AF17,'прайс квартиры'!$C$3:$C$79))</f>
        <v>62.78</v>
      </c>
      <c r="AG16" s="241">
        <f>INDEX('прайс квартиры'!$L$3:$L$79, MATCH(Шахматка!AF17,'прайс квартиры'!$C$3:$C$79))</f>
        <v>153500</v>
      </c>
      <c r="AH16" s="242">
        <f t="shared" ref="AH16" si="98">AG16*AF16</f>
        <v>9636730</v>
      </c>
      <c r="AI16" s="240">
        <f>INDEX('прайс квартиры'!$D$3:$D$79,MATCH(Шахматка!AI17,'прайс квартиры'!$C$3:$C$79))</f>
        <v>71.099999999999994</v>
      </c>
      <c r="AJ16" s="241">
        <f>INDEX('прайс квартиры'!$L$3:$L$79, MATCH(Шахматка!AI17,'прайс квартиры'!$C$3:$C$79))</f>
        <v>154500</v>
      </c>
      <c r="AK16" s="242">
        <f t="shared" ref="AK16" si="99">AJ16*AI16</f>
        <v>10984950</v>
      </c>
      <c r="AL16" s="240">
        <f>INDEX('прайс квартиры'!$D$3:$D$79,MATCH(Шахматка!AL17,'прайс квартиры'!$C$3:$C$79))</f>
        <v>72.66</v>
      </c>
      <c r="AM16" s="241">
        <f>INDEX('прайс квартиры'!$L$3:$L$79, MATCH(Шахматка!AL17,'прайс квартиры'!$C$3:$C$79))</f>
        <v>154500</v>
      </c>
      <c r="AN16" s="242">
        <f t="shared" ref="AN16" si="100">AM16*AL16</f>
        <v>11225970</v>
      </c>
    </row>
    <row r="17" spans="1:40" ht="26.25" customHeight="1" thickBot="1" x14ac:dyDescent="0.3">
      <c r="A17" s="188"/>
      <c r="B17" s="243">
        <v>12</v>
      </c>
      <c r="C17" s="244" t="str">
        <f>INDEX('прайс квартиры'!$I$3:$I$79,MATCH(B17,'прайс квартиры'!$C$3:$C$79,0))</f>
        <v>3A</v>
      </c>
      <c r="D17" s="245"/>
      <c r="E17" s="246">
        <f t="shared" ref="E17" si="101">B17+1</f>
        <v>13</v>
      </c>
      <c r="F17" s="247" t="str">
        <f>INDEX('прайс квартиры'!$I$3:$I$79,MATCH(E17,'прайс квартиры'!$C$3:$C$79,0))</f>
        <v>1B</v>
      </c>
      <c r="G17" s="248"/>
      <c r="H17" s="249">
        <f t="shared" ref="H17" si="102">E17+1</f>
        <v>14</v>
      </c>
      <c r="I17" s="250" t="str">
        <f>INDEX('прайс квартиры'!$I$3:$I$79,MATCH(H17,'прайс квартиры'!$C$3:$C$79,0))</f>
        <v>2A</v>
      </c>
      <c r="J17" s="251"/>
      <c r="K17" s="246">
        <f t="shared" ref="K17" si="103">H17+1</f>
        <v>15</v>
      </c>
      <c r="L17" s="247" t="str">
        <f>INDEX('прайс квартиры'!$I$3:$I$79,MATCH(K17,'прайс квартиры'!$C$3:$C$79,0))</f>
        <v>1A</v>
      </c>
      <c r="M17" s="248"/>
      <c r="N17" s="246">
        <f t="shared" ref="N17" si="104">K17+1</f>
        <v>16</v>
      </c>
      <c r="O17" s="247" t="str">
        <f>INDEX('прайс квартиры'!$I$3:$I$79,MATCH(N17,'прайс квартиры'!$C$3:$C$79,0))</f>
        <v>1A</v>
      </c>
      <c r="P17" s="248"/>
      <c r="Q17" s="249">
        <f t="shared" ref="Q17" si="105">N17+1</f>
        <v>17</v>
      </c>
      <c r="R17" s="250" t="str">
        <f>INDEX('прайс квартиры'!$I$3:$I$79,MATCH(Q17,'прайс квартиры'!$C$3:$C$79,0))</f>
        <v>2B</v>
      </c>
      <c r="S17" s="251"/>
      <c r="T17" s="249">
        <f t="shared" ref="T17" si="106">Q17+1</f>
        <v>18</v>
      </c>
      <c r="U17" s="250" t="str">
        <f>INDEX('прайс квартиры'!$I$3:$I$79,MATCH(T17,'прайс квартиры'!$C$3:$C$79,0))</f>
        <v>2F</v>
      </c>
      <c r="V17" s="251"/>
      <c r="W17" s="249">
        <f t="shared" ref="W17" si="107">T17+1</f>
        <v>19</v>
      </c>
      <c r="X17" s="250" t="str">
        <f>INDEX('прайс квартиры'!$I$3:$I$79,MATCH(W17,'прайс квартиры'!$C$3:$C$79,0))</f>
        <v>2H</v>
      </c>
      <c r="Y17" s="249"/>
      <c r="Z17" s="253">
        <f t="shared" ref="Z17" si="108">W17+1</f>
        <v>20</v>
      </c>
      <c r="AA17" s="244" t="str">
        <f>INDEX('прайс квартиры'!$I$3:$I$79,MATCH(Z17,'прайс квартиры'!$C$3:$C$79,0))</f>
        <v>3B</v>
      </c>
      <c r="AB17" s="245"/>
      <c r="AC17" s="246">
        <f t="shared" ref="AC17" si="109">Z17+1</f>
        <v>21</v>
      </c>
      <c r="AD17" s="247" t="str">
        <f>INDEX('прайс квартиры'!$I$3:$I$79,MATCH(AC17,'прайс квартиры'!$C$3:$C$79,0))</f>
        <v>1A</v>
      </c>
      <c r="AE17" s="248"/>
      <c r="AF17" s="249">
        <f t="shared" ref="AF17" si="110">AC17+1</f>
        <v>22</v>
      </c>
      <c r="AG17" s="250" t="str">
        <f>INDEX('прайс квартиры'!$I$3:$I$79,MATCH(AF17,'прайс квартиры'!$C$3:$C$79,0))</f>
        <v>2C</v>
      </c>
      <c r="AH17" s="251"/>
      <c r="AI17" s="249">
        <f t="shared" ref="AI17" si="111">AF17+1</f>
        <v>23</v>
      </c>
      <c r="AJ17" s="250" t="str">
        <f>INDEX('прайс квартиры'!$I$3:$I$79,MATCH(AI17,'прайс квартиры'!$C$3:$C$79,0))</f>
        <v>2D</v>
      </c>
      <c r="AK17" s="251"/>
      <c r="AL17" s="249">
        <f t="shared" ref="AL17" si="112">AI17+1</f>
        <v>24</v>
      </c>
      <c r="AM17" s="250" t="str">
        <f>INDEX('прайс квартиры'!$I$3:$I$79,MATCH(AL17,'прайс квартиры'!$C$3:$C$79,0))</f>
        <v>2E</v>
      </c>
      <c r="AN17" s="251"/>
    </row>
    <row r="18" spans="1:40" ht="25.5" customHeight="1" x14ac:dyDescent="0.25">
      <c r="A18" s="188">
        <v>2</v>
      </c>
      <c r="B18" s="234">
        <f>INDEX('прайс квартиры'!$D$3:$D$79,MATCH(Шахматка!B19,'прайс квартиры'!$C$3:$C$79))</f>
        <v>100.28</v>
      </c>
      <c r="C18" s="235">
        <f>INDEX('прайс квартиры'!$L$3:$L$79, MATCH(Шахматка!B19,'прайс квартиры'!$C$3:$C$79))</f>
        <v>148000</v>
      </c>
      <c r="D18" s="236">
        <f>C18*B18</f>
        <v>14841440</v>
      </c>
      <c r="E18" s="237">
        <f>INDEX('прайс квартиры'!$D$3:$D$79,MATCH(Шахматка!E19,'прайс квартиры'!$C$3:$C$79))</f>
        <v>46.58</v>
      </c>
      <c r="F18" s="238">
        <f>INDEX('прайс квартиры'!$L$3:$L$79, MATCH(Шахматка!E19,'прайс квартиры'!$C$3:$C$79))</f>
        <v>168000</v>
      </c>
      <c r="G18" s="239">
        <f>F18*E18</f>
        <v>7825440</v>
      </c>
      <c r="H18" s="240">
        <f>INDEX('прайс квартиры'!$D$3:$D$79,MATCH(Шахматка!H19,'прайс квартиры'!$C$3:$C$79))</f>
        <v>65.680000000000007</v>
      </c>
      <c r="I18" s="241">
        <f>INDEX('прайс квартиры'!$L$3:$L$79, MATCH(Шахматка!H19,'прайс квартиры'!$C$3:$C$79))</f>
        <v>153000</v>
      </c>
      <c r="J18" s="242">
        <f t="shared" ref="J18" si="113">I18*H18</f>
        <v>10049040.000000002</v>
      </c>
      <c r="K18" s="237">
        <f>INDEX('прайс квартиры'!$D$3:$D$79,MATCH(Шахматка!K19,'прайс квартиры'!$C$3:$C$79))</f>
        <v>42.73</v>
      </c>
      <c r="L18" s="238">
        <f>INDEX('прайс квартиры'!$L$3:$L$79, MATCH(Шахматка!K19,'прайс квартиры'!$C$3:$C$79))</f>
        <v>172000</v>
      </c>
      <c r="M18" s="239">
        <f t="shared" ref="M18" si="114">L18*K18</f>
        <v>7349559.9999999991</v>
      </c>
      <c r="N18" s="233"/>
      <c r="P18" s="233"/>
      <c r="Q18" s="254">
        <f>INDEX('прайс квартиры'!$D$3:$D$79,MATCH(Шахматка!Q19,'прайс квартиры'!$C$3:$C$79))</f>
        <v>63.39</v>
      </c>
      <c r="R18" s="241">
        <f>INDEX('прайс квартиры'!$L$3:$L$79, MATCH(Шахматка!Q19,'прайс квартиры'!$C$3:$C$79))</f>
        <v>152000</v>
      </c>
      <c r="S18" s="242">
        <f t="shared" ref="S18" si="115">R18*Q18</f>
        <v>9635280</v>
      </c>
      <c r="T18" s="234">
        <f>INDEX('прайс квартиры'!$D$3:$D$79,MATCH(Шахматка!T19,'прайс квартиры'!$C$3:$C$79))</f>
        <v>119.27</v>
      </c>
      <c r="U18" s="235">
        <f>INDEX('прайс квартиры'!$L$3:$L$79, MATCH(Шахматка!T19,'прайс квартиры'!$C$3:$C$79))</f>
        <v>150000</v>
      </c>
      <c r="V18" s="236">
        <f t="shared" ref="V18" si="116">U18*T18</f>
        <v>17890500</v>
      </c>
      <c r="W18" s="233"/>
      <c r="Y18" s="233"/>
      <c r="Z18" s="252">
        <f>INDEX('прайс квартиры'!$D$3:$D$79,MATCH(Шахматка!Z19,'прайс квартиры'!$C$3:$C$79))</f>
        <v>109.1</v>
      </c>
      <c r="AA18" s="235">
        <f>INDEX('прайс квартиры'!$L$3:$L$79, MATCH(Шахматка!Z19,'прайс квартиры'!$C$3:$C$79))</f>
        <v>146000</v>
      </c>
      <c r="AB18" s="236">
        <f t="shared" ref="AB18" si="117">AA18*Z18</f>
        <v>15928600</v>
      </c>
      <c r="AC18" s="237">
        <f>INDEX('прайс квартиры'!$D$3:$D$79,MATCH(Шахматка!AC19,'прайс квартиры'!$C$3:$C$79))</f>
        <v>42.22</v>
      </c>
      <c r="AD18" s="238">
        <f>INDEX('прайс квартиры'!$L$3:$L$79, MATCH(Шахматка!AC19,'прайс квартиры'!$C$3:$C$79))</f>
        <v>172000</v>
      </c>
      <c r="AE18" s="239">
        <f t="shared" ref="AE18" si="118">AD18*AC18</f>
        <v>7261840</v>
      </c>
      <c r="AF18" s="240">
        <f>INDEX('прайс квартиры'!$D$3:$D$79,MATCH(Шахматка!AF19,'прайс квартиры'!$C$3:$C$79))</f>
        <v>63.63</v>
      </c>
      <c r="AG18" s="241">
        <f>INDEX('прайс квартиры'!$L$3:$L$79, MATCH(Шахматка!AF19,'прайс квартиры'!$C$3:$C$79))</f>
        <v>152000</v>
      </c>
      <c r="AH18" s="242">
        <f t="shared" ref="AH18" si="119">AG18*AF18</f>
        <v>9671760</v>
      </c>
      <c r="AI18" s="240">
        <f>INDEX('прайс квартиры'!$D$3:$D$79,MATCH(Шахматка!AI19,'прайс квартиры'!$C$3:$C$79))</f>
        <v>71.36</v>
      </c>
      <c r="AJ18" s="241">
        <f>INDEX('прайс квартиры'!$L$3:$L$79, MATCH(Шахматка!AI19,'прайс квартиры'!$C$3:$C$79))</f>
        <v>153000</v>
      </c>
      <c r="AK18" s="242">
        <f t="shared" ref="AK18" si="120">AJ18*AI18</f>
        <v>10918080</v>
      </c>
      <c r="AL18" s="240">
        <f>INDEX('прайс квартиры'!$D$3:$D$79,MATCH(Шахматка!AL19,'прайс квартиры'!$C$3:$C$79))</f>
        <v>73.48</v>
      </c>
      <c r="AM18" s="241">
        <f>INDEX('прайс квартиры'!$L$3:$L$79, MATCH(Шахматка!AL19,'прайс квартиры'!$C$3:$C$79))</f>
        <v>153000</v>
      </c>
      <c r="AN18" s="242">
        <f t="shared" ref="AN18" si="121">AM18*AL18</f>
        <v>11242440</v>
      </c>
    </row>
    <row r="19" spans="1:40" ht="27" customHeight="1" thickBot="1" x14ac:dyDescent="0.3">
      <c r="A19" s="188"/>
      <c r="B19" s="243">
        <v>1</v>
      </c>
      <c r="C19" s="244" t="str">
        <f>INDEX('прайс квартиры'!$I$3:$I$79,MATCH(B19,'прайс квартиры'!$C$3:$C$79,0))</f>
        <v>3A</v>
      </c>
      <c r="D19" s="245"/>
      <c r="E19" s="246">
        <f>B19+1</f>
        <v>2</v>
      </c>
      <c r="F19" s="247" t="str">
        <f>INDEX('прайс квартиры'!$I$3:$I$79,MATCH(E19,'прайс квартиры'!$C$3:$C$79,0))</f>
        <v>1B</v>
      </c>
      <c r="G19" s="248"/>
      <c r="H19" s="249">
        <f>E19+1</f>
        <v>3</v>
      </c>
      <c r="I19" s="250" t="str">
        <f>INDEX('прайс квартиры'!$I$3:$I$79,MATCH(H19,'прайс квартиры'!$C$3:$C$79,0))</f>
        <v>2A</v>
      </c>
      <c r="J19" s="251"/>
      <c r="K19" s="246">
        <f t="shared" ref="K19" si="122">H19+1</f>
        <v>4</v>
      </c>
      <c r="L19" s="247" t="str">
        <f>INDEX('прайс квартиры'!$I$3:$I$79,MATCH(K19,'прайс квартиры'!$C$3:$C$79,0))</f>
        <v>1A</v>
      </c>
      <c r="M19" s="248"/>
      <c r="N19" s="233"/>
      <c r="P19" s="233"/>
      <c r="Q19" s="255">
        <f>K19+1</f>
        <v>5</v>
      </c>
      <c r="R19" s="250" t="str">
        <f>INDEX('прайс квартиры'!$I$3:$I$79,MATCH(Q19,'прайс квартиры'!$C$3:$C$79,0))</f>
        <v>2B</v>
      </c>
      <c r="S19" s="251"/>
      <c r="T19" s="243">
        <f t="shared" ref="T19" si="123">Q19+1</f>
        <v>6</v>
      </c>
      <c r="U19" s="244" t="str">
        <f>INDEX('прайс квартиры'!$I$3:$I$79,MATCH(T19,'прайс квартиры'!$C$3:$C$79,0))</f>
        <v>4A</v>
      </c>
      <c r="V19" s="245"/>
      <c r="W19" s="233"/>
      <c r="Y19" s="233"/>
      <c r="Z19" s="253">
        <f>T19+1</f>
        <v>7</v>
      </c>
      <c r="AA19" s="244" t="str">
        <f>INDEX('прайс квартиры'!$I$3:$I$79,MATCH(Z19,'прайс квартиры'!$C$3:$C$79,0))</f>
        <v>3B</v>
      </c>
      <c r="AB19" s="245"/>
      <c r="AC19" s="246">
        <f t="shared" ref="AC19" si="124">Z19+1</f>
        <v>8</v>
      </c>
      <c r="AD19" s="247" t="str">
        <f>INDEX('прайс квартиры'!$I$3:$I$79,MATCH(AC19,'прайс квартиры'!$C$3:$C$79,0))</f>
        <v>1A</v>
      </c>
      <c r="AE19" s="248"/>
      <c r="AF19" s="249">
        <f t="shared" ref="AF19" si="125">AC19+1</f>
        <v>9</v>
      </c>
      <c r="AG19" s="250" t="str">
        <f>INDEX('прайс квартиры'!$I$3:$I$79,MATCH(AF19,'прайс квартиры'!$C$3:$C$79,0))</f>
        <v>2C</v>
      </c>
      <c r="AH19" s="251"/>
      <c r="AI19" s="249">
        <f t="shared" ref="AI19" si="126">AF19+1</f>
        <v>10</v>
      </c>
      <c r="AJ19" s="250" t="str">
        <f>INDEX('прайс квартиры'!$I$3:$I$79,MATCH(AI19,'прайс квартиры'!$C$3:$C$79,0))</f>
        <v>2D</v>
      </c>
      <c r="AK19" s="251"/>
      <c r="AL19" s="249">
        <f t="shared" ref="AL19" si="127">AI19+1</f>
        <v>11</v>
      </c>
      <c r="AM19" s="250" t="str">
        <f>INDEX('прайс квартиры'!$I$3:$I$79,MATCH(AL19,'прайс квартиры'!$C$3:$C$79,0))</f>
        <v>2E</v>
      </c>
      <c r="AN19" s="251"/>
    </row>
  </sheetData>
  <mergeCells count="9">
    <mergeCell ref="A2:AN2"/>
    <mergeCell ref="A18:A19"/>
    <mergeCell ref="A14:A15"/>
    <mergeCell ref="A16:A17"/>
    <mergeCell ref="A4:A5"/>
    <mergeCell ref="A6:A7"/>
    <mergeCell ref="A8:A9"/>
    <mergeCell ref="A10:A11"/>
    <mergeCell ref="A12:A13"/>
  </mergeCells>
  <pageMargins left="0.31496062992125984" right="0.31496062992125984" top="0.74803149606299213" bottom="0.74803149606299213" header="0.31496062992125984" footer="0.31496062992125984"/>
  <pageSetup paperSize="8" scale="2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0"/>
  <sheetViews>
    <sheetView view="pageBreakPreview" topLeftCell="B1" zoomScale="85" zoomScaleNormal="100" zoomScaleSheetLayoutView="85" workbookViewId="0">
      <selection activeCell="AA37" sqref="AA37"/>
    </sheetView>
  </sheetViews>
  <sheetFormatPr defaultRowHeight="15" x14ac:dyDescent="0.25"/>
  <cols>
    <col min="1" max="4" width="12" customWidth="1"/>
    <col min="5" max="5" width="12" hidden="1" customWidth="1"/>
    <col min="6" max="6" width="12" customWidth="1"/>
    <col min="7" max="7" width="12" hidden="1" customWidth="1"/>
    <col min="8" max="8" width="12" customWidth="1"/>
    <col min="9" max="9" width="15.28515625" style="5" customWidth="1"/>
    <col min="10" max="10" width="13.28515625" customWidth="1"/>
    <col min="11" max="12" width="12.85546875" customWidth="1"/>
    <col min="13" max="15" width="12" hidden="1" customWidth="1"/>
    <col min="16" max="16" width="13" customWidth="1"/>
    <col min="17" max="19" width="12" hidden="1" customWidth="1"/>
    <col min="20" max="20" width="18.42578125" customWidth="1"/>
    <col min="21" max="21" width="19.7109375" customWidth="1"/>
    <col min="22" max="22" width="18.28515625" customWidth="1"/>
    <col min="23" max="24" width="15" customWidth="1"/>
    <col min="25" max="25" width="24.5703125" customWidth="1"/>
    <col min="26" max="26" width="18.140625" customWidth="1"/>
    <col min="27" max="27" width="26.28515625" customWidth="1"/>
    <col min="28" max="28" width="13.42578125" customWidth="1"/>
    <col min="29" max="29" width="12" bestFit="1" customWidth="1"/>
  </cols>
  <sheetData>
    <row r="1" spans="1:29" s="90" customFormat="1" ht="27.75" customHeight="1" x14ac:dyDescent="0.25">
      <c r="A1" s="190" t="s">
        <v>91</v>
      </c>
      <c r="B1" s="189" t="s">
        <v>0</v>
      </c>
      <c r="C1" s="189" t="s">
        <v>1</v>
      </c>
      <c r="D1" s="189" t="s">
        <v>2</v>
      </c>
      <c r="E1" s="189" t="s">
        <v>3</v>
      </c>
      <c r="F1" s="189" t="s">
        <v>4</v>
      </c>
      <c r="G1" s="189" t="s">
        <v>5</v>
      </c>
      <c r="H1" s="189" t="s">
        <v>92</v>
      </c>
      <c r="I1" s="191" t="s">
        <v>6</v>
      </c>
      <c r="J1" s="192" t="s">
        <v>7</v>
      </c>
      <c r="K1" s="189" t="s">
        <v>8</v>
      </c>
      <c r="L1" s="189" t="s">
        <v>9</v>
      </c>
      <c r="M1" s="189" t="s">
        <v>10</v>
      </c>
      <c r="N1" s="189" t="s">
        <v>11</v>
      </c>
      <c r="O1" s="189" t="s">
        <v>12</v>
      </c>
      <c r="P1" s="189" t="s">
        <v>13</v>
      </c>
      <c r="Q1" s="193" t="s">
        <v>26</v>
      </c>
      <c r="R1" s="193" t="s">
        <v>27</v>
      </c>
      <c r="S1" s="193" t="s">
        <v>28</v>
      </c>
      <c r="T1" s="193" t="s">
        <v>164</v>
      </c>
      <c r="U1" s="199" t="s">
        <v>163</v>
      </c>
      <c r="W1" s="194" t="s">
        <v>8</v>
      </c>
      <c r="X1" s="195"/>
      <c r="Y1" s="196" t="s">
        <v>7</v>
      </c>
      <c r="Z1" s="197"/>
      <c r="AA1" s="198"/>
      <c r="AB1" s="10" t="s">
        <v>48</v>
      </c>
      <c r="AC1" s="91">
        <v>135000</v>
      </c>
    </row>
    <row r="2" spans="1:29" s="90" customFormat="1" ht="17.25" customHeight="1" x14ac:dyDescent="0.25">
      <c r="A2" s="190"/>
      <c r="B2" s="189"/>
      <c r="C2" s="189"/>
      <c r="D2" s="189"/>
      <c r="E2" s="189"/>
      <c r="F2" s="189"/>
      <c r="G2" s="189"/>
      <c r="H2" s="189"/>
      <c r="I2" s="191"/>
      <c r="J2" s="192"/>
      <c r="K2" s="189"/>
      <c r="L2" s="189"/>
      <c r="M2" s="189"/>
      <c r="N2" s="189"/>
      <c r="O2" s="189"/>
      <c r="P2" s="189"/>
      <c r="Q2" s="193"/>
      <c r="R2" s="193"/>
      <c r="S2" s="193"/>
      <c r="T2" s="193"/>
      <c r="U2" s="200"/>
      <c r="W2" s="2" t="s">
        <v>0</v>
      </c>
      <c r="X2" s="2" t="s">
        <v>15</v>
      </c>
      <c r="Y2" s="2" t="s">
        <v>16</v>
      </c>
      <c r="Z2" s="2" t="s">
        <v>15</v>
      </c>
      <c r="AA2" s="2" t="s">
        <v>151</v>
      </c>
    </row>
    <row r="3" spans="1:29" x14ac:dyDescent="0.25">
      <c r="A3" s="88">
        <v>1</v>
      </c>
      <c r="B3" s="88">
        <v>2</v>
      </c>
      <c r="C3" s="88">
        <v>1</v>
      </c>
      <c r="D3" s="1">
        <v>100.28</v>
      </c>
      <c r="E3" s="7">
        <f t="shared" ref="E3:E66" si="0">D3</f>
        <v>100.28</v>
      </c>
      <c r="F3" s="7">
        <f t="shared" ref="F3:F66" si="1">D3</f>
        <v>100.28</v>
      </c>
      <c r="G3" s="7">
        <f t="shared" ref="G3:G66" si="2">D3</f>
        <v>100.28</v>
      </c>
      <c r="H3" s="93">
        <v>3</v>
      </c>
      <c r="I3" s="1" t="s">
        <v>152</v>
      </c>
      <c r="J3" s="1">
        <f t="shared" ref="J3:J34" si="3">VLOOKUP(I:I,Y:Z,2,0)</f>
        <v>10000</v>
      </c>
      <c r="K3" s="1">
        <f t="shared" ref="K3:K34" si="4">VLOOKUP(B:B,W:X,2,0)</f>
        <v>3000</v>
      </c>
      <c r="L3" s="6">
        <f>K3+J3+$AC$1+T3</f>
        <v>148000</v>
      </c>
      <c r="M3" s="8">
        <f t="shared" ref="M3:M66" si="5">L3</f>
        <v>148000</v>
      </c>
      <c r="N3" s="8">
        <f t="shared" ref="N3:N66" si="6">L3</f>
        <v>148000</v>
      </c>
      <c r="O3" s="8">
        <f t="shared" ref="O3:O66" si="7">L3</f>
        <v>148000</v>
      </c>
      <c r="P3" s="6">
        <f t="shared" ref="P3:P66" si="8">L3*D3</f>
        <v>14841440</v>
      </c>
      <c r="Q3" s="8">
        <f t="shared" ref="Q3:Q66" si="9">P3</f>
        <v>14841440</v>
      </c>
      <c r="R3" s="8">
        <f t="shared" ref="R3:R66" si="10">P3</f>
        <v>14841440</v>
      </c>
      <c r="S3" s="8">
        <f t="shared" ref="S3:S66" si="11">P3</f>
        <v>14841440</v>
      </c>
      <c r="T3" s="115"/>
      <c r="U3" s="115"/>
      <c r="W3" s="3">
        <v>1</v>
      </c>
      <c r="X3" s="4">
        <v>0</v>
      </c>
      <c r="Y3" s="97" t="s">
        <v>158</v>
      </c>
      <c r="Z3" s="97">
        <v>30000</v>
      </c>
    </row>
    <row r="4" spans="1:29" x14ac:dyDescent="0.25">
      <c r="A4" s="88">
        <v>1</v>
      </c>
      <c r="B4" s="88">
        <v>2</v>
      </c>
      <c r="C4" s="88">
        <v>2</v>
      </c>
      <c r="D4" s="1">
        <v>46.58</v>
      </c>
      <c r="E4" s="7">
        <f t="shared" si="0"/>
        <v>46.58</v>
      </c>
      <c r="F4" s="7">
        <f t="shared" si="1"/>
        <v>46.58</v>
      </c>
      <c r="G4" s="7">
        <f t="shared" si="2"/>
        <v>46.58</v>
      </c>
      <c r="H4" s="93">
        <v>1</v>
      </c>
      <c r="I4" s="1" t="s">
        <v>158</v>
      </c>
      <c r="J4" s="1">
        <f t="shared" si="3"/>
        <v>30000</v>
      </c>
      <c r="K4" s="1">
        <f t="shared" si="4"/>
        <v>3000</v>
      </c>
      <c r="L4" s="6">
        <f t="shared" ref="L4:L67" si="12">K4+J4+$AC$1+T4</f>
        <v>168000</v>
      </c>
      <c r="M4" s="8">
        <f t="shared" si="5"/>
        <v>168000</v>
      </c>
      <c r="N4" s="8">
        <f t="shared" si="6"/>
        <v>168000</v>
      </c>
      <c r="O4" s="8">
        <f t="shared" si="7"/>
        <v>168000</v>
      </c>
      <c r="P4" s="6">
        <f t="shared" si="8"/>
        <v>7825440</v>
      </c>
      <c r="Q4" s="8">
        <f t="shared" si="9"/>
        <v>7825440</v>
      </c>
      <c r="R4" s="8">
        <f t="shared" si="10"/>
        <v>7825440</v>
      </c>
      <c r="S4" s="8">
        <f t="shared" si="11"/>
        <v>7825440</v>
      </c>
      <c r="T4" s="115"/>
      <c r="U4" s="115"/>
      <c r="W4" s="3">
        <v>2</v>
      </c>
      <c r="X4" s="4">
        <v>3000</v>
      </c>
      <c r="Y4" s="97" t="s">
        <v>157</v>
      </c>
      <c r="Z4" s="97">
        <v>34000</v>
      </c>
    </row>
    <row r="5" spans="1:29" x14ac:dyDescent="0.25">
      <c r="A5" s="88">
        <v>1</v>
      </c>
      <c r="B5" s="88">
        <v>2</v>
      </c>
      <c r="C5" s="88">
        <v>3</v>
      </c>
      <c r="D5" s="1">
        <v>65.680000000000007</v>
      </c>
      <c r="E5" s="7">
        <f t="shared" si="0"/>
        <v>65.680000000000007</v>
      </c>
      <c r="F5" s="7">
        <f t="shared" si="1"/>
        <v>65.680000000000007</v>
      </c>
      <c r="G5" s="7">
        <f t="shared" si="2"/>
        <v>65.680000000000007</v>
      </c>
      <c r="H5" s="93">
        <v>2</v>
      </c>
      <c r="I5" s="1" t="s">
        <v>139</v>
      </c>
      <c r="J5" s="1">
        <f t="shared" si="3"/>
        <v>15000</v>
      </c>
      <c r="K5" s="1">
        <f t="shared" si="4"/>
        <v>3000</v>
      </c>
      <c r="L5" s="6">
        <f t="shared" si="12"/>
        <v>153000</v>
      </c>
      <c r="M5" s="8">
        <f t="shared" si="5"/>
        <v>153000</v>
      </c>
      <c r="N5" s="8">
        <f t="shared" si="6"/>
        <v>153000</v>
      </c>
      <c r="O5" s="8">
        <f t="shared" si="7"/>
        <v>153000</v>
      </c>
      <c r="P5" s="6">
        <f t="shared" si="8"/>
        <v>10049040.000000002</v>
      </c>
      <c r="Q5" s="8">
        <f t="shared" si="9"/>
        <v>10049040.000000002</v>
      </c>
      <c r="R5" s="8">
        <f t="shared" si="10"/>
        <v>10049040.000000002</v>
      </c>
      <c r="S5" s="8">
        <f t="shared" si="11"/>
        <v>10049040.000000002</v>
      </c>
      <c r="T5" s="115"/>
      <c r="U5" s="115"/>
      <c r="W5" s="3">
        <v>3</v>
      </c>
      <c r="X5" s="4">
        <v>4500</v>
      </c>
      <c r="Y5" s="96" t="s">
        <v>139</v>
      </c>
      <c r="Z5" s="96">
        <v>15000</v>
      </c>
      <c r="AA5" t="s">
        <v>146</v>
      </c>
    </row>
    <row r="6" spans="1:29" x14ac:dyDescent="0.25">
      <c r="A6" s="88">
        <v>1</v>
      </c>
      <c r="B6" s="88">
        <v>2</v>
      </c>
      <c r="C6" s="88">
        <v>4</v>
      </c>
      <c r="D6" s="1">
        <v>42.73</v>
      </c>
      <c r="E6" s="7">
        <f t="shared" si="0"/>
        <v>42.73</v>
      </c>
      <c r="F6" s="7">
        <f t="shared" si="1"/>
        <v>42.73</v>
      </c>
      <c r="G6" s="7">
        <f t="shared" si="2"/>
        <v>42.73</v>
      </c>
      <c r="H6" s="93">
        <v>1</v>
      </c>
      <c r="I6" s="1" t="s">
        <v>157</v>
      </c>
      <c r="J6" s="1">
        <f t="shared" si="3"/>
        <v>34000</v>
      </c>
      <c r="K6" s="1">
        <f t="shared" si="4"/>
        <v>3000</v>
      </c>
      <c r="L6" s="6">
        <f t="shared" si="12"/>
        <v>172000</v>
      </c>
      <c r="M6" s="8">
        <f t="shared" si="5"/>
        <v>172000</v>
      </c>
      <c r="N6" s="8">
        <f t="shared" si="6"/>
        <v>172000</v>
      </c>
      <c r="O6" s="8">
        <f t="shared" si="7"/>
        <v>172000</v>
      </c>
      <c r="P6" s="6">
        <f t="shared" si="8"/>
        <v>7349559.9999999991</v>
      </c>
      <c r="Q6" s="8">
        <f t="shared" si="9"/>
        <v>7349559.9999999991</v>
      </c>
      <c r="R6" s="8">
        <f t="shared" si="10"/>
        <v>7349559.9999999991</v>
      </c>
      <c r="S6" s="8">
        <f t="shared" si="11"/>
        <v>7349559.9999999991</v>
      </c>
      <c r="T6" s="115"/>
      <c r="U6" s="115"/>
      <c r="W6" s="3">
        <v>4</v>
      </c>
      <c r="X6" s="4">
        <v>6000</v>
      </c>
      <c r="Y6" s="96" t="s">
        <v>140</v>
      </c>
      <c r="Z6" s="96">
        <v>14000</v>
      </c>
    </row>
    <row r="7" spans="1:29" x14ac:dyDescent="0.25">
      <c r="A7" s="88">
        <v>1</v>
      </c>
      <c r="B7" s="88">
        <v>2</v>
      </c>
      <c r="C7" s="88">
        <v>5</v>
      </c>
      <c r="D7" s="1">
        <v>63.39</v>
      </c>
      <c r="E7" s="7">
        <f t="shared" si="0"/>
        <v>63.39</v>
      </c>
      <c r="F7" s="7">
        <f t="shared" si="1"/>
        <v>63.39</v>
      </c>
      <c r="G7" s="7">
        <f t="shared" si="2"/>
        <v>63.39</v>
      </c>
      <c r="H7" s="93">
        <v>2</v>
      </c>
      <c r="I7" s="1" t="s">
        <v>140</v>
      </c>
      <c r="J7" s="1">
        <f t="shared" si="3"/>
        <v>14000</v>
      </c>
      <c r="K7" s="1">
        <f t="shared" si="4"/>
        <v>3000</v>
      </c>
      <c r="L7" s="6">
        <f t="shared" si="12"/>
        <v>152000</v>
      </c>
      <c r="M7" s="8">
        <f t="shared" si="5"/>
        <v>152000</v>
      </c>
      <c r="N7" s="8">
        <f t="shared" si="6"/>
        <v>152000</v>
      </c>
      <c r="O7" s="8">
        <f t="shared" si="7"/>
        <v>152000</v>
      </c>
      <c r="P7" s="6">
        <f t="shared" si="8"/>
        <v>9635280</v>
      </c>
      <c r="Q7" s="8">
        <f t="shared" si="9"/>
        <v>9635280</v>
      </c>
      <c r="R7" s="8">
        <f t="shared" si="10"/>
        <v>9635280</v>
      </c>
      <c r="S7" s="8">
        <f t="shared" si="11"/>
        <v>9635280</v>
      </c>
      <c r="T7" s="115"/>
      <c r="U7" s="115"/>
      <c r="W7" s="3">
        <v>5</v>
      </c>
      <c r="X7" s="4">
        <v>7500</v>
      </c>
      <c r="Y7" s="96" t="s">
        <v>141</v>
      </c>
      <c r="Z7" s="96">
        <v>14000</v>
      </c>
    </row>
    <row r="8" spans="1:29" x14ac:dyDescent="0.25">
      <c r="A8" s="88">
        <v>1</v>
      </c>
      <c r="B8" s="88">
        <v>2</v>
      </c>
      <c r="C8" s="88">
        <v>6</v>
      </c>
      <c r="D8" s="1">
        <v>119.27</v>
      </c>
      <c r="E8" s="7">
        <f t="shared" si="0"/>
        <v>119.27</v>
      </c>
      <c r="F8" s="7">
        <f t="shared" si="1"/>
        <v>119.27</v>
      </c>
      <c r="G8" s="7">
        <f t="shared" si="2"/>
        <v>119.27</v>
      </c>
      <c r="H8" s="93">
        <v>4</v>
      </c>
      <c r="I8" s="1" t="s">
        <v>160</v>
      </c>
      <c r="J8" s="1">
        <f t="shared" si="3"/>
        <v>12000</v>
      </c>
      <c r="K8" s="1">
        <f t="shared" si="4"/>
        <v>3000</v>
      </c>
      <c r="L8" s="6">
        <f t="shared" si="12"/>
        <v>150000</v>
      </c>
      <c r="M8" s="8">
        <f t="shared" si="5"/>
        <v>150000</v>
      </c>
      <c r="N8" s="8">
        <f t="shared" si="6"/>
        <v>150000</v>
      </c>
      <c r="O8" s="8">
        <f t="shared" si="7"/>
        <v>150000</v>
      </c>
      <c r="P8" s="6">
        <f t="shared" si="8"/>
        <v>17890500</v>
      </c>
      <c r="Q8" s="8">
        <f t="shared" si="9"/>
        <v>17890500</v>
      </c>
      <c r="R8" s="8">
        <f t="shared" si="10"/>
        <v>17890500</v>
      </c>
      <c r="S8" s="8">
        <f t="shared" si="11"/>
        <v>17890500</v>
      </c>
      <c r="T8" s="115"/>
      <c r="U8" s="115"/>
      <c r="W8" s="3">
        <v>6</v>
      </c>
      <c r="X8" s="4">
        <v>9000</v>
      </c>
      <c r="Y8" s="96" t="s">
        <v>142</v>
      </c>
      <c r="Z8" s="96">
        <v>15000</v>
      </c>
      <c r="AA8" t="s">
        <v>166</v>
      </c>
    </row>
    <row r="9" spans="1:29" x14ac:dyDescent="0.25">
      <c r="A9" s="88">
        <v>1</v>
      </c>
      <c r="B9" s="88">
        <v>2</v>
      </c>
      <c r="C9" s="88">
        <v>7</v>
      </c>
      <c r="D9" s="1">
        <v>109.1</v>
      </c>
      <c r="E9" s="7">
        <f t="shared" si="0"/>
        <v>109.1</v>
      </c>
      <c r="F9" s="7">
        <f t="shared" si="1"/>
        <v>109.1</v>
      </c>
      <c r="G9" s="7">
        <f t="shared" si="2"/>
        <v>109.1</v>
      </c>
      <c r="H9" s="93">
        <v>3</v>
      </c>
      <c r="I9" s="1" t="s">
        <v>153</v>
      </c>
      <c r="J9" s="1">
        <f t="shared" si="3"/>
        <v>8000</v>
      </c>
      <c r="K9" s="1">
        <f t="shared" si="4"/>
        <v>3000</v>
      </c>
      <c r="L9" s="6">
        <f t="shared" si="12"/>
        <v>146000</v>
      </c>
      <c r="M9" s="8">
        <f t="shared" si="5"/>
        <v>146000</v>
      </c>
      <c r="N9" s="8">
        <f t="shared" si="6"/>
        <v>146000</v>
      </c>
      <c r="O9" s="8">
        <f t="shared" si="7"/>
        <v>146000</v>
      </c>
      <c r="P9" s="6">
        <f t="shared" si="8"/>
        <v>15928600</v>
      </c>
      <c r="Q9" s="8">
        <f t="shared" si="9"/>
        <v>15928600</v>
      </c>
      <c r="R9" s="8">
        <f t="shared" si="10"/>
        <v>15928600</v>
      </c>
      <c r="S9" s="8">
        <f t="shared" si="11"/>
        <v>15928600</v>
      </c>
      <c r="T9" s="115"/>
      <c r="U9" s="115"/>
      <c r="W9" s="3">
        <v>7</v>
      </c>
      <c r="X9" s="4">
        <v>10500</v>
      </c>
      <c r="Y9" s="96" t="s">
        <v>143</v>
      </c>
      <c r="Z9" s="96">
        <v>15000</v>
      </c>
      <c r="AA9" t="s">
        <v>167</v>
      </c>
    </row>
    <row r="10" spans="1:29" x14ac:dyDescent="0.25">
      <c r="A10" s="88">
        <v>1</v>
      </c>
      <c r="B10" s="88">
        <v>2</v>
      </c>
      <c r="C10" s="88">
        <v>8</v>
      </c>
      <c r="D10" s="1">
        <v>42.22</v>
      </c>
      <c r="E10" s="7">
        <f t="shared" si="0"/>
        <v>42.22</v>
      </c>
      <c r="F10" s="7">
        <f t="shared" si="1"/>
        <v>42.22</v>
      </c>
      <c r="G10" s="7">
        <f t="shared" si="2"/>
        <v>42.22</v>
      </c>
      <c r="H10" s="93">
        <v>1</v>
      </c>
      <c r="I10" s="1" t="s">
        <v>157</v>
      </c>
      <c r="J10" s="1">
        <f t="shared" si="3"/>
        <v>34000</v>
      </c>
      <c r="K10" s="1">
        <f t="shared" si="4"/>
        <v>3000</v>
      </c>
      <c r="L10" s="6">
        <f t="shared" si="12"/>
        <v>172000</v>
      </c>
      <c r="M10" s="8">
        <f t="shared" si="5"/>
        <v>172000</v>
      </c>
      <c r="N10" s="8">
        <f t="shared" si="6"/>
        <v>172000</v>
      </c>
      <c r="O10" s="8">
        <f t="shared" si="7"/>
        <v>172000</v>
      </c>
      <c r="P10" s="6">
        <f t="shared" si="8"/>
        <v>7261840</v>
      </c>
      <c r="Q10" s="8">
        <f t="shared" si="9"/>
        <v>7261840</v>
      </c>
      <c r="R10" s="8">
        <f t="shared" si="10"/>
        <v>7261840</v>
      </c>
      <c r="S10" s="8">
        <f t="shared" si="11"/>
        <v>7261840</v>
      </c>
      <c r="T10" s="115"/>
      <c r="U10" s="115"/>
      <c r="W10" s="3">
        <v>8</v>
      </c>
      <c r="X10" s="4">
        <v>12000</v>
      </c>
      <c r="Y10" s="96" t="s">
        <v>144</v>
      </c>
      <c r="Z10" s="96">
        <v>12000</v>
      </c>
      <c r="AA10" t="s">
        <v>165</v>
      </c>
    </row>
    <row r="11" spans="1:29" x14ac:dyDescent="0.25">
      <c r="A11" s="88">
        <v>1</v>
      </c>
      <c r="B11" s="88">
        <v>2</v>
      </c>
      <c r="C11" s="88">
        <v>9</v>
      </c>
      <c r="D11" s="1">
        <v>63.63</v>
      </c>
      <c r="E11" s="7">
        <f t="shared" si="0"/>
        <v>63.63</v>
      </c>
      <c r="F11" s="7">
        <f t="shared" si="1"/>
        <v>63.63</v>
      </c>
      <c r="G11" s="7">
        <f t="shared" si="2"/>
        <v>63.63</v>
      </c>
      <c r="H11" s="93">
        <v>2</v>
      </c>
      <c r="I11" s="1" t="s">
        <v>141</v>
      </c>
      <c r="J11" s="1">
        <f t="shared" si="3"/>
        <v>14000</v>
      </c>
      <c r="K11" s="1">
        <f t="shared" si="4"/>
        <v>3000</v>
      </c>
      <c r="L11" s="6">
        <f t="shared" si="12"/>
        <v>152000</v>
      </c>
      <c r="M11" s="8">
        <f t="shared" si="5"/>
        <v>152000</v>
      </c>
      <c r="N11" s="8">
        <f t="shared" si="6"/>
        <v>152000</v>
      </c>
      <c r="O11" s="8">
        <f t="shared" si="7"/>
        <v>152000</v>
      </c>
      <c r="P11" s="6">
        <f t="shared" si="8"/>
        <v>9671760</v>
      </c>
      <c r="Q11" s="8">
        <f t="shared" si="9"/>
        <v>9671760</v>
      </c>
      <c r="R11" s="8">
        <f t="shared" si="10"/>
        <v>9671760</v>
      </c>
      <c r="S11" s="8">
        <f t="shared" si="11"/>
        <v>9671760</v>
      </c>
      <c r="T11" s="115"/>
      <c r="U11" s="115"/>
      <c r="W11" s="3">
        <v>9</v>
      </c>
      <c r="X11" s="4">
        <v>13500</v>
      </c>
      <c r="Y11" s="96" t="s">
        <v>145</v>
      </c>
      <c r="Z11" s="96">
        <v>14000</v>
      </c>
      <c r="AA11" t="s">
        <v>148</v>
      </c>
    </row>
    <row r="12" spans="1:29" x14ac:dyDescent="0.25">
      <c r="A12" s="88">
        <v>1</v>
      </c>
      <c r="B12" s="88">
        <v>2</v>
      </c>
      <c r="C12" s="88">
        <v>10</v>
      </c>
      <c r="D12" s="1">
        <v>71.36</v>
      </c>
      <c r="E12" s="7">
        <f t="shared" si="0"/>
        <v>71.36</v>
      </c>
      <c r="F12" s="7">
        <f t="shared" si="1"/>
        <v>71.36</v>
      </c>
      <c r="G12" s="7">
        <f t="shared" si="2"/>
        <v>71.36</v>
      </c>
      <c r="H12" s="93">
        <v>2</v>
      </c>
      <c r="I12" s="1" t="s">
        <v>142</v>
      </c>
      <c r="J12" s="1">
        <f t="shared" si="3"/>
        <v>15000</v>
      </c>
      <c r="K12" s="1">
        <f t="shared" si="4"/>
        <v>3000</v>
      </c>
      <c r="L12" s="6">
        <f t="shared" si="12"/>
        <v>153000</v>
      </c>
      <c r="M12" s="8">
        <f t="shared" si="5"/>
        <v>153000</v>
      </c>
      <c r="N12" s="8">
        <f t="shared" si="6"/>
        <v>153000</v>
      </c>
      <c r="O12" s="8">
        <f t="shared" si="7"/>
        <v>153000</v>
      </c>
      <c r="P12" s="6">
        <f t="shared" si="8"/>
        <v>10918080</v>
      </c>
      <c r="Q12" s="8">
        <f t="shared" si="9"/>
        <v>10918080</v>
      </c>
      <c r="R12" s="8">
        <f t="shared" si="10"/>
        <v>10918080</v>
      </c>
      <c r="S12" s="8">
        <f t="shared" si="11"/>
        <v>10918080</v>
      </c>
      <c r="T12" s="115"/>
      <c r="U12" s="115"/>
      <c r="Y12" s="96" t="s">
        <v>156</v>
      </c>
      <c r="Z12" s="96">
        <v>15000</v>
      </c>
      <c r="AA12" t="s">
        <v>168</v>
      </c>
      <c r="AB12" s="87"/>
    </row>
    <row r="13" spans="1:29" x14ac:dyDescent="0.25">
      <c r="A13" s="88">
        <v>1</v>
      </c>
      <c r="B13" s="88">
        <v>2</v>
      </c>
      <c r="C13" s="88">
        <v>11</v>
      </c>
      <c r="D13" s="1">
        <v>73.48</v>
      </c>
      <c r="E13" s="7">
        <f t="shared" si="0"/>
        <v>73.48</v>
      </c>
      <c r="F13" s="7">
        <f t="shared" si="1"/>
        <v>73.48</v>
      </c>
      <c r="G13" s="7">
        <f t="shared" si="2"/>
        <v>73.48</v>
      </c>
      <c r="H13" s="93">
        <v>2</v>
      </c>
      <c r="I13" s="1" t="s">
        <v>143</v>
      </c>
      <c r="J13" s="1">
        <f t="shared" si="3"/>
        <v>15000</v>
      </c>
      <c r="K13" s="1">
        <f t="shared" si="4"/>
        <v>3000</v>
      </c>
      <c r="L13" s="6">
        <f t="shared" si="12"/>
        <v>153000</v>
      </c>
      <c r="M13" s="8">
        <f t="shared" si="5"/>
        <v>153000</v>
      </c>
      <c r="N13" s="8">
        <f t="shared" si="6"/>
        <v>153000</v>
      </c>
      <c r="O13" s="8">
        <f t="shared" si="7"/>
        <v>153000</v>
      </c>
      <c r="P13" s="6">
        <f t="shared" si="8"/>
        <v>11242440</v>
      </c>
      <c r="Q13" s="8">
        <f t="shared" si="9"/>
        <v>11242440</v>
      </c>
      <c r="R13" s="8">
        <f t="shared" si="10"/>
        <v>11242440</v>
      </c>
      <c r="S13" s="8">
        <f t="shared" si="11"/>
        <v>11242440</v>
      </c>
      <c r="T13" s="115"/>
      <c r="U13" s="115"/>
      <c r="Y13" s="98" t="s">
        <v>152</v>
      </c>
      <c r="Z13" s="98">
        <v>10000</v>
      </c>
      <c r="AA13" t="s">
        <v>169</v>
      </c>
    </row>
    <row r="14" spans="1:29" x14ac:dyDescent="0.25">
      <c r="A14" s="88">
        <v>1</v>
      </c>
      <c r="B14" s="88">
        <v>3</v>
      </c>
      <c r="C14" s="88">
        <v>12</v>
      </c>
      <c r="D14" s="1">
        <v>100.28</v>
      </c>
      <c r="E14" s="7">
        <f t="shared" si="0"/>
        <v>100.28</v>
      </c>
      <c r="F14" s="7">
        <f t="shared" si="1"/>
        <v>100.28</v>
      </c>
      <c r="G14" s="7">
        <f t="shared" si="2"/>
        <v>100.28</v>
      </c>
      <c r="H14" s="93">
        <v>3</v>
      </c>
      <c r="I14" s="1" t="s">
        <v>152</v>
      </c>
      <c r="J14" s="1">
        <f t="shared" si="3"/>
        <v>10000</v>
      </c>
      <c r="K14" s="1">
        <f t="shared" si="4"/>
        <v>4500</v>
      </c>
      <c r="L14" s="6">
        <f t="shared" si="12"/>
        <v>149500</v>
      </c>
      <c r="M14" s="8">
        <f t="shared" si="5"/>
        <v>149500</v>
      </c>
      <c r="N14" s="8">
        <f t="shared" si="6"/>
        <v>149500</v>
      </c>
      <c r="O14" s="8">
        <f t="shared" si="7"/>
        <v>149500</v>
      </c>
      <c r="P14" s="6">
        <f t="shared" si="8"/>
        <v>14991860</v>
      </c>
      <c r="Q14" s="8">
        <f t="shared" si="9"/>
        <v>14991860</v>
      </c>
      <c r="R14" s="8">
        <f t="shared" si="10"/>
        <v>14991860</v>
      </c>
      <c r="S14" s="8">
        <f t="shared" si="11"/>
        <v>14991860</v>
      </c>
      <c r="T14" s="115"/>
      <c r="U14" s="115"/>
      <c r="Y14" s="98" t="s">
        <v>162</v>
      </c>
      <c r="Z14" s="98">
        <v>11000</v>
      </c>
      <c r="AA14" t="s">
        <v>170</v>
      </c>
      <c r="AC14" s="87"/>
    </row>
    <row r="15" spans="1:29" s="87" customFormat="1" x14ac:dyDescent="0.25">
      <c r="A15" s="88">
        <v>1</v>
      </c>
      <c r="B15" s="88">
        <v>3</v>
      </c>
      <c r="C15" s="88">
        <v>13</v>
      </c>
      <c r="D15" s="1">
        <v>47</v>
      </c>
      <c r="E15" s="7">
        <f t="shared" si="0"/>
        <v>47</v>
      </c>
      <c r="F15" s="7">
        <f t="shared" si="1"/>
        <v>47</v>
      </c>
      <c r="G15" s="7">
        <f t="shared" si="2"/>
        <v>47</v>
      </c>
      <c r="H15" s="93">
        <v>1</v>
      </c>
      <c r="I15" s="1" t="s">
        <v>158</v>
      </c>
      <c r="J15" s="1">
        <f t="shared" si="3"/>
        <v>30000</v>
      </c>
      <c r="K15" s="1">
        <f t="shared" si="4"/>
        <v>4500</v>
      </c>
      <c r="L15" s="6">
        <f t="shared" si="12"/>
        <v>169500</v>
      </c>
      <c r="M15" s="8">
        <f t="shared" si="5"/>
        <v>169500</v>
      </c>
      <c r="N15" s="8">
        <f t="shared" si="6"/>
        <v>169500</v>
      </c>
      <c r="O15" s="8">
        <f t="shared" si="7"/>
        <v>169500</v>
      </c>
      <c r="P15" s="6">
        <f t="shared" si="8"/>
        <v>7966500</v>
      </c>
      <c r="Q15" s="8">
        <f t="shared" si="9"/>
        <v>7966500</v>
      </c>
      <c r="R15" s="8">
        <f t="shared" si="10"/>
        <v>7966500</v>
      </c>
      <c r="S15" s="8">
        <f t="shared" si="11"/>
        <v>7966500</v>
      </c>
      <c r="T15" s="115"/>
      <c r="U15" s="115"/>
      <c r="W15"/>
      <c r="X15"/>
      <c r="Y15" s="98" t="s">
        <v>153</v>
      </c>
      <c r="Z15" s="98">
        <v>8000</v>
      </c>
      <c r="AA15" t="s">
        <v>165</v>
      </c>
      <c r="AB15"/>
      <c r="AC15"/>
    </row>
    <row r="16" spans="1:29" x14ac:dyDescent="0.25">
      <c r="A16" s="88">
        <v>1</v>
      </c>
      <c r="B16" s="88">
        <v>3</v>
      </c>
      <c r="C16" s="88">
        <v>14</v>
      </c>
      <c r="D16" s="1">
        <v>65.95</v>
      </c>
      <c r="E16" s="7">
        <f t="shared" si="0"/>
        <v>65.95</v>
      </c>
      <c r="F16" s="7">
        <f t="shared" si="1"/>
        <v>65.95</v>
      </c>
      <c r="G16" s="7">
        <f t="shared" si="2"/>
        <v>65.95</v>
      </c>
      <c r="H16" s="93">
        <v>2</v>
      </c>
      <c r="I16" s="1" t="s">
        <v>139</v>
      </c>
      <c r="J16" s="1">
        <f t="shared" si="3"/>
        <v>15000</v>
      </c>
      <c r="K16" s="1">
        <f t="shared" si="4"/>
        <v>4500</v>
      </c>
      <c r="L16" s="6">
        <f t="shared" si="12"/>
        <v>154500</v>
      </c>
      <c r="M16" s="8">
        <f t="shared" si="5"/>
        <v>154500</v>
      </c>
      <c r="N16" s="8">
        <f t="shared" si="6"/>
        <v>154500</v>
      </c>
      <c r="O16" s="8">
        <f t="shared" si="7"/>
        <v>154500</v>
      </c>
      <c r="P16" s="6">
        <f t="shared" si="8"/>
        <v>10189275</v>
      </c>
      <c r="Q16" s="8">
        <f t="shared" si="9"/>
        <v>10189275</v>
      </c>
      <c r="R16" s="8">
        <f t="shared" si="10"/>
        <v>10189275</v>
      </c>
      <c r="S16" s="8">
        <f t="shared" si="11"/>
        <v>10189275</v>
      </c>
      <c r="T16" s="115"/>
      <c r="U16" s="115"/>
      <c r="Y16" s="98" t="s">
        <v>154</v>
      </c>
      <c r="Z16" s="98">
        <v>12000</v>
      </c>
      <c r="AA16" s="87" t="s">
        <v>161</v>
      </c>
    </row>
    <row r="17" spans="1:27" x14ac:dyDescent="0.25">
      <c r="A17" s="88">
        <v>1</v>
      </c>
      <c r="B17" s="88">
        <v>3</v>
      </c>
      <c r="C17" s="88">
        <v>15</v>
      </c>
      <c r="D17" s="1">
        <v>42.64</v>
      </c>
      <c r="E17" s="7">
        <f t="shared" si="0"/>
        <v>42.64</v>
      </c>
      <c r="F17" s="7">
        <f t="shared" si="1"/>
        <v>42.64</v>
      </c>
      <c r="G17" s="7">
        <f t="shared" si="2"/>
        <v>42.64</v>
      </c>
      <c r="H17" s="93">
        <v>1</v>
      </c>
      <c r="I17" s="1" t="s">
        <v>157</v>
      </c>
      <c r="J17" s="1">
        <f t="shared" si="3"/>
        <v>34000</v>
      </c>
      <c r="K17" s="1">
        <f t="shared" si="4"/>
        <v>4500</v>
      </c>
      <c r="L17" s="6">
        <f t="shared" si="12"/>
        <v>173500</v>
      </c>
      <c r="M17" s="8">
        <f t="shared" si="5"/>
        <v>173500</v>
      </c>
      <c r="N17" s="8">
        <f t="shared" si="6"/>
        <v>173500</v>
      </c>
      <c r="O17" s="8">
        <f t="shared" si="7"/>
        <v>173500</v>
      </c>
      <c r="P17" s="6">
        <f t="shared" si="8"/>
        <v>7398040</v>
      </c>
      <c r="Q17" s="8">
        <f t="shared" si="9"/>
        <v>7398040</v>
      </c>
      <c r="R17" s="8">
        <f t="shared" si="10"/>
        <v>7398040</v>
      </c>
      <c r="S17" s="8">
        <f t="shared" si="11"/>
        <v>7398040</v>
      </c>
      <c r="T17" s="115"/>
      <c r="U17" s="115"/>
      <c r="Y17" s="98" t="s">
        <v>155</v>
      </c>
      <c r="Z17" s="98">
        <v>11000</v>
      </c>
      <c r="AA17" s="87" t="s">
        <v>147</v>
      </c>
    </row>
    <row r="18" spans="1:27" x14ac:dyDescent="0.25">
      <c r="A18" s="88">
        <v>1</v>
      </c>
      <c r="B18" s="88">
        <v>3</v>
      </c>
      <c r="C18" s="88">
        <v>16</v>
      </c>
      <c r="D18" s="1">
        <v>42.89</v>
      </c>
      <c r="E18" s="7">
        <f t="shared" si="0"/>
        <v>42.89</v>
      </c>
      <c r="F18" s="7">
        <f t="shared" si="1"/>
        <v>42.89</v>
      </c>
      <c r="G18" s="7">
        <f t="shared" si="2"/>
        <v>42.89</v>
      </c>
      <c r="H18" s="93">
        <v>1</v>
      </c>
      <c r="I18" s="1" t="s">
        <v>157</v>
      </c>
      <c r="J18" s="1">
        <f t="shared" si="3"/>
        <v>34000</v>
      </c>
      <c r="K18" s="1">
        <f t="shared" si="4"/>
        <v>4500</v>
      </c>
      <c r="L18" s="6">
        <f t="shared" si="12"/>
        <v>173500</v>
      </c>
      <c r="M18" s="8">
        <f t="shared" si="5"/>
        <v>173500</v>
      </c>
      <c r="N18" s="8">
        <f t="shared" si="6"/>
        <v>173500</v>
      </c>
      <c r="O18" s="8">
        <f t="shared" si="7"/>
        <v>173500</v>
      </c>
      <c r="P18" s="6">
        <f t="shared" si="8"/>
        <v>7441415</v>
      </c>
      <c r="Q18" s="8">
        <f t="shared" si="9"/>
        <v>7441415</v>
      </c>
      <c r="R18" s="8">
        <f t="shared" si="10"/>
        <v>7441415</v>
      </c>
      <c r="S18" s="8">
        <f t="shared" si="11"/>
        <v>7441415</v>
      </c>
      <c r="T18" s="115"/>
      <c r="U18" s="115"/>
      <c r="Y18" s="98" t="s">
        <v>160</v>
      </c>
      <c r="Z18" s="98">
        <v>12000</v>
      </c>
    </row>
    <row r="19" spans="1:27" x14ac:dyDescent="0.25">
      <c r="A19" s="88">
        <v>1</v>
      </c>
      <c r="B19" s="88">
        <v>3</v>
      </c>
      <c r="C19" s="88">
        <v>17</v>
      </c>
      <c r="D19" s="1">
        <v>65.56</v>
      </c>
      <c r="E19" s="7">
        <f t="shared" si="0"/>
        <v>65.56</v>
      </c>
      <c r="F19" s="7">
        <f t="shared" si="1"/>
        <v>65.56</v>
      </c>
      <c r="G19" s="7">
        <f t="shared" si="2"/>
        <v>65.56</v>
      </c>
      <c r="H19" s="93">
        <v>2</v>
      </c>
      <c r="I19" s="1" t="s">
        <v>140</v>
      </c>
      <c r="J19" s="1">
        <f t="shared" si="3"/>
        <v>14000</v>
      </c>
      <c r="K19" s="1">
        <f t="shared" si="4"/>
        <v>4500</v>
      </c>
      <c r="L19" s="6">
        <f t="shared" si="12"/>
        <v>153500</v>
      </c>
      <c r="M19" s="8">
        <f t="shared" si="5"/>
        <v>153500</v>
      </c>
      <c r="N19" s="8">
        <f t="shared" si="6"/>
        <v>153500</v>
      </c>
      <c r="O19" s="8">
        <f t="shared" si="7"/>
        <v>153500</v>
      </c>
      <c r="P19" s="6">
        <f t="shared" si="8"/>
        <v>10063460</v>
      </c>
      <c r="Q19" s="8">
        <f t="shared" si="9"/>
        <v>10063460</v>
      </c>
      <c r="R19" s="8">
        <f t="shared" si="10"/>
        <v>10063460</v>
      </c>
      <c r="S19" s="8">
        <f t="shared" si="11"/>
        <v>10063460</v>
      </c>
      <c r="T19" s="115"/>
      <c r="U19" s="115"/>
    </row>
    <row r="20" spans="1:27" x14ac:dyDescent="0.25">
      <c r="A20" s="88">
        <v>1</v>
      </c>
      <c r="B20" s="88">
        <v>3</v>
      </c>
      <c r="C20" s="88">
        <v>18</v>
      </c>
      <c r="D20" s="1">
        <v>78.63</v>
      </c>
      <c r="E20" s="7">
        <f t="shared" si="0"/>
        <v>78.63</v>
      </c>
      <c r="F20" s="7">
        <f t="shared" si="1"/>
        <v>78.63</v>
      </c>
      <c r="G20" s="7">
        <f t="shared" si="2"/>
        <v>78.63</v>
      </c>
      <c r="H20" s="93">
        <v>2</v>
      </c>
      <c r="I20" s="1" t="s">
        <v>144</v>
      </c>
      <c r="J20" s="1">
        <f t="shared" si="3"/>
        <v>12000</v>
      </c>
      <c r="K20" s="1">
        <f t="shared" si="4"/>
        <v>4500</v>
      </c>
      <c r="L20" s="6">
        <f t="shared" si="12"/>
        <v>151500</v>
      </c>
      <c r="M20" s="8">
        <f t="shared" si="5"/>
        <v>151500</v>
      </c>
      <c r="N20" s="8">
        <f t="shared" si="6"/>
        <v>151500</v>
      </c>
      <c r="O20" s="8">
        <f t="shared" si="7"/>
        <v>151500</v>
      </c>
      <c r="P20" s="6">
        <f t="shared" si="8"/>
        <v>11912445</v>
      </c>
      <c r="Q20" s="8">
        <f t="shared" si="9"/>
        <v>11912445</v>
      </c>
      <c r="R20" s="8">
        <f t="shared" si="10"/>
        <v>11912445</v>
      </c>
      <c r="S20" s="8">
        <f t="shared" si="11"/>
        <v>11912445</v>
      </c>
      <c r="T20" s="115"/>
      <c r="U20" s="115"/>
    </row>
    <row r="21" spans="1:27" x14ac:dyDescent="0.25">
      <c r="A21" s="88">
        <v>1</v>
      </c>
      <c r="B21" s="88">
        <v>3</v>
      </c>
      <c r="C21" s="88">
        <v>19</v>
      </c>
      <c r="D21" s="1">
        <v>69.91</v>
      </c>
      <c r="E21" s="7">
        <f t="shared" si="0"/>
        <v>69.91</v>
      </c>
      <c r="F21" s="7">
        <f t="shared" si="1"/>
        <v>69.91</v>
      </c>
      <c r="G21" s="7">
        <f t="shared" si="2"/>
        <v>69.91</v>
      </c>
      <c r="H21" s="93">
        <v>2</v>
      </c>
      <c r="I21" s="1" t="s">
        <v>145</v>
      </c>
      <c r="J21" s="1">
        <f t="shared" si="3"/>
        <v>14000</v>
      </c>
      <c r="K21" s="1">
        <f t="shared" si="4"/>
        <v>4500</v>
      </c>
      <c r="L21" s="6">
        <f t="shared" si="12"/>
        <v>153500</v>
      </c>
      <c r="M21" s="8">
        <f t="shared" si="5"/>
        <v>153500</v>
      </c>
      <c r="N21" s="8">
        <f t="shared" si="6"/>
        <v>153500</v>
      </c>
      <c r="O21" s="8">
        <f t="shared" si="7"/>
        <v>153500</v>
      </c>
      <c r="P21" s="6">
        <f t="shared" si="8"/>
        <v>10731185</v>
      </c>
      <c r="Q21" s="8">
        <f t="shared" si="9"/>
        <v>10731185</v>
      </c>
      <c r="R21" s="8">
        <f t="shared" si="10"/>
        <v>10731185</v>
      </c>
      <c r="S21" s="8">
        <f t="shared" si="11"/>
        <v>10731185</v>
      </c>
      <c r="T21" s="115"/>
      <c r="U21" s="115"/>
    </row>
    <row r="22" spans="1:27" x14ac:dyDescent="0.25">
      <c r="A22" s="88">
        <v>1</v>
      </c>
      <c r="B22" s="88">
        <v>3</v>
      </c>
      <c r="C22" s="88">
        <v>20</v>
      </c>
      <c r="D22" s="1">
        <v>107.31</v>
      </c>
      <c r="E22" s="7">
        <f t="shared" si="0"/>
        <v>107.31</v>
      </c>
      <c r="F22" s="7">
        <f t="shared" si="1"/>
        <v>107.31</v>
      </c>
      <c r="G22" s="7">
        <f t="shared" si="2"/>
        <v>107.31</v>
      </c>
      <c r="H22" s="93">
        <v>3</v>
      </c>
      <c r="I22" s="1" t="s">
        <v>153</v>
      </c>
      <c r="J22" s="1">
        <f t="shared" si="3"/>
        <v>8000</v>
      </c>
      <c r="K22" s="1">
        <f t="shared" si="4"/>
        <v>4500</v>
      </c>
      <c r="L22" s="6">
        <f t="shared" si="12"/>
        <v>147500</v>
      </c>
      <c r="M22" s="8">
        <f t="shared" si="5"/>
        <v>147500</v>
      </c>
      <c r="N22" s="8">
        <f t="shared" si="6"/>
        <v>147500</v>
      </c>
      <c r="O22" s="8">
        <f t="shared" si="7"/>
        <v>147500</v>
      </c>
      <c r="P22" s="6">
        <f t="shared" si="8"/>
        <v>15828225</v>
      </c>
      <c r="Q22" s="8">
        <f t="shared" si="9"/>
        <v>15828225</v>
      </c>
      <c r="R22" s="8">
        <f t="shared" si="10"/>
        <v>15828225</v>
      </c>
      <c r="S22" s="8">
        <f t="shared" si="11"/>
        <v>15828225</v>
      </c>
      <c r="T22" s="115"/>
      <c r="U22" s="115"/>
    </row>
    <row r="23" spans="1:27" x14ac:dyDescent="0.25">
      <c r="A23" s="88">
        <v>1</v>
      </c>
      <c r="B23" s="88">
        <v>3</v>
      </c>
      <c r="C23" s="88">
        <v>21</v>
      </c>
      <c r="D23" s="1">
        <v>41.84</v>
      </c>
      <c r="E23" s="7">
        <f t="shared" si="0"/>
        <v>41.84</v>
      </c>
      <c r="F23" s="7">
        <f t="shared" si="1"/>
        <v>41.84</v>
      </c>
      <c r="G23" s="7">
        <f t="shared" si="2"/>
        <v>41.84</v>
      </c>
      <c r="H23" s="93">
        <v>1</v>
      </c>
      <c r="I23" s="1" t="s">
        <v>157</v>
      </c>
      <c r="J23" s="1">
        <f t="shared" si="3"/>
        <v>34000</v>
      </c>
      <c r="K23" s="1">
        <f t="shared" si="4"/>
        <v>4500</v>
      </c>
      <c r="L23" s="6">
        <f t="shared" si="12"/>
        <v>176500</v>
      </c>
      <c r="M23" s="8">
        <f t="shared" si="5"/>
        <v>176500</v>
      </c>
      <c r="N23" s="8">
        <f t="shared" si="6"/>
        <v>176500</v>
      </c>
      <c r="O23" s="8">
        <f t="shared" si="7"/>
        <v>176500</v>
      </c>
      <c r="P23" s="6">
        <f t="shared" si="8"/>
        <v>7384760.0000000009</v>
      </c>
      <c r="Q23" s="8">
        <f t="shared" si="9"/>
        <v>7384760.0000000009</v>
      </c>
      <c r="R23" s="8">
        <f t="shared" si="10"/>
        <v>7384760.0000000009</v>
      </c>
      <c r="S23" s="8">
        <f t="shared" si="11"/>
        <v>7384760.0000000009</v>
      </c>
      <c r="T23" s="115">
        <v>3000</v>
      </c>
      <c r="U23" s="115" t="s">
        <v>178</v>
      </c>
    </row>
    <row r="24" spans="1:27" x14ac:dyDescent="0.25">
      <c r="A24" s="88">
        <v>1</v>
      </c>
      <c r="B24" s="88">
        <v>3</v>
      </c>
      <c r="C24" s="88">
        <v>22</v>
      </c>
      <c r="D24" s="1">
        <v>62.78</v>
      </c>
      <c r="E24" s="7">
        <f t="shared" si="0"/>
        <v>62.78</v>
      </c>
      <c r="F24" s="7">
        <f t="shared" si="1"/>
        <v>62.78</v>
      </c>
      <c r="G24" s="7">
        <f t="shared" si="2"/>
        <v>62.78</v>
      </c>
      <c r="H24" s="93">
        <v>2</v>
      </c>
      <c r="I24" s="1" t="s">
        <v>141</v>
      </c>
      <c r="J24" s="1">
        <f t="shared" si="3"/>
        <v>14000</v>
      </c>
      <c r="K24" s="1">
        <f t="shared" si="4"/>
        <v>4500</v>
      </c>
      <c r="L24" s="6">
        <f t="shared" si="12"/>
        <v>153500</v>
      </c>
      <c r="M24" s="8">
        <f t="shared" si="5"/>
        <v>153500</v>
      </c>
      <c r="N24" s="8">
        <f t="shared" si="6"/>
        <v>153500</v>
      </c>
      <c r="O24" s="8">
        <f t="shared" si="7"/>
        <v>153500</v>
      </c>
      <c r="P24" s="6">
        <f t="shared" si="8"/>
        <v>9636730</v>
      </c>
      <c r="Q24" s="8">
        <f t="shared" si="9"/>
        <v>9636730</v>
      </c>
      <c r="R24" s="8">
        <f t="shared" si="10"/>
        <v>9636730</v>
      </c>
      <c r="S24" s="8">
        <f t="shared" si="11"/>
        <v>9636730</v>
      </c>
      <c r="T24" s="115"/>
      <c r="U24" s="115"/>
    </row>
    <row r="25" spans="1:27" x14ac:dyDescent="0.25">
      <c r="A25" s="88">
        <v>1</v>
      </c>
      <c r="B25" s="88">
        <v>3</v>
      </c>
      <c r="C25" s="88">
        <v>23</v>
      </c>
      <c r="D25" s="1">
        <v>71.099999999999994</v>
      </c>
      <c r="E25" s="7">
        <f t="shared" si="0"/>
        <v>71.099999999999994</v>
      </c>
      <c r="F25" s="7">
        <f t="shared" si="1"/>
        <v>71.099999999999994</v>
      </c>
      <c r="G25" s="7">
        <f t="shared" si="2"/>
        <v>71.099999999999994</v>
      </c>
      <c r="H25" s="93">
        <v>2</v>
      </c>
      <c r="I25" s="1" t="s">
        <v>142</v>
      </c>
      <c r="J25" s="1">
        <f t="shared" si="3"/>
        <v>15000</v>
      </c>
      <c r="K25" s="1">
        <f t="shared" si="4"/>
        <v>4500</v>
      </c>
      <c r="L25" s="6">
        <f t="shared" si="12"/>
        <v>154500</v>
      </c>
      <c r="M25" s="8">
        <f t="shared" si="5"/>
        <v>154500</v>
      </c>
      <c r="N25" s="8">
        <f t="shared" si="6"/>
        <v>154500</v>
      </c>
      <c r="O25" s="8">
        <f t="shared" si="7"/>
        <v>154500</v>
      </c>
      <c r="P25" s="6">
        <f t="shared" si="8"/>
        <v>10984950</v>
      </c>
      <c r="Q25" s="8">
        <f t="shared" si="9"/>
        <v>10984950</v>
      </c>
      <c r="R25" s="8">
        <f t="shared" si="10"/>
        <v>10984950</v>
      </c>
      <c r="S25" s="8">
        <f t="shared" si="11"/>
        <v>10984950</v>
      </c>
      <c r="T25" s="115"/>
      <c r="U25" s="115"/>
    </row>
    <row r="26" spans="1:27" x14ac:dyDescent="0.25">
      <c r="A26" s="88">
        <v>1</v>
      </c>
      <c r="B26" s="88">
        <v>3</v>
      </c>
      <c r="C26" s="88">
        <v>24</v>
      </c>
      <c r="D26" s="1">
        <v>72.66</v>
      </c>
      <c r="E26" s="7">
        <f t="shared" si="0"/>
        <v>72.66</v>
      </c>
      <c r="F26" s="7">
        <f t="shared" si="1"/>
        <v>72.66</v>
      </c>
      <c r="G26" s="7">
        <f t="shared" si="2"/>
        <v>72.66</v>
      </c>
      <c r="H26" s="93">
        <v>2</v>
      </c>
      <c r="I26" s="1" t="s">
        <v>143</v>
      </c>
      <c r="J26" s="1">
        <f t="shared" si="3"/>
        <v>15000</v>
      </c>
      <c r="K26" s="1">
        <f t="shared" si="4"/>
        <v>4500</v>
      </c>
      <c r="L26" s="6">
        <f t="shared" si="12"/>
        <v>154500</v>
      </c>
      <c r="M26" s="8">
        <f t="shared" si="5"/>
        <v>154500</v>
      </c>
      <c r="N26" s="8">
        <f t="shared" si="6"/>
        <v>154500</v>
      </c>
      <c r="O26" s="8">
        <f t="shared" si="7"/>
        <v>154500</v>
      </c>
      <c r="P26" s="6">
        <f t="shared" si="8"/>
        <v>11225970</v>
      </c>
      <c r="Q26" s="8">
        <f t="shared" si="9"/>
        <v>11225970</v>
      </c>
      <c r="R26" s="8">
        <f t="shared" si="10"/>
        <v>11225970</v>
      </c>
      <c r="S26" s="8">
        <f t="shared" si="11"/>
        <v>11225970</v>
      </c>
      <c r="T26" s="115"/>
      <c r="U26" s="115"/>
    </row>
    <row r="27" spans="1:27" x14ac:dyDescent="0.25">
      <c r="A27" s="88">
        <v>1</v>
      </c>
      <c r="B27" s="88">
        <v>4</v>
      </c>
      <c r="C27" s="88">
        <v>25</v>
      </c>
      <c r="D27" s="1">
        <v>92.62</v>
      </c>
      <c r="E27" s="7">
        <f t="shared" si="0"/>
        <v>92.62</v>
      </c>
      <c r="F27" s="7">
        <f t="shared" si="1"/>
        <v>92.62</v>
      </c>
      <c r="G27" s="7">
        <f t="shared" si="2"/>
        <v>92.62</v>
      </c>
      <c r="H27" s="93">
        <v>3</v>
      </c>
      <c r="I27" s="1" t="s">
        <v>162</v>
      </c>
      <c r="J27" s="1">
        <f t="shared" si="3"/>
        <v>11000</v>
      </c>
      <c r="K27" s="1">
        <f t="shared" si="4"/>
        <v>6000</v>
      </c>
      <c r="L27" s="6">
        <f t="shared" si="12"/>
        <v>152000</v>
      </c>
      <c r="M27" s="8">
        <f t="shared" si="5"/>
        <v>152000</v>
      </c>
      <c r="N27" s="8">
        <f t="shared" si="6"/>
        <v>152000</v>
      </c>
      <c r="O27" s="8">
        <f t="shared" si="7"/>
        <v>152000</v>
      </c>
      <c r="P27" s="6">
        <f t="shared" si="8"/>
        <v>14078240</v>
      </c>
      <c r="Q27" s="8">
        <f t="shared" si="9"/>
        <v>14078240</v>
      </c>
      <c r="R27" s="8">
        <f t="shared" si="10"/>
        <v>14078240</v>
      </c>
      <c r="S27" s="8">
        <f t="shared" si="11"/>
        <v>14078240</v>
      </c>
      <c r="T27" s="115"/>
      <c r="U27" s="115"/>
    </row>
    <row r="28" spans="1:27" x14ac:dyDescent="0.25">
      <c r="A28" s="88">
        <v>1</v>
      </c>
      <c r="B28" s="88">
        <v>4</v>
      </c>
      <c r="C28" s="88">
        <v>26</v>
      </c>
      <c r="D28" s="1">
        <v>46.88</v>
      </c>
      <c r="E28" s="7">
        <f t="shared" si="0"/>
        <v>46.88</v>
      </c>
      <c r="F28" s="7">
        <f t="shared" si="1"/>
        <v>46.88</v>
      </c>
      <c r="G28" s="7">
        <f t="shared" si="2"/>
        <v>46.88</v>
      </c>
      <c r="H28" s="93">
        <v>1</v>
      </c>
      <c r="I28" s="1" t="s">
        <v>158</v>
      </c>
      <c r="J28" s="1">
        <f t="shared" si="3"/>
        <v>30000</v>
      </c>
      <c r="K28" s="1">
        <f t="shared" si="4"/>
        <v>6000</v>
      </c>
      <c r="L28" s="6">
        <f t="shared" si="12"/>
        <v>171000</v>
      </c>
      <c r="M28" s="8">
        <f t="shared" si="5"/>
        <v>171000</v>
      </c>
      <c r="N28" s="8">
        <f t="shared" si="6"/>
        <v>171000</v>
      </c>
      <c r="O28" s="8">
        <f t="shared" si="7"/>
        <v>171000</v>
      </c>
      <c r="P28" s="6">
        <f t="shared" si="8"/>
        <v>8016480</v>
      </c>
      <c r="Q28" s="8">
        <f t="shared" si="9"/>
        <v>8016480</v>
      </c>
      <c r="R28" s="8">
        <f t="shared" si="10"/>
        <v>8016480</v>
      </c>
      <c r="S28" s="8">
        <f t="shared" si="11"/>
        <v>8016480</v>
      </c>
      <c r="T28" s="115"/>
      <c r="U28" s="115"/>
    </row>
    <row r="29" spans="1:27" x14ac:dyDescent="0.25">
      <c r="A29" s="88">
        <v>1</v>
      </c>
      <c r="B29" s="88">
        <v>4</v>
      </c>
      <c r="C29" s="88">
        <v>27</v>
      </c>
      <c r="D29" s="1">
        <v>65.48</v>
      </c>
      <c r="E29" s="7">
        <f t="shared" si="0"/>
        <v>65.48</v>
      </c>
      <c r="F29" s="7">
        <f t="shared" si="1"/>
        <v>65.48</v>
      </c>
      <c r="G29" s="7">
        <f t="shared" si="2"/>
        <v>65.48</v>
      </c>
      <c r="H29" s="93">
        <v>2</v>
      </c>
      <c r="I29" s="1" t="s">
        <v>139</v>
      </c>
      <c r="J29" s="1">
        <f t="shared" si="3"/>
        <v>15000</v>
      </c>
      <c r="K29" s="1">
        <f t="shared" si="4"/>
        <v>6000</v>
      </c>
      <c r="L29" s="6">
        <f t="shared" si="12"/>
        <v>156000</v>
      </c>
      <c r="M29" s="8">
        <f t="shared" si="5"/>
        <v>156000</v>
      </c>
      <c r="N29" s="8">
        <f t="shared" si="6"/>
        <v>156000</v>
      </c>
      <c r="O29" s="8">
        <f t="shared" si="7"/>
        <v>156000</v>
      </c>
      <c r="P29" s="6">
        <f t="shared" si="8"/>
        <v>10214880</v>
      </c>
      <c r="Q29" s="8">
        <f t="shared" si="9"/>
        <v>10214880</v>
      </c>
      <c r="R29" s="8">
        <f t="shared" si="10"/>
        <v>10214880</v>
      </c>
      <c r="S29" s="8">
        <f t="shared" si="11"/>
        <v>10214880</v>
      </c>
      <c r="T29" s="115"/>
      <c r="U29" s="115"/>
      <c r="AA29" s="87"/>
    </row>
    <row r="30" spans="1:27" x14ac:dyDescent="0.25">
      <c r="A30" s="88">
        <v>1</v>
      </c>
      <c r="B30" s="88">
        <v>4</v>
      </c>
      <c r="C30" s="88">
        <v>28</v>
      </c>
      <c r="D30" s="1">
        <v>42.41</v>
      </c>
      <c r="E30" s="7">
        <f t="shared" si="0"/>
        <v>42.41</v>
      </c>
      <c r="F30" s="7">
        <f t="shared" si="1"/>
        <v>42.41</v>
      </c>
      <c r="G30" s="7">
        <f t="shared" si="2"/>
        <v>42.41</v>
      </c>
      <c r="H30" s="93">
        <v>1</v>
      </c>
      <c r="I30" s="1" t="s">
        <v>157</v>
      </c>
      <c r="J30" s="1">
        <f t="shared" si="3"/>
        <v>34000</v>
      </c>
      <c r="K30" s="1">
        <f t="shared" si="4"/>
        <v>6000</v>
      </c>
      <c r="L30" s="6">
        <f t="shared" si="12"/>
        <v>175000</v>
      </c>
      <c r="M30" s="8">
        <f t="shared" si="5"/>
        <v>175000</v>
      </c>
      <c r="N30" s="8">
        <f t="shared" si="6"/>
        <v>175000</v>
      </c>
      <c r="O30" s="8">
        <f t="shared" si="7"/>
        <v>175000</v>
      </c>
      <c r="P30" s="6">
        <f t="shared" si="8"/>
        <v>7421749.9999999991</v>
      </c>
      <c r="Q30" s="8">
        <f t="shared" si="9"/>
        <v>7421749.9999999991</v>
      </c>
      <c r="R30" s="8">
        <f t="shared" si="10"/>
        <v>7421749.9999999991</v>
      </c>
      <c r="S30" s="8">
        <f t="shared" si="11"/>
        <v>7421749.9999999991</v>
      </c>
      <c r="T30" s="115"/>
      <c r="U30" s="115"/>
    </row>
    <row r="31" spans="1:27" x14ac:dyDescent="0.25">
      <c r="A31" s="88">
        <v>1</v>
      </c>
      <c r="B31" s="88">
        <v>4</v>
      </c>
      <c r="C31" s="88">
        <v>29</v>
      </c>
      <c r="D31" s="1">
        <v>42.89</v>
      </c>
      <c r="E31" s="7">
        <f t="shared" si="0"/>
        <v>42.89</v>
      </c>
      <c r="F31" s="7">
        <f t="shared" si="1"/>
        <v>42.89</v>
      </c>
      <c r="G31" s="7">
        <f t="shared" si="2"/>
        <v>42.89</v>
      </c>
      <c r="H31" s="93">
        <v>1</v>
      </c>
      <c r="I31" s="1" t="s">
        <v>157</v>
      </c>
      <c r="J31" s="1">
        <f t="shared" si="3"/>
        <v>34000</v>
      </c>
      <c r="K31" s="1">
        <f t="shared" si="4"/>
        <v>6000</v>
      </c>
      <c r="L31" s="6">
        <f t="shared" si="12"/>
        <v>175000</v>
      </c>
      <c r="M31" s="8">
        <f t="shared" si="5"/>
        <v>175000</v>
      </c>
      <c r="N31" s="8">
        <f t="shared" si="6"/>
        <v>175000</v>
      </c>
      <c r="O31" s="8">
        <f t="shared" si="7"/>
        <v>175000</v>
      </c>
      <c r="P31" s="6">
        <f t="shared" si="8"/>
        <v>7505750</v>
      </c>
      <c r="Q31" s="8">
        <f t="shared" si="9"/>
        <v>7505750</v>
      </c>
      <c r="R31" s="8">
        <f t="shared" si="10"/>
        <v>7505750</v>
      </c>
      <c r="S31" s="8">
        <f t="shared" si="11"/>
        <v>7505750</v>
      </c>
      <c r="T31" s="115"/>
      <c r="U31" s="115"/>
    </row>
    <row r="32" spans="1:27" x14ac:dyDescent="0.25">
      <c r="A32" s="88">
        <v>1</v>
      </c>
      <c r="B32" s="88">
        <v>4</v>
      </c>
      <c r="C32" s="88">
        <v>30</v>
      </c>
      <c r="D32" s="1">
        <v>62.23</v>
      </c>
      <c r="E32" s="7">
        <f t="shared" si="0"/>
        <v>62.23</v>
      </c>
      <c r="F32" s="7">
        <f t="shared" si="1"/>
        <v>62.23</v>
      </c>
      <c r="G32" s="7">
        <f t="shared" si="2"/>
        <v>62.23</v>
      </c>
      <c r="H32" s="93">
        <v>2</v>
      </c>
      <c r="I32" s="1" t="s">
        <v>140</v>
      </c>
      <c r="J32" s="1">
        <f t="shared" si="3"/>
        <v>14000</v>
      </c>
      <c r="K32" s="1">
        <f t="shared" si="4"/>
        <v>6000</v>
      </c>
      <c r="L32" s="6">
        <f t="shared" si="12"/>
        <v>155000</v>
      </c>
      <c r="M32" s="8">
        <f t="shared" si="5"/>
        <v>155000</v>
      </c>
      <c r="N32" s="8">
        <f t="shared" si="6"/>
        <v>155000</v>
      </c>
      <c r="O32" s="8">
        <f t="shared" si="7"/>
        <v>155000</v>
      </c>
      <c r="P32" s="6">
        <f t="shared" si="8"/>
        <v>9645650</v>
      </c>
      <c r="Q32" s="8">
        <f t="shared" si="9"/>
        <v>9645650</v>
      </c>
      <c r="R32" s="8">
        <f t="shared" si="10"/>
        <v>9645650</v>
      </c>
      <c r="S32" s="8">
        <f t="shared" si="11"/>
        <v>9645650</v>
      </c>
      <c r="T32" s="115"/>
      <c r="U32" s="115"/>
    </row>
    <row r="33" spans="1:21" x14ac:dyDescent="0.25">
      <c r="A33" s="88">
        <v>1</v>
      </c>
      <c r="B33" s="88">
        <v>4</v>
      </c>
      <c r="C33" s="88">
        <v>31</v>
      </c>
      <c r="D33" s="1">
        <v>76.78</v>
      </c>
      <c r="E33" s="7">
        <f t="shared" si="0"/>
        <v>76.78</v>
      </c>
      <c r="F33" s="7">
        <f t="shared" si="1"/>
        <v>76.78</v>
      </c>
      <c r="G33" s="7">
        <f t="shared" si="2"/>
        <v>76.78</v>
      </c>
      <c r="H33" s="93">
        <v>2</v>
      </c>
      <c r="I33" s="1" t="s">
        <v>144</v>
      </c>
      <c r="J33" s="1">
        <f t="shared" si="3"/>
        <v>12000</v>
      </c>
      <c r="K33" s="1">
        <f t="shared" si="4"/>
        <v>6000</v>
      </c>
      <c r="L33" s="6">
        <f t="shared" si="12"/>
        <v>153000</v>
      </c>
      <c r="M33" s="8">
        <f t="shared" si="5"/>
        <v>153000</v>
      </c>
      <c r="N33" s="8">
        <f t="shared" si="6"/>
        <v>153000</v>
      </c>
      <c r="O33" s="8">
        <f t="shared" si="7"/>
        <v>153000</v>
      </c>
      <c r="P33" s="6">
        <f t="shared" si="8"/>
        <v>11747340</v>
      </c>
      <c r="Q33" s="8">
        <f t="shared" si="9"/>
        <v>11747340</v>
      </c>
      <c r="R33" s="8">
        <f t="shared" si="10"/>
        <v>11747340</v>
      </c>
      <c r="S33" s="8">
        <f t="shared" si="11"/>
        <v>11747340</v>
      </c>
      <c r="T33" s="115"/>
      <c r="U33" s="115"/>
    </row>
    <row r="34" spans="1:21" x14ac:dyDescent="0.25">
      <c r="A34" s="88">
        <v>1</v>
      </c>
      <c r="B34" s="88">
        <v>4</v>
      </c>
      <c r="C34" s="88">
        <v>32</v>
      </c>
      <c r="D34" s="1">
        <v>69.91</v>
      </c>
      <c r="E34" s="7">
        <f t="shared" si="0"/>
        <v>69.91</v>
      </c>
      <c r="F34" s="7">
        <f t="shared" si="1"/>
        <v>69.91</v>
      </c>
      <c r="G34" s="7">
        <f t="shared" si="2"/>
        <v>69.91</v>
      </c>
      <c r="H34" s="93">
        <v>2</v>
      </c>
      <c r="I34" s="1" t="s">
        <v>145</v>
      </c>
      <c r="J34" s="1">
        <f t="shared" si="3"/>
        <v>14000</v>
      </c>
      <c r="K34" s="1">
        <f t="shared" si="4"/>
        <v>6000</v>
      </c>
      <c r="L34" s="6">
        <f t="shared" si="12"/>
        <v>155000</v>
      </c>
      <c r="M34" s="8">
        <f t="shared" si="5"/>
        <v>155000</v>
      </c>
      <c r="N34" s="8">
        <f t="shared" si="6"/>
        <v>155000</v>
      </c>
      <c r="O34" s="8">
        <f t="shared" si="7"/>
        <v>155000</v>
      </c>
      <c r="P34" s="6">
        <f t="shared" si="8"/>
        <v>10836050</v>
      </c>
      <c r="Q34" s="8">
        <f t="shared" si="9"/>
        <v>10836050</v>
      </c>
      <c r="R34" s="8">
        <f t="shared" si="10"/>
        <v>10836050</v>
      </c>
      <c r="S34" s="8">
        <f t="shared" si="11"/>
        <v>10836050</v>
      </c>
      <c r="T34" s="115"/>
      <c r="U34" s="115"/>
    </row>
    <row r="35" spans="1:21" x14ac:dyDescent="0.25">
      <c r="A35" s="88">
        <v>1</v>
      </c>
      <c r="B35" s="88">
        <v>4</v>
      </c>
      <c r="C35" s="88">
        <v>33</v>
      </c>
      <c r="D35" s="1">
        <v>107.31</v>
      </c>
      <c r="E35" s="7">
        <f t="shared" si="0"/>
        <v>107.31</v>
      </c>
      <c r="F35" s="7">
        <f t="shared" si="1"/>
        <v>107.31</v>
      </c>
      <c r="G35" s="7">
        <f t="shared" si="2"/>
        <v>107.31</v>
      </c>
      <c r="H35" s="93">
        <v>3</v>
      </c>
      <c r="I35" s="1" t="s">
        <v>153</v>
      </c>
      <c r="J35" s="1">
        <f t="shared" ref="J35:J66" si="13">VLOOKUP(I:I,Y:Z,2,0)</f>
        <v>8000</v>
      </c>
      <c r="K35" s="1">
        <f t="shared" ref="K35:K66" si="14">VLOOKUP(B:B,W:X,2,0)</f>
        <v>6000</v>
      </c>
      <c r="L35" s="6">
        <f t="shared" si="12"/>
        <v>149000</v>
      </c>
      <c r="M35" s="8">
        <f t="shared" si="5"/>
        <v>149000</v>
      </c>
      <c r="N35" s="8">
        <f t="shared" si="6"/>
        <v>149000</v>
      </c>
      <c r="O35" s="8">
        <f t="shared" si="7"/>
        <v>149000</v>
      </c>
      <c r="P35" s="6">
        <f t="shared" si="8"/>
        <v>15989190</v>
      </c>
      <c r="Q35" s="8">
        <f t="shared" si="9"/>
        <v>15989190</v>
      </c>
      <c r="R35" s="8">
        <f t="shared" si="10"/>
        <v>15989190</v>
      </c>
      <c r="S35" s="8">
        <f t="shared" si="11"/>
        <v>15989190</v>
      </c>
      <c r="T35" s="115"/>
      <c r="U35" s="115"/>
    </row>
    <row r="36" spans="1:21" x14ac:dyDescent="0.25">
      <c r="A36" s="88">
        <v>1</v>
      </c>
      <c r="B36" s="88">
        <v>4</v>
      </c>
      <c r="C36" s="88">
        <v>34</v>
      </c>
      <c r="D36" s="1">
        <v>41.84</v>
      </c>
      <c r="E36" s="7">
        <f t="shared" si="0"/>
        <v>41.84</v>
      </c>
      <c r="F36" s="7">
        <f t="shared" si="1"/>
        <v>41.84</v>
      </c>
      <c r="G36" s="7">
        <f t="shared" si="2"/>
        <v>41.84</v>
      </c>
      <c r="H36" s="93">
        <v>1</v>
      </c>
      <c r="I36" s="1" t="s">
        <v>157</v>
      </c>
      <c r="J36" s="1">
        <f t="shared" si="13"/>
        <v>34000</v>
      </c>
      <c r="K36" s="1">
        <f t="shared" si="14"/>
        <v>6000</v>
      </c>
      <c r="L36" s="6">
        <f t="shared" si="12"/>
        <v>178000</v>
      </c>
      <c r="M36" s="8">
        <f t="shared" si="5"/>
        <v>178000</v>
      </c>
      <c r="N36" s="8">
        <f t="shared" si="6"/>
        <v>178000</v>
      </c>
      <c r="O36" s="8">
        <f t="shared" si="7"/>
        <v>178000</v>
      </c>
      <c r="P36" s="6">
        <f t="shared" si="8"/>
        <v>7447520.0000000009</v>
      </c>
      <c r="Q36" s="8">
        <f t="shared" si="9"/>
        <v>7447520.0000000009</v>
      </c>
      <c r="R36" s="8">
        <f t="shared" si="10"/>
        <v>7447520.0000000009</v>
      </c>
      <c r="S36" s="8">
        <f t="shared" si="11"/>
        <v>7447520.0000000009</v>
      </c>
      <c r="T36" s="115">
        <v>3000</v>
      </c>
      <c r="U36" s="115" t="s">
        <v>178</v>
      </c>
    </row>
    <row r="37" spans="1:21" x14ac:dyDescent="0.25">
      <c r="A37" s="88">
        <v>1</v>
      </c>
      <c r="B37" s="88">
        <v>4</v>
      </c>
      <c r="C37" s="88">
        <v>35</v>
      </c>
      <c r="D37" s="1">
        <v>62.78</v>
      </c>
      <c r="E37" s="7">
        <f t="shared" si="0"/>
        <v>62.78</v>
      </c>
      <c r="F37" s="7">
        <f t="shared" si="1"/>
        <v>62.78</v>
      </c>
      <c r="G37" s="7">
        <f t="shared" si="2"/>
        <v>62.78</v>
      </c>
      <c r="H37" s="93">
        <v>2</v>
      </c>
      <c r="I37" s="1" t="s">
        <v>141</v>
      </c>
      <c r="J37" s="1">
        <f t="shared" si="13"/>
        <v>14000</v>
      </c>
      <c r="K37" s="1">
        <f t="shared" si="14"/>
        <v>6000</v>
      </c>
      <c r="L37" s="6">
        <f t="shared" si="12"/>
        <v>155000</v>
      </c>
      <c r="M37" s="8">
        <f t="shared" si="5"/>
        <v>155000</v>
      </c>
      <c r="N37" s="8">
        <f t="shared" si="6"/>
        <v>155000</v>
      </c>
      <c r="O37" s="8">
        <f t="shared" si="7"/>
        <v>155000</v>
      </c>
      <c r="P37" s="6">
        <f t="shared" si="8"/>
        <v>9730900</v>
      </c>
      <c r="Q37" s="8">
        <f t="shared" si="9"/>
        <v>9730900</v>
      </c>
      <c r="R37" s="8">
        <f t="shared" si="10"/>
        <v>9730900</v>
      </c>
      <c r="S37" s="8">
        <f t="shared" si="11"/>
        <v>9730900</v>
      </c>
      <c r="T37" s="115"/>
      <c r="U37" s="115"/>
    </row>
    <row r="38" spans="1:21" x14ac:dyDescent="0.25">
      <c r="A38" s="88">
        <v>1</v>
      </c>
      <c r="B38" s="88">
        <v>4</v>
      </c>
      <c r="C38" s="88">
        <v>36</v>
      </c>
      <c r="D38" s="1">
        <v>71.099999999999994</v>
      </c>
      <c r="E38" s="7">
        <f t="shared" si="0"/>
        <v>71.099999999999994</v>
      </c>
      <c r="F38" s="7">
        <f t="shared" si="1"/>
        <v>71.099999999999994</v>
      </c>
      <c r="G38" s="7">
        <f t="shared" si="2"/>
        <v>71.099999999999994</v>
      </c>
      <c r="H38" s="93">
        <v>2</v>
      </c>
      <c r="I38" s="1" t="s">
        <v>142</v>
      </c>
      <c r="J38" s="1">
        <f t="shared" si="13"/>
        <v>15000</v>
      </c>
      <c r="K38" s="1">
        <f t="shared" si="14"/>
        <v>6000</v>
      </c>
      <c r="L38" s="6">
        <f t="shared" si="12"/>
        <v>156000</v>
      </c>
      <c r="M38" s="8">
        <f t="shared" si="5"/>
        <v>156000</v>
      </c>
      <c r="N38" s="8">
        <f t="shared" si="6"/>
        <v>156000</v>
      </c>
      <c r="O38" s="8">
        <f t="shared" si="7"/>
        <v>156000</v>
      </c>
      <c r="P38" s="6">
        <f t="shared" si="8"/>
        <v>11091600</v>
      </c>
      <c r="Q38" s="8">
        <f t="shared" si="9"/>
        <v>11091600</v>
      </c>
      <c r="R38" s="8">
        <f t="shared" si="10"/>
        <v>11091600</v>
      </c>
      <c r="S38" s="8">
        <f t="shared" si="11"/>
        <v>11091600</v>
      </c>
      <c r="T38" s="115"/>
      <c r="U38" s="115"/>
    </row>
    <row r="39" spans="1:21" x14ac:dyDescent="0.25">
      <c r="A39" s="88">
        <v>1</v>
      </c>
      <c r="B39" s="88">
        <v>4</v>
      </c>
      <c r="C39" s="88">
        <v>37</v>
      </c>
      <c r="D39" s="1">
        <v>72.66</v>
      </c>
      <c r="E39" s="7">
        <f t="shared" si="0"/>
        <v>72.66</v>
      </c>
      <c r="F39" s="7">
        <f t="shared" si="1"/>
        <v>72.66</v>
      </c>
      <c r="G39" s="7">
        <f t="shared" si="2"/>
        <v>72.66</v>
      </c>
      <c r="H39" s="93">
        <v>2</v>
      </c>
      <c r="I39" s="1" t="s">
        <v>143</v>
      </c>
      <c r="J39" s="1">
        <f t="shared" si="13"/>
        <v>15000</v>
      </c>
      <c r="K39" s="1">
        <f t="shared" si="14"/>
        <v>6000</v>
      </c>
      <c r="L39" s="6">
        <f t="shared" si="12"/>
        <v>156000</v>
      </c>
      <c r="M39" s="8">
        <f t="shared" si="5"/>
        <v>156000</v>
      </c>
      <c r="N39" s="8">
        <f t="shared" si="6"/>
        <v>156000</v>
      </c>
      <c r="O39" s="8">
        <f t="shared" si="7"/>
        <v>156000</v>
      </c>
      <c r="P39" s="6">
        <f t="shared" si="8"/>
        <v>11334960</v>
      </c>
      <c r="Q39" s="8">
        <f t="shared" si="9"/>
        <v>11334960</v>
      </c>
      <c r="R39" s="8">
        <f t="shared" si="10"/>
        <v>11334960</v>
      </c>
      <c r="S39" s="8">
        <f t="shared" si="11"/>
        <v>11334960</v>
      </c>
      <c r="T39" s="115"/>
      <c r="U39" s="115"/>
    </row>
    <row r="40" spans="1:21" x14ac:dyDescent="0.25">
      <c r="A40" s="88">
        <v>1</v>
      </c>
      <c r="B40" s="88">
        <v>5</v>
      </c>
      <c r="C40" s="88">
        <v>38</v>
      </c>
      <c r="D40" s="1">
        <v>92.62</v>
      </c>
      <c r="E40" s="7">
        <f t="shared" si="0"/>
        <v>92.62</v>
      </c>
      <c r="F40" s="7">
        <f t="shared" si="1"/>
        <v>92.62</v>
      </c>
      <c r="G40" s="7">
        <f t="shared" si="2"/>
        <v>92.62</v>
      </c>
      <c r="H40" s="93">
        <v>3</v>
      </c>
      <c r="I40" s="1" t="s">
        <v>162</v>
      </c>
      <c r="J40" s="1">
        <f t="shared" si="13"/>
        <v>11000</v>
      </c>
      <c r="K40" s="1">
        <f t="shared" si="14"/>
        <v>7500</v>
      </c>
      <c r="L40" s="6">
        <f t="shared" si="12"/>
        <v>153500</v>
      </c>
      <c r="M40" s="8">
        <f t="shared" si="5"/>
        <v>153500</v>
      </c>
      <c r="N40" s="8">
        <f t="shared" si="6"/>
        <v>153500</v>
      </c>
      <c r="O40" s="8">
        <f t="shared" si="7"/>
        <v>153500</v>
      </c>
      <c r="P40" s="6">
        <f t="shared" si="8"/>
        <v>14217170</v>
      </c>
      <c r="Q40" s="8">
        <f t="shared" si="9"/>
        <v>14217170</v>
      </c>
      <c r="R40" s="8">
        <f t="shared" si="10"/>
        <v>14217170</v>
      </c>
      <c r="S40" s="8">
        <f t="shared" si="11"/>
        <v>14217170</v>
      </c>
      <c r="T40" s="115"/>
      <c r="U40" s="115"/>
    </row>
    <row r="41" spans="1:21" x14ac:dyDescent="0.25">
      <c r="A41" s="88">
        <v>1</v>
      </c>
      <c r="B41" s="88">
        <v>5</v>
      </c>
      <c r="C41" s="88">
        <v>39</v>
      </c>
      <c r="D41" s="1">
        <v>46.86</v>
      </c>
      <c r="E41" s="7">
        <f t="shared" si="0"/>
        <v>46.86</v>
      </c>
      <c r="F41" s="7">
        <f t="shared" si="1"/>
        <v>46.86</v>
      </c>
      <c r="G41" s="7">
        <f t="shared" si="2"/>
        <v>46.86</v>
      </c>
      <c r="H41" s="93">
        <v>1</v>
      </c>
      <c r="I41" s="1" t="s">
        <v>158</v>
      </c>
      <c r="J41" s="1">
        <f t="shared" si="13"/>
        <v>30000</v>
      </c>
      <c r="K41" s="1">
        <f t="shared" si="14"/>
        <v>7500</v>
      </c>
      <c r="L41" s="6">
        <f t="shared" si="12"/>
        <v>172500</v>
      </c>
      <c r="M41" s="8">
        <f t="shared" si="5"/>
        <v>172500</v>
      </c>
      <c r="N41" s="8">
        <f t="shared" si="6"/>
        <v>172500</v>
      </c>
      <c r="O41" s="8">
        <f t="shared" si="7"/>
        <v>172500</v>
      </c>
      <c r="P41" s="6">
        <f t="shared" si="8"/>
        <v>8083350</v>
      </c>
      <c r="Q41" s="8">
        <f t="shared" si="9"/>
        <v>8083350</v>
      </c>
      <c r="R41" s="8">
        <f t="shared" si="10"/>
        <v>8083350</v>
      </c>
      <c r="S41" s="8">
        <f t="shared" si="11"/>
        <v>8083350</v>
      </c>
      <c r="T41" s="115"/>
      <c r="U41" s="115"/>
    </row>
    <row r="42" spans="1:21" x14ac:dyDescent="0.25">
      <c r="A42" s="88">
        <v>1</v>
      </c>
      <c r="B42" s="88">
        <v>5</v>
      </c>
      <c r="C42" s="88">
        <v>40</v>
      </c>
      <c r="D42" s="1">
        <v>66.14</v>
      </c>
      <c r="E42" s="7">
        <f t="shared" si="0"/>
        <v>66.14</v>
      </c>
      <c r="F42" s="7">
        <f t="shared" si="1"/>
        <v>66.14</v>
      </c>
      <c r="G42" s="7">
        <f t="shared" si="2"/>
        <v>66.14</v>
      </c>
      <c r="H42" s="93">
        <v>2</v>
      </c>
      <c r="I42" s="1" t="s">
        <v>139</v>
      </c>
      <c r="J42" s="1">
        <f t="shared" si="13"/>
        <v>15000</v>
      </c>
      <c r="K42" s="1">
        <f t="shared" si="14"/>
        <v>7500</v>
      </c>
      <c r="L42" s="6">
        <f t="shared" si="12"/>
        <v>160500</v>
      </c>
      <c r="M42" s="8">
        <f t="shared" si="5"/>
        <v>160500</v>
      </c>
      <c r="N42" s="8">
        <f t="shared" si="6"/>
        <v>160500</v>
      </c>
      <c r="O42" s="8">
        <f t="shared" si="7"/>
        <v>160500</v>
      </c>
      <c r="P42" s="6">
        <f t="shared" si="8"/>
        <v>10615470</v>
      </c>
      <c r="Q42" s="8">
        <f t="shared" si="9"/>
        <v>10615470</v>
      </c>
      <c r="R42" s="8">
        <f t="shared" si="10"/>
        <v>10615470</v>
      </c>
      <c r="S42" s="8">
        <f t="shared" si="11"/>
        <v>10615470</v>
      </c>
      <c r="T42" s="115">
        <v>3000</v>
      </c>
      <c r="U42" s="115" t="s">
        <v>150</v>
      </c>
    </row>
    <row r="43" spans="1:21" x14ac:dyDescent="0.25">
      <c r="A43" s="88">
        <v>1</v>
      </c>
      <c r="B43" s="88">
        <v>5</v>
      </c>
      <c r="C43" s="88">
        <v>41</v>
      </c>
      <c r="D43" s="1">
        <v>42.99</v>
      </c>
      <c r="E43" s="7">
        <f t="shared" si="0"/>
        <v>42.99</v>
      </c>
      <c r="F43" s="7">
        <f t="shared" si="1"/>
        <v>42.99</v>
      </c>
      <c r="G43" s="7">
        <f t="shared" si="2"/>
        <v>42.99</v>
      </c>
      <c r="H43" s="93">
        <v>1</v>
      </c>
      <c r="I43" s="1" t="s">
        <v>157</v>
      </c>
      <c r="J43" s="1">
        <f t="shared" si="13"/>
        <v>34000</v>
      </c>
      <c r="K43" s="1">
        <f t="shared" si="14"/>
        <v>7500</v>
      </c>
      <c r="L43" s="6">
        <f t="shared" si="12"/>
        <v>179500</v>
      </c>
      <c r="M43" s="8">
        <f t="shared" si="5"/>
        <v>179500</v>
      </c>
      <c r="N43" s="8">
        <f t="shared" si="6"/>
        <v>179500</v>
      </c>
      <c r="O43" s="8">
        <f t="shared" si="7"/>
        <v>179500</v>
      </c>
      <c r="P43" s="6">
        <f t="shared" si="8"/>
        <v>7716705</v>
      </c>
      <c r="Q43" s="8">
        <f t="shared" si="9"/>
        <v>7716705</v>
      </c>
      <c r="R43" s="8">
        <f t="shared" si="10"/>
        <v>7716705</v>
      </c>
      <c r="S43" s="8">
        <f t="shared" si="11"/>
        <v>7716705</v>
      </c>
      <c r="T43" s="115">
        <v>3000</v>
      </c>
      <c r="U43" s="115" t="s">
        <v>150</v>
      </c>
    </row>
    <row r="44" spans="1:21" x14ac:dyDescent="0.25">
      <c r="A44" s="88">
        <v>1</v>
      </c>
      <c r="B44" s="88">
        <v>5</v>
      </c>
      <c r="C44" s="88">
        <v>42</v>
      </c>
      <c r="D44" s="1">
        <v>43.41</v>
      </c>
      <c r="E44" s="7">
        <f t="shared" si="0"/>
        <v>43.41</v>
      </c>
      <c r="F44" s="7">
        <f t="shared" si="1"/>
        <v>43.41</v>
      </c>
      <c r="G44" s="7">
        <f t="shared" si="2"/>
        <v>43.41</v>
      </c>
      <c r="H44" s="93">
        <v>1</v>
      </c>
      <c r="I44" s="1" t="s">
        <v>157</v>
      </c>
      <c r="J44" s="1">
        <f t="shared" si="13"/>
        <v>34000</v>
      </c>
      <c r="K44" s="1">
        <f t="shared" si="14"/>
        <v>7500</v>
      </c>
      <c r="L44" s="6">
        <f t="shared" si="12"/>
        <v>179500</v>
      </c>
      <c r="M44" s="8">
        <f t="shared" si="5"/>
        <v>179500</v>
      </c>
      <c r="N44" s="8">
        <f t="shared" si="6"/>
        <v>179500</v>
      </c>
      <c r="O44" s="8">
        <f t="shared" si="7"/>
        <v>179500</v>
      </c>
      <c r="P44" s="6">
        <f t="shared" si="8"/>
        <v>7792094.9999999991</v>
      </c>
      <c r="Q44" s="8">
        <f t="shared" si="9"/>
        <v>7792094.9999999991</v>
      </c>
      <c r="R44" s="8">
        <f t="shared" si="10"/>
        <v>7792094.9999999991</v>
      </c>
      <c r="S44" s="8">
        <f t="shared" si="11"/>
        <v>7792094.9999999991</v>
      </c>
      <c r="T44" s="115">
        <v>3000</v>
      </c>
      <c r="U44" s="115" t="s">
        <v>150</v>
      </c>
    </row>
    <row r="45" spans="1:21" x14ac:dyDescent="0.25">
      <c r="A45" s="88">
        <v>1</v>
      </c>
      <c r="B45" s="88">
        <v>5</v>
      </c>
      <c r="C45" s="88">
        <v>43</v>
      </c>
      <c r="D45" s="1">
        <v>83.55</v>
      </c>
      <c r="E45" s="7">
        <f t="shared" si="0"/>
        <v>83.55</v>
      </c>
      <c r="F45" s="7">
        <f t="shared" si="1"/>
        <v>83.55</v>
      </c>
      <c r="G45" s="7">
        <f t="shared" si="2"/>
        <v>83.55</v>
      </c>
      <c r="H45" s="93">
        <v>3</v>
      </c>
      <c r="I45" s="1" t="s">
        <v>154</v>
      </c>
      <c r="J45" s="1">
        <f t="shared" si="13"/>
        <v>12000</v>
      </c>
      <c r="K45" s="1">
        <f t="shared" si="14"/>
        <v>7500</v>
      </c>
      <c r="L45" s="6">
        <f t="shared" si="12"/>
        <v>154500</v>
      </c>
      <c r="M45" s="8">
        <f t="shared" si="5"/>
        <v>154500</v>
      </c>
      <c r="N45" s="8">
        <f t="shared" si="6"/>
        <v>154500</v>
      </c>
      <c r="O45" s="8">
        <f t="shared" si="7"/>
        <v>154500</v>
      </c>
      <c r="P45" s="6">
        <f t="shared" si="8"/>
        <v>12908475</v>
      </c>
      <c r="Q45" s="8">
        <f t="shared" si="9"/>
        <v>12908475</v>
      </c>
      <c r="R45" s="8">
        <f t="shared" si="10"/>
        <v>12908475</v>
      </c>
      <c r="S45" s="8">
        <f t="shared" si="11"/>
        <v>12908475</v>
      </c>
      <c r="T45" s="115"/>
      <c r="U45" s="115"/>
    </row>
    <row r="46" spans="1:21" x14ac:dyDescent="0.25">
      <c r="A46" s="88">
        <v>1</v>
      </c>
      <c r="B46" s="88">
        <v>5</v>
      </c>
      <c r="C46" s="88">
        <v>44</v>
      </c>
      <c r="D46" s="1">
        <v>97.54</v>
      </c>
      <c r="E46" s="7">
        <f t="shared" si="0"/>
        <v>97.54</v>
      </c>
      <c r="F46" s="7">
        <f t="shared" si="1"/>
        <v>97.54</v>
      </c>
      <c r="G46" s="7">
        <f t="shared" si="2"/>
        <v>97.54</v>
      </c>
      <c r="H46" s="93">
        <v>3</v>
      </c>
      <c r="I46" s="1" t="s">
        <v>155</v>
      </c>
      <c r="J46" s="1">
        <f t="shared" si="13"/>
        <v>11000</v>
      </c>
      <c r="K46" s="1">
        <f t="shared" si="14"/>
        <v>7500</v>
      </c>
      <c r="L46" s="6">
        <f t="shared" si="12"/>
        <v>156500</v>
      </c>
      <c r="M46" s="8">
        <f t="shared" si="5"/>
        <v>156500</v>
      </c>
      <c r="N46" s="8">
        <f t="shared" si="6"/>
        <v>156500</v>
      </c>
      <c r="O46" s="8">
        <f t="shared" si="7"/>
        <v>156500</v>
      </c>
      <c r="P46" s="6">
        <f t="shared" si="8"/>
        <v>15265010.000000002</v>
      </c>
      <c r="Q46" s="8">
        <f t="shared" si="9"/>
        <v>15265010.000000002</v>
      </c>
      <c r="R46" s="8">
        <f t="shared" si="10"/>
        <v>15265010.000000002</v>
      </c>
      <c r="S46" s="8">
        <f t="shared" si="11"/>
        <v>15265010.000000002</v>
      </c>
      <c r="T46" s="115">
        <v>3000</v>
      </c>
      <c r="U46" s="115" t="s">
        <v>171</v>
      </c>
    </row>
    <row r="47" spans="1:21" x14ac:dyDescent="0.25">
      <c r="A47" s="88">
        <v>1</v>
      </c>
      <c r="B47" s="88">
        <v>5</v>
      </c>
      <c r="C47" s="88">
        <v>45</v>
      </c>
      <c r="D47" s="1">
        <v>62.55</v>
      </c>
      <c r="E47" s="7">
        <f t="shared" si="0"/>
        <v>62.55</v>
      </c>
      <c r="F47" s="7">
        <f t="shared" si="1"/>
        <v>62.55</v>
      </c>
      <c r="G47" s="7">
        <f t="shared" si="2"/>
        <v>62.55</v>
      </c>
      <c r="H47" s="93">
        <v>2</v>
      </c>
      <c r="I47" s="1" t="s">
        <v>141</v>
      </c>
      <c r="J47" s="1">
        <f t="shared" si="13"/>
        <v>14000</v>
      </c>
      <c r="K47" s="1">
        <f t="shared" si="14"/>
        <v>7500</v>
      </c>
      <c r="L47" s="6">
        <f t="shared" si="12"/>
        <v>159500</v>
      </c>
      <c r="M47" s="8">
        <f t="shared" si="5"/>
        <v>159500</v>
      </c>
      <c r="N47" s="8">
        <f t="shared" si="6"/>
        <v>159500</v>
      </c>
      <c r="O47" s="8">
        <f t="shared" si="7"/>
        <v>159500</v>
      </c>
      <c r="P47" s="6">
        <f t="shared" si="8"/>
        <v>9976725</v>
      </c>
      <c r="Q47" s="8">
        <f t="shared" si="9"/>
        <v>9976725</v>
      </c>
      <c r="R47" s="8">
        <f t="shared" si="10"/>
        <v>9976725</v>
      </c>
      <c r="S47" s="8">
        <f t="shared" si="11"/>
        <v>9976725</v>
      </c>
      <c r="T47" s="115">
        <v>3000</v>
      </c>
      <c r="U47" s="115" t="s">
        <v>147</v>
      </c>
    </row>
    <row r="48" spans="1:21" x14ac:dyDescent="0.25">
      <c r="A48" s="88">
        <v>1</v>
      </c>
      <c r="B48" s="88">
        <v>5</v>
      </c>
      <c r="C48" s="88">
        <v>46</v>
      </c>
      <c r="D48" s="1">
        <v>62.86</v>
      </c>
      <c r="E48" s="7">
        <f t="shared" si="0"/>
        <v>62.86</v>
      </c>
      <c r="F48" s="7">
        <f t="shared" si="1"/>
        <v>62.86</v>
      </c>
      <c r="G48" s="7">
        <f t="shared" si="2"/>
        <v>62.86</v>
      </c>
      <c r="H48" s="93">
        <v>2</v>
      </c>
      <c r="I48" s="1" t="s">
        <v>141</v>
      </c>
      <c r="J48" s="1">
        <f t="shared" si="13"/>
        <v>14000</v>
      </c>
      <c r="K48" s="1">
        <f t="shared" si="14"/>
        <v>7500</v>
      </c>
      <c r="L48" s="6">
        <f t="shared" si="12"/>
        <v>156500</v>
      </c>
      <c r="M48" s="8">
        <f t="shared" si="5"/>
        <v>156500</v>
      </c>
      <c r="N48" s="8">
        <f t="shared" si="6"/>
        <v>156500</v>
      </c>
      <c r="O48" s="8">
        <f t="shared" si="7"/>
        <v>156500</v>
      </c>
      <c r="P48" s="6">
        <f t="shared" si="8"/>
        <v>9837590</v>
      </c>
      <c r="Q48" s="8">
        <f t="shared" si="9"/>
        <v>9837590</v>
      </c>
      <c r="R48" s="8">
        <f t="shared" si="10"/>
        <v>9837590</v>
      </c>
      <c r="S48" s="8">
        <f t="shared" si="11"/>
        <v>9837590</v>
      </c>
      <c r="T48" s="115"/>
      <c r="U48" s="115"/>
    </row>
    <row r="49" spans="1:21" x14ac:dyDescent="0.25">
      <c r="A49" s="88">
        <v>1</v>
      </c>
      <c r="B49" s="88">
        <v>5</v>
      </c>
      <c r="C49" s="88">
        <v>47</v>
      </c>
      <c r="D49" s="1">
        <v>72.3</v>
      </c>
      <c r="E49" s="7">
        <f t="shared" si="0"/>
        <v>72.3</v>
      </c>
      <c r="F49" s="7">
        <f t="shared" si="1"/>
        <v>72.3</v>
      </c>
      <c r="G49" s="7">
        <f t="shared" si="2"/>
        <v>72.3</v>
      </c>
      <c r="H49" s="93">
        <v>2</v>
      </c>
      <c r="I49" s="1" t="s">
        <v>142</v>
      </c>
      <c r="J49" s="1">
        <f t="shared" si="13"/>
        <v>15000</v>
      </c>
      <c r="K49" s="1">
        <f t="shared" si="14"/>
        <v>7500</v>
      </c>
      <c r="L49" s="6">
        <f t="shared" si="12"/>
        <v>157500</v>
      </c>
      <c r="M49" s="8">
        <f t="shared" si="5"/>
        <v>157500</v>
      </c>
      <c r="N49" s="8">
        <f t="shared" si="6"/>
        <v>157500</v>
      </c>
      <c r="O49" s="8">
        <f t="shared" si="7"/>
        <v>157500</v>
      </c>
      <c r="P49" s="6">
        <f t="shared" si="8"/>
        <v>11387250</v>
      </c>
      <c r="Q49" s="8">
        <f t="shared" si="9"/>
        <v>11387250</v>
      </c>
      <c r="R49" s="8">
        <f t="shared" si="10"/>
        <v>11387250</v>
      </c>
      <c r="S49" s="8">
        <f t="shared" si="11"/>
        <v>11387250</v>
      </c>
      <c r="T49" s="115"/>
      <c r="U49" s="115"/>
    </row>
    <row r="50" spans="1:21" x14ac:dyDescent="0.25">
      <c r="A50" s="88">
        <v>1</v>
      </c>
      <c r="B50" s="88">
        <v>6</v>
      </c>
      <c r="C50" s="88">
        <v>48</v>
      </c>
      <c r="D50" s="1">
        <v>92.17</v>
      </c>
      <c r="E50" s="7">
        <f t="shared" si="0"/>
        <v>92.17</v>
      </c>
      <c r="F50" s="7">
        <f t="shared" si="1"/>
        <v>92.17</v>
      </c>
      <c r="G50" s="7">
        <f t="shared" si="2"/>
        <v>92.17</v>
      </c>
      <c r="H50" s="93">
        <v>3</v>
      </c>
      <c r="I50" s="1" t="s">
        <v>162</v>
      </c>
      <c r="J50" s="1">
        <f t="shared" si="13"/>
        <v>11000</v>
      </c>
      <c r="K50" s="1">
        <f t="shared" si="14"/>
        <v>9000</v>
      </c>
      <c r="L50" s="6">
        <f t="shared" si="12"/>
        <v>155000</v>
      </c>
      <c r="M50" s="8">
        <f t="shared" si="5"/>
        <v>155000</v>
      </c>
      <c r="N50" s="8">
        <f t="shared" si="6"/>
        <v>155000</v>
      </c>
      <c r="O50" s="8">
        <f t="shared" si="7"/>
        <v>155000</v>
      </c>
      <c r="P50" s="6">
        <f t="shared" si="8"/>
        <v>14286350</v>
      </c>
      <c r="Q50" s="8">
        <f t="shared" si="9"/>
        <v>14286350</v>
      </c>
      <c r="R50" s="8">
        <f t="shared" si="10"/>
        <v>14286350</v>
      </c>
      <c r="S50" s="8">
        <f t="shared" si="11"/>
        <v>14286350</v>
      </c>
      <c r="T50" s="115"/>
      <c r="U50" s="115"/>
    </row>
    <row r="51" spans="1:21" x14ac:dyDescent="0.25">
      <c r="A51" s="88">
        <v>1</v>
      </c>
      <c r="B51" s="88">
        <v>6</v>
      </c>
      <c r="C51" s="88">
        <v>49</v>
      </c>
      <c r="D51" s="1">
        <v>46.7</v>
      </c>
      <c r="E51" s="7">
        <f t="shared" si="0"/>
        <v>46.7</v>
      </c>
      <c r="F51" s="7">
        <f t="shared" si="1"/>
        <v>46.7</v>
      </c>
      <c r="G51" s="7">
        <f t="shared" si="2"/>
        <v>46.7</v>
      </c>
      <c r="H51" s="93">
        <v>1</v>
      </c>
      <c r="I51" s="1" t="s">
        <v>158</v>
      </c>
      <c r="J51" s="1">
        <f t="shared" si="13"/>
        <v>30000</v>
      </c>
      <c r="K51" s="1">
        <f t="shared" si="14"/>
        <v>9000</v>
      </c>
      <c r="L51" s="6">
        <f t="shared" si="12"/>
        <v>174000</v>
      </c>
      <c r="M51" s="8">
        <f t="shared" si="5"/>
        <v>174000</v>
      </c>
      <c r="N51" s="8">
        <f t="shared" si="6"/>
        <v>174000</v>
      </c>
      <c r="O51" s="8">
        <f t="shared" si="7"/>
        <v>174000</v>
      </c>
      <c r="P51" s="6">
        <f t="shared" si="8"/>
        <v>8125800.0000000009</v>
      </c>
      <c r="Q51" s="8">
        <f t="shared" si="9"/>
        <v>8125800.0000000009</v>
      </c>
      <c r="R51" s="8">
        <f t="shared" si="10"/>
        <v>8125800.0000000009</v>
      </c>
      <c r="S51" s="8">
        <f t="shared" si="11"/>
        <v>8125800.0000000009</v>
      </c>
      <c r="T51" s="115"/>
      <c r="U51" s="115"/>
    </row>
    <row r="52" spans="1:21" x14ac:dyDescent="0.25">
      <c r="A52" s="88">
        <v>1</v>
      </c>
      <c r="B52" s="88">
        <v>6</v>
      </c>
      <c r="C52" s="88">
        <v>50</v>
      </c>
      <c r="D52" s="1">
        <v>65.84</v>
      </c>
      <c r="E52" s="7">
        <f t="shared" si="0"/>
        <v>65.84</v>
      </c>
      <c r="F52" s="7">
        <f t="shared" si="1"/>
        <v>65.84</v>
      </c>
      <c r="G52" s="7">
        <f t="shared" si="2"/>
        <v>65.84</v>
      </c>
      <c r="H52" s="93">
        <v>2</v>
      </c>
      <c r="I52" s="1" t="s">
        <v>139</v>
      </c>
      <c r="J52" s="1">
        <f t="shared" si="13"/>
        <v>15000</v>
      </c>
      <c r="K52" s="1">
        <f t="shared" si="14"/>
        <v>9000</v>
      </c>
      <c r="L52" s="6">
        <f t="shared" si="12"/>
        <v>162000</v>
      </c>
      <c r="M52" s="8">
        <f t="shared" si="5"/>
        <v>162000</v>
      </c>
      <c r="N52" s="8">
        <f t="shared" si="6"/>
        <v>162000</v>
      </c>
      <c r="O52" s="8">
        <f t="shared" si="7"/>
        <v>162000</v>
      </c>
      <c r="P52" s="6">
        <f t="shared" si="8"/>
        <v>10666080</v>
      </c>
      <c r="Q52" s="8">
        <f t="shared" si="9"/>
        <v>10666080</v>
      </c>
      <c r="R52" s="8">
        <f t="shared" si="10"/>
        <v>10666080</v>
      </c>
      <c r="S52" s="8">
        <f t="shared" si="11"/>
        <v>10666080</v>
      </c>
      <c r="T52" s="115">
        <v>3000</v>
      </c>
      <c r="U52" s="115" t="s">
        <v>150</v>
      </c>
    </row>
    <row r="53" spans="1:21" x14ac:dyDescent="0.25">
      <c r="A53" s="88">
        <v>1</v>
      </c>
      <c r="B53" s="88">
        <v>6</v>
      </c>
      <c r="C53" s="88">
        <v>51</v>
      </c>
      <c r="D53" s="1">
        <v>42.98</v>
      </c>
      <c r="E53" s="7">
        <f t="shared" si="0"/>
        <v>42.98</v>
      </c>
      <c r="F53" s="7">
        <f t="shared" si="1"/>
        <v>42.98</v>
      </c>
      <c r="G53" s="7">
        <f t="shared" si="2"/>
        <v>42.98</v>
      </c>
      <c r="H53" s="93">
        <v>1</v>
      </c>
      <c r="I53" s="1" t="s">
        <v>157</v>
      </c>
      <c r="J53" s="1">
        <f t="shared" si="13"/>
        <v>34000</v>
      </c>
      <c r="K53" s="1">
        <f t="shared" si="14"/>
        <v>9000</v>
      </c>
      <c r="L53" s="6">
        <f t="shared" si="12"/>
        <v>181000</v>
      </c>
      <c r="M53" s="8">
        <f t="shared" si="5"/>
        <v>181000</v>
      </c>
      <c r="N53" s="8">
        <f t="shared" si="6"/>
        <v>181000</v>
      </c>
      <c r="O53" s="8">
        <f t="shared" si="7"/>
        <v>181000</v>
      </c>
      <c r="P53" s="6">
        <f t="shared" si="8"/>
        <v>7779379.9999999991</v>
      </c>
      <c r="Q53" s="8">
        <f t="shared" si="9"/>
        <v>7779379.9999999991</v>
      </c>
      <c r="R53" s="8">
        <f t="shared" si="10"/>
        <v>7779379.9999999991</v>
      </c>
      <c r="S53" s="8">
        <f t="shared" si="11"/>
        <v>7779379.9999999991</v>
      </c>
      <c r="T53" s="115">
        <v>3000</v>
      </c>
      <c r="U53" s="115" t="s">
        <v>150</v>
      </c>
    </row>
    <row r="54" spans="1:21" x14ac:dyDescent="0.25">
      <c r="A54" s="88">
        <v>1</v>
      </c>
      <c r="B54" s="88">
        <v>6</v>
      </c>
      <c r="C54" s="88">
        <v>52</v>
      </c>
      <c r="D54" s="1">
        <v>43.46</v>
      </c>
      <c r="E54" s="7">
        <f t="shared" si="0"/>
        <v>43.46</v>
      </c>
      <c r="F54" s="7">
        <f t="shared" si="1"/>
        <v>43.46</v>
      </c>
      <c r="G54" s="7">
        <f t="shared" si="2"/>
        <v>43.46</v>
      </c>
      <c r="H54" s="93">
        <v>1</v>
      </c>
      <c r="I54" s="1" t="s">
        <v>157</v>
      </c>
      <c r="J54" s="1">
        <f t="shared" si="13"/>
        <v>34000</v>
      </c>
      <c r="K54" s="1">
        <f t="shared" si="14"/>
        <v>9000</v>
      </c>
      <c r="L54" s="6">
        <f t="shared" si="12"/>
        <v>181000</v>
      </c>
      <c r="M54" s="8">
        <f t="shared" si="5"/>
        <v>181000</v>
      </c>
      <c r="N54" s="8">
        <f t="shared" si="6"/>
        <v>181000</v>
      </c>
      <c r="O54" s="8">
        <f t="shared" si="7"/>
        <v>181000</v>
      </c>
      <c r="P54" s="6">
        <f t="shared" si="8"/>
        <v>7866260</v>
      </c>
      <c r="Q54" s="8">
        <f t="shared" si="9"/>
        <v>7866260</v>
      </c>
      <c r="R54" s="8">
        <f t="shared" si="10"/>
        <v>7866260</v>
      </c>
      <c r="S54" s="8">
        <f t="shared" si="11"/>
        <v>7866260</v>
      </c>
      <c r="T54" s="115">
        <v>3000</v>
      </c>
      <c r="U54" s="115" t="s">
        <v>150</v>
      </c>
    </row>
    <row r="55" spans="1:21" x14ac:dyDescent="0.25">
      <c r="A55" s="88">
        <v>1</v>
      </c>
      <c r="B55" s="88">
        <v>6</v>
      </c>
      <c r="C55" s="88">
        <v>53</v>
      </c>
      <c r="D55" s="1">
        <v>83.57</v>
      </c>
      <c r="E55" s="7">
        <f t="shared" si="0"/>
        <v>83.57</v>
      </c>
      <c r="F55" s="7">
        <f t="shared" si="1"/>
        <v>83.57</v>
      </c>
      <c r="G55" s="7">
        <f t="shared" si="2"/>
        <v>83.57</v>
      </c>
      <c r="H55" s="93">
        <v>3</v>
      </c>
      <c r="I55" s="1" t="s">
        <v>154</v>
      </c>
      <c r="J55" s="1">
        <f t="shared" si="13"/>
        <v>12000</v>
      </c>
      <c r="K55" s="1">
        <f t="shared" si="14"/>
        <v>9000</v>
      </c>
      <c r="L55" s="6">
        <f t="shared" si="12"/>
        <v>156000</v>
      </c>
      <c r="M55" s="8">
        <f t="shared" si="5"/>
        <v>156000</v>
      </c>
      <c r="N55" s="8">
        <f t="shared" si="6"/>
        <v>156000</v>
      </c>
      <c r="O55" s="8">
        <f t="shared" si="7"/>
        <v>156000</v>
      </c>
      <c r="P55" s="6">
        <f t="shared" si="8"/>
        <v>13036919.999999998</v>
      </c>
      <c r="Q55" s="8">
        <f t="shared" si="9"/>
        <v>13036919.999999998</v>
      </c>
      <c r="R55" s="8">
        <f t="shared" si="10"/>
        <v>13036919.999999998</v>
      </c>
      <c r="S55" s="8">
        <f t="shared" si="11"/>
        <v>13036919.999999998</v>
      </c>
      <c r="T55" s="115"/>
      <c r="U55" s="115"/>
    </row>
    <row r="56" spans="1:21" x14ac:dyDescent="0.25">
      <c r="A56" s="88">
        <v>1</v>
      </c>
      <c r="B56" s="88">
        <v>6</v>
      </c>
      <c r="C56" s="88">
        <v>54</v>
      </c>
      <c r="D56" s="1">
        <v>91.39</v>
      </c>
      <c r="E56" s="7">
        <f t="shared" si="0"/>
        <v>91.39</v>
      </c>
      <c r="F56" s="7">
        <f t="shared" si="1"/>
        <v>91.39</v>
      </c>
      <c r="G56" s="7">
        <f t="shared" si="2"/>
        <v>91.39</v>
      </c>
      <c r="H56" s="93">
        <v>3</v>
      </c>
      <c r="I56" s="1" t="s">
        <v>155</v>
      </c>
      <c r="J56" s="1">
        <f t="shared" si="13"/>
        <v>11000</v>
      </c>
      <c r="K56" s="1">
        <f t="shared" si="14"/>
        <v>9000</v>
      </c>
      <c r="L56" s="6">
        <f t="shared" si="12"/>
        <v>155000</v>
      </c>
      <c r="M56" s="8">
        <f t="shared" si="5"/>
        <v>155000</v>
      </c>
      <c r="N56" s="8">
        <f t="shared" si="6"/>
        <v>155000</v>
      </c>
      <c r="O56" s="8">
        <f t="shared" si="7"/>
        <v>155000</v>
      </c>
      <c r="P56" s="6">
        <f t="shared" si="8"/>
        <v>14165450</v>
      </c>
      <c r="Q56" s="8">
        <f t="shared" si="9"/>
        <v>14165450</v>
      </c>
      <c r="R56" s="8">
        <f t="shared" si="10"/>
        <v>14165450</v>
      </c>
      <c r="S56" s="8">
        <f t="shared" si="11"/>
        <v>14165450</v>
      </c>
      <c r="T56" s="115"/>
      <c r="U56" s="115"/>
    </row>
    <row r="57" spans="1:21" x14ac:dyDescent="0.25">
      <c r="A57" s="88">
        <v>1</v>
      </c>
      <c r="B57" s="88">
        <v>7</v>
      </c>
      <c r="C57" s="88">
        <v>55</v>
      </c>
      <c r="D57" s="1">
        <v>92.26</v>
      </c>
      <c r="E57" s="7">
        <f t="shared" si="0"/>
        <v>92.26</v>
      </c>
      <c r="F57" s="7">
        <f t="shared" si="1"/>
        <v>92.26</v>
      </c>
      <c r="G57" s="7">
        <f t="shared" si="2"/>
        <v>92.26</v>
      </c>
      <c r="H57" s="93">
        <v>3</v>
      </c>
      <c r="I57" s="1" t="s">
        <v>162</v>
      </c>
      <c r="J57" s="1">
        <f t="shared" si="13"/>
        <v>11000</v>
      </c>
      <c r="K57" s="1">
        <f t="shared" si="14"/>
        <v>10500</v>
      </c>
      <c r="L57" s="6">
        <f t="shared" si="12"/>
        <v>156500</v>
      </c>
      <c r="M57" s="8">
        <f t="shared" si="5"/>
        <v>156500</v>
      </c>
      <c r="N57" s="8">
        <f t="shared" si="6"/>
        <v>156500</v>
      </c>
      <c r="O57" s="8">
        <f t="shared" si="7"/>
        <v>156500</v>
      </c>
      <c r="P57" s="6">
        <f t="shared" si="8"/>
        <v>14438690</v>
      </c>
      <c r="Q57" s="8">
        <f t="shared" si="9"/>
        <v>14438690</v>
      </c>
      <c r="R57" s="8">
        <f t="shared" si="10"/>
        <v>14438690</v>
      </c>
      <c r="S57" s="8">
        <f t="shared" si="11"/>
        <v>14438690</v>
      </c>
      <c r="T57" s="115"/>
      <c r="U57" s="115"/>
    </row>
    <row r="58" spans="1:21" x14ac:dyDescent="0.25">
      <c r="A58" s="88">
        <v>1</v>
      </c>
      <c r="B58" s="88">
        <v>7</v>
      </c>
      <c r="C58" s="88">
        <v>56</v>
      </c>
      <c r="D58" s="1">
        <v>46.83</v>
      </c>
      <c r="E58" s="7">
        <f t="shared" si="0"/>
        <v>46.83</v>
      </c>
      <c r="F58" s="7">
        <f t="shared" si="1"/>
        <v>46.83</v>
      </c>
      <c r="G58" s="7">
        <f t="shared" si="2"/>
        <v>46.83</v>
      </c>
      <c r="H58" s="93">
        <v>1</v>
      </c>
      <c r="I58" s="1" t="s">
        <v>158</v>
      </c>
      <c r="J58" s="1">
        <f t="shared" si="13"/>
        <v>30000</v>
      </c>
      <c r="K58" s="1">
        <f t="shared" si="14"/>
        <v>10500</v>
      </c>
      <c r="L58" s="6">
        <f t="shared" si="12"/>
        <v>175500</v>
      </c>
      <c r="M58" s="8">
        <f t="shared" si="5"/>
        <v>175500</v>
      </c>
      <c r="N58" s="8">
        <f t="shared" si="6"/>
        <v>175500</v>
      </c>
      <c r="O58" s="8">
        <f t="shared" si="7"/>
        <v>175500</v>
      </c>
      <c r="P58" s="6">
        <f t="shared" si="8"/>
        <v>8218665</v>
      </c>
      <c r="Q58" s="8">
        <f t="shared" si="9"/>
        <v>8218665</v>
      </c>
      <c r="R58" s="8">
        <f t="shared" si="10"/>
        <v>8218665</v>
      </c>
      <c r="S58" s="8">
        <f t="shared" si="11"/>
        <v>8218665</v>
      </c>
      <c r="T58" s="115"/>
      <c r="U58" s="115"/>
    </row>
    <row r="59" spans="1:21" x14ac:dyDescent="0.25">
      <c r="A59" s="88">
        <v>1</v>
      </c>
      <c r="B59" s="88">
        <v>7</v>
      </c>
      <c r="C59" s="88">
        <v>57</v>
      </c>
      <c r="D59" s="1">
        <v>65.89</v>
      </c>
      <c r="E59" s="7">
        <f t="shared" si="0"/>
        <v>65.89</v>
      </c>
      <c r="F59" s="7">
        <f t="shared" si="1"/>
        <v>65.89</v>
      </c>
      <c r="G59" s="7">
        <f t="shared" si="2"/>
        <v>65.89</v>
      </c>
      <c r="H59" s="93">
        <v>2</v>
      </c>
      <c r="I59" s="1" t="s">
        <v>139</v>
      </c>
      <c r="J59" s="1">
        <f t="shared" si="13"/>
        <v>15000</v>
      </c>
      <c r="K59" s="1">
        <f t="shared" si="14"/>
        <v>10500</v>
      </c>
      <c r="L59" s="6">
        <f t="shared" si="12"/>
        <v>163500</v>
      </c>
      <c r="M59" s="8">
        <f t="shared" si="5"/>
        <v>163500</v>
      </c>
      <c r="N59" s="8">
        <f t="shared" si="6"/>
        <v>163500</v>
      </c>
      <c r="O59" s="8">
        <f t="shared" si="7"/>
        <v>163500</v>
      </c>
      <c r="P59" s="6">
        <f t="shared" si="8"/>
        <v>10773015</v>
      </c>
      <c r="Q59" s="8">
        <f t="shared" si="9"/>
        <v>10773015</v>
      </c>
      <c r="R59" s="8">
        <f t="shared" si="10"/>
        <v>10773015</v>
      </c>
      <c r="S59" s="8">
        <f t="shared" si="11"/>
        <v>10773015</v>
      </c>
      <c r="T59" s="115">
        <v>3000</v>
      </c>
      <c r="U59" s="115" t="s">
        <v>150</v>
      </c>
    </row>
    <row r="60" spans="1:21" x14ac:dyDescent="0.25">
      <c r="A60" s="88">
        <v>1</v>
      </c>
      <c r="B60" s="88">
        <v>7</v>
      </c>
      <c r="C60" s="88">
        <v>58</v>
      </c>
      <c r="D60" s="1">
        <v>43.05</v>
      </c>
      <c r="E60" s="7">
        <f t="shared" si="0"/>
        <v>43.05</v>
      </c>
      <c r="F60" s="7">
        <f t="shared" si="1"/>
        <v>43.05</v>
      </c>
      <c r="G60" s="7">
        <f t="shared" si="2"/>
        <v>43.05</v>
      </c>
      <c r="H60" s="93">
        <v>1</v>
      </c>
      <c r="I60" s="1" t="s">
        <v>157</v>
      </c>
      <c r="J60" s="1">
        <f t="shared" si="13"/>
        <v>34000</v>
      </c>
      <c r="K60" s="1">
        <f t="shared" si="14"/>
        <v>10500</v>
      </c>
      <c r="L60" s="6">
        <f t="shared" si="12"/>
        <v>182500</v>
      </c>
      <c r="M60" s="8">
        <f t="shared" si="5"/>
        <v>182500</v>
      </c>
      <c r="N60" s="8">
        <f t="shared" si="6"/>
        <v>182500</v>
      </c>
      <c r="O60" s="8">
        <f t="shared" si="7"/>
        <v>182500</v>
      </c>
      <c r="P60" s="6">
        <f t="shared" si="8"/>
        <v>7856624.9999999991</v>
      </c>
      <c r="Q60" s="8">
        <f t="shared" si="9"/>
        <v>7856624.9999999991</v>
      </c>
      <c r="R60" s="8">
        <f t="shared" si="10"/>
        <v>7856624.9999999991</v>
      </c>
      <c r="S60" s="8">
        <f t="shared" si="11"/>
        <v>7856624.9999999991</v>
      </c>
      <c r="T60" s="115">
        <v>3000</v>
      </c>
      <c r="U60" s="115" t="s">
        <v>150</v>
      </c>
    </row>
    <row r="61" spans="1:21" x14ac:dyDescent="0.25">
      <c r="A61" s="88">
        <v>1</v>
      </c>
      <c r="B61" s="88">
        <v>7</v>
      </c>
      <c r="C61" s="88">
        <v>59</v>
      </c>
      <c r="D61" s="1">
        <v>43.48</v>
      </c>
      <c r="E61" s="7">
        <f t="shared" si="0"/>
        <v>43.48</v>
      </c>
      <c r="F61" s="7">
        <f t="shared" si="1"/>
        <v>43.48</v>
      </c>
      <c r="G61" s="7">
        <f t="shared" si="2"/>
        <v>43.48</v>
      </c>
      <c r="H61" s="93">
        <v>1</v>
      </c>
      <c r="I61" s="1" t="s">
        <v>157</v>
      </c>
      <c r="J61" s="1">
        <f t="shared" si="13"/>
        <v>34000</v>
      </c>
      <c r="K61" s="1">
        <f t="shared" si="14"/>
        <v>10500</v>
      </c>
      <c r="L61" s="6">
        <f t="shared" si="12"/>
        <v>182500</v>
      </c>
      <c r="M61" s="8">
        <f t="shared" si="5"/>
        <v>182500</v>
      </c>
      <c r="N61" s="8">
        <f t="shared" si="6"/>
        <v>182500</v>
      </c>
      <c r="O61" s="8">
        <f t="shared" si="7"/>
        <v>182500</v>
      </c>
      <c r="P61" s="6">
        <f t="shared" si="8"/>
        <v>7935099.9999999991</v>
      </c>
      <c r="Q61" s="8">
        <f t="shared" si="9"/>
        <v>7935099.9999999991</v>
      </c>
      <c r="R61" s="8">
        <f t="shared" si="10"/>
        <v>7935099.9999999991</v>
      </c>
      <c r="S61" s="8">
        <f t="shared" si="11"/>
        <v>7935099.9999999991</v>
      </c>
      <c r="T61" s="115">
        <v>3000</v>
      </c>
      <c r="U61" s="115" t="s">
        <v>150</v>
      </c>
    </row>
    <row r="62" spans="1:21" x14ac:dyDescent="0.25">
      <c r="A62" s="88">
        <v>1</v>
      </c>
      <c r="B62" s="88">
        <v>7</v>
      </c>
      <c r="C62" s="88">
        <v>60</v>
      </c>
      <c r="D62" s="1">
        <v>42.53</v>
      </c>
      <c r="E62" s="7">
        <f t="shared" si="0"/>
        <v>42.53</v>
      </c>
      <c r="F62" s="7">
        <f t="shared" si="1"/>
        <v>42.53</v>
      </c>
      <c r="G62" s="7">
        <f t="shared" si="2"/>
        <v>42.53</v>
      </c>
      <c r="H62" s="93">
        <v>1</v>
      </c>
      <c r="I62" s="1" t="s">
        <v>157</v>
      </c>
      <c r="J62" s="1">
        <f t="shared" si="13"/>
        <v>34000</v>
      </c>
      <c r="K62" s="1">
        <f t="shared" si="14"/>
        <v>10500</v>
      </c>
      <c r="L62" s="6">
        <f t="shared" si="12"/>
        <v>182500</v>
      </c>
      <c r="M62" s="8">
        <f t="shared" si="5"/>
        <v>182500</v>
      </c>
      <c r="N62" s="8">
        <f t="shared" si="6"/>
        <v>182500</v>
      </c>
      <c r="O62" s="8">
        <f t="shared" si="7"/>
        <v>182500</v>
      </c>
      <c r="P62" s="6">
        <f t="shared" si="8"/>
        <v>7761725</v>
      </c>
      <c r="Q62" s="8">
        <f t="shared" si="9"/>
        <v>7761725</v>
      </c>
      <c r="R62" s="8">
        <f t="shared" si="10"/>
        <v>7761725</v>
      </c>
      <c r="S62" s="8">
        <f t="shared" si="11"/>
        <v>7761725</v>
      </c>
      <c r="T62" s="115">
        <v>3000</v>
      </c>
      <c r="U62" s="115" t="s">
        <v>178</v>
      </c>
    </row>
    <row r="63" spans="1:21" x14ac:dyDescent="0.25">
      <c r="A63" s="88">
        <v>1</v>
      </c>
      <c r="B63" s="88">
        <v>7</v>
      </c>
      <c r="C63" s="88">
        <v>61</v>
      </c>
      <c r="D63" s="1">
        <v>62.57</v>
      </c>
      <c r="E63" s="7">
        <f t="shared" si="0"/>
        <v>62.57</v>
      </c>
      <c r="F63" s="7">
        <f t="shared" si="1"/>
        <v>62.57</v>
      </c>
      <c r="G63" s="7">
        <f t="shared" si="2"/>
        <v>62.57</v>
      </c>
      <c r="H63" s="93">
        <v>2</v>
      </c>
      <c r="I63" s="1" t="s">
        <v>156</v>
      </c>
      <c r="J63" s="1">
        <f t="shared" si="13"/>
        <v>15000</v>
      </c>
      <c r="K63" s="1">
        <f t="shared" si="14"/>
        <v>10500</v>
      </c>
      <c r="L63" s="6">
        <f t="shared" si="12"/>
        <v>160500</v>
      </c>
      <c r="M63" s="8">
        <f t="shared" si="5"/>
        <v>160500</v>
      </c>
      <c r="N63" s="8">
        <f t="shared" si="6"/>
        <v>160500</v>
      </c>
      <c r="O63" s="8">
        <f t="shared" si="7"/>
        <v>160500</v>
      </c>
      <c r="P63" s="6">
        <f t="shared" si="8"/>
        <v>10042485</v>
      </c>
      <c r="Q63" s="8">
        <f t="shared" si="9"/>
        <v>10042485</v>
      </c>
      <c r="R63" s="8">
        <f t="shared" si="10"/>
        <v>10042485</v>
      </c>
      <c r="S63" s="8">
        <f t="shared" si="11"/>
        <v>10042485</v>
      </c>
      <c r="T63" s="115"/>
      <c r="U63" s="115"/>
    </row>
    <row r="64" spans="1:21" x14ac:dyDescent="0.25">
      <c r="A64" s="88">
        <v>1</v>
      </c>
      <c r="B64" s="88">
        <v>7</v>
      </c>
      <c r="C64" s="88">
        <v>62</v>
      </c>
      <c r="D64" s="1">
        <v>91.08</v>
      </c>
      <c r="E64" s="7">
        <f t="shared" si="0"/>
        <v>91.08</v>
      </c>
      <c r="F64" s="7">
        <f t="shared" si="1"/>
        <v>91.08</v>
      </c>
      <c r="G64" s="7">
        <f t="shared" si="2"/>
        <v>91.08</v>
      </c>
      <c r="H64" s="93">
        <v>3</v>
      </c>
      <c r="I64" s="1" t="s">
        <v>155</v>
      </c>
      <c r="J64" s="1">
        <f t="shared" si="13"/>
        <v>11000</v>
      </c>
      <c r="K64" s="1">
        <f t="shared" si="14"/>
        <v>10500</v>
      </c>
      <c r="L64" s="6">
        <f t="shared" si="12"/>
        <v>156500</v>
      </c>
      <c r="M64" s="8">
        <f t="shared" si="5"/>
        <v>156500</v>
      </c>
      <c r="N64" s="8">
        <f t="shared" si="6"/>
        <v>156500</v>
      </c>
      <c r="O64" s="8">
        <f t="shared" si="7"/>
        <v>156500</v>
      </c>
      <c r="P64" s="6">
        <f t="shared" si="8"/>
        <v>14254020</v>
      </c>
      <c r="Q64" s="8">
        <f t="shared" si="9"/>
        <v>14254020</v>
      </c>
      <c r="R64" s="8">
        <f t="shared" si="10"/>
        <v>14254020</v>
      </c>
      <c r="S64" s="8">
        <f t="shared" si="11"/>
        <v>14254020</v>
      </c>
      <c r="T64" s="115"/>
      <c r="U64" s="115"/>
    </row>
    <row r="65" spans="1:21" x14ac:dyDescent="0.25">
      <c r="A65" s="88">
        <v>1</v>
      </c>
      <c r="B65" s="88">
        <v>8</v>
      </c>
      <c r="C65" s="88">
        <v>63</v>
      </c>
      <c r="D65" s="1">
        <v>92.08</v>
      </c>
      <c r="E65" s="7">
        <f t="shared" si="0"/>
        <v>92.08</v>
      </c>
      <c r="F65" s="7">
        <f t="shared" si="1"/>
        <v>92.08</v>
      </c>
      <c r="G65" s="7">
        <f t="shared" si="2"/>
        <v>92.08</v>
      </c>
      <c r="H65" s="93">
        <v>3</v>
      </c>
      <c r="I65" s="1" t="s">
        <v>162</v>
      </c>
      <c r="J65" s="1">
        <f t="shared" si="13"/>
        <v>11000</v>
      </c>
      <c r="K65" s="1">
        <f t="shared" si="14"/>
        <v>12000</v>
      </c>
      <c r="L65" s="6">
        <f t="shared" si="12"/>
        <v>158000</v>
      </c>
      <c r="M65" s="8">
        <f t="shared" si="5"/>
        <v>158000</v>
      </c>
      <c r="N65" s="8">
        <f t="shared" si="6"/>
        <v>158000</v>
      </c>
      <c r="O65" s="8">
        <f t="shared" si="7"/>
        <v>158000</v>
      </c>
      <c r="P65" s="6">
        <f t="shared" si="8"/>
        <v>14548640</v>
      </c>
      <c r="Q65" s="8">
        <f t="shared" si="9"/>
        <v>14548640</v>
      </c>
      <c r="R65" s="8">
        <f t="shared" si="10"/>
        <v>14548640</v>
      </c>
      <c r="S65" s="8">
        <f t="shared" si="11"/>
        <v>14548640</v>
      </c>
      <c r="T65" s="115"/>
      <c r="U65" s="115"/>
    </row>
    <row r="66" spans="1:21" x14ac:dyDescent="0.25">
      <c r="A66" s="88">
        <v>1</v>
      </c>
      <c r="B66" s="88">
        <v>8</v>
      </c>
      <c r="C66" s="88">
        <v>64</v>
      </c>
      <c r="D66" s="1">
        <v>46.83</v>
      </c>
      <c r="E66" s="7">
        <f t="shared" si="0"/>
        <v>46.83</v>
      </c>
      <c r="F66" s="7">
        <f t="shared" si="1"/>
        <v>46.83</v>
      </c>
      <c r="G66" s="7">
        <f t="shared" si="2"/>
        <v>46.83</v>
      </c>
      <c r="H66" s="93">
        <v>1</v>
      </c>
      <c r="I66" s="1" t="s">
        <v>158</v>
      </c>
      <c r="J66" s="1">
        <f t="shared" si="13"/>
        <v>30000</v>
      </c>
      <c r="K66" s="1">
        <f t="shared" si="14"/>
        <v>12000</v>
      </c>
      <c r="L66" s="6">
        <f t="shared" si="12"/>
        <v>177000</v>
      </c>
      <c r="M66" s="8">
        <f t="shared" si="5"/>
        <v>177000</v>
      </c>
      <c r="N66" s="8">
        <f t="shared" si="6"/>
        <v>177000</v>
      </c>
      <c r="O66" s="8">
        <f t="shared" si="7"/>
        <v>177000</v>
      </c>
      <c r="P66" s="6">
        <f t="shared" si="8"/>
        <v>8288910</v>
      </c>
      <c r="Q66" s="8">
        <f t="shared" si="9"/>
        <v>8288910</v>
      </c>
      <c r="R66" s="8">
        <f t="shared" si="10"/>
        <v>8288910</v>
      </c>
      <c r="S66" s="8">
        <f t="shared" si="11"/>
        <v>8288910</v>
      </c>
      <c r="T66" s="115"/>
      <c r="U66" s="115"/>
    </row>
    <row r="67" spans="1:21" x14ac:dyDescent="0.25">
      <c r="A67" s="88">
        <v>1</v>
      </c>
      <c r="B67" s="88">
        <v>8</v>
      </c>
      <c r="C67" s="88">
        <v>65</v>
      </c>
      <c r="D67" s="1">
        <v>65.89</v>
      </c>
      <c r="E67" s="7">
        <f t="shared" ref="E67:E72" si="15">D67</f>
        <v>65.89</v>
      </c>
      <c r="F67" s="7">
        <f t="shared" ref="F67:F72" si="16">D67</f>
        <v>65.89</v>
      </c>
      <c r="G67" s="7">
        <f t="shared" ref="G67:G72" si="17">D67</f>
        <v>65.89</v>
      </c>
      <c r="H67" s="93">
        <v>2</v>
      </c>
      <c r="I67" s="1" t="s">
        <v>139</v>
      </c>
      <c r="J67" s="1">
        <f t="shared" ref="J67:J80" si="18">VLOOKUP(I:I,Y:Z,2,0)</f>
        <v>15000</v>
      </c>
      <c r="K67" s="1">
        <f t="shared" ref="K67:K80" si="19">VLOOKUP(B:B,W:X,2,0)</f>
        <v>12000</v>
      </c>
      <c r="L67" s="6">
        <f t="shared" si="12"/>
        <v>165000</v>
      </c>
      <c r="M67" s="8">
        <f t="shared" ref="M67:M72" si="20">L67</f>
        <v>165000</v>
      </c>
      <c r="N67" s="8">
        <f t="shared" ref="N67:N72" si="21">L67</f>
        <v>165000</v>
      </c>
      <c r="O67" s="8">
        <f t="shared" ref="O67:O72" si="22">L67</f>
        <v>165000</v>
      </c>
      <c r="P67" s="6">
        <f t="shared" ref="P67:P72" si="23">L67*D67</f>
        <v>10871850</v>
      </c>
      <c r="Q67" s="8">
        <f t="shared" ref="Q67:Q72" si="24">P67</f>
        <v>10871850</v>
      </c>
      <c r="R67" s="8">
        <f t="shared" ref="R67:R72" si="25">P67</f>
        <v>10871850</v>
      </c>
      <c r="S67" s="8">
        <f t="shared" ref="S67:S72" si="26">P67</f>
        <v>10871850</v>
      </c>
      <c r="T67" s="115">
        <v>3000</v>
      </c>
      <c r="U67" s="115" t="s">
        <v>150</v>
      </c>
    </row>
    <row r="68" spans="1:21" x14ac:dyDescent="0.25">
      <c r="A68" s="88">
        <v>1</v>
      </c>
      <c r="B68" s="88">
        <v>8</v>
      </c>
      <c r="C68" s="88">
        <v>66</v>
      </c>
      <c r="D68" s="1">
        <v>43.05</v>
      </c>
      <c r="E68" s="7">
        <f t="shared" si="15"/>
        <v>43.05</v>
      </c>
      <c r="F68" s="7">
        <f t="shared" si="16"/>
        <v>43.05</v>
      </c>
      <c r="G68" s="7">
        <f t="shared" si="17"/>
        <v>43.05</v>
      </c>
      <c r="H68" s="93">
        <v>1</v>
      </c>
      <c r="I68" s="1" t="s">
        <v>157</v>
      </c>
      <c r="J68" s="1">
        <f t="shared" si="18"/>
        <v>34000</v>
      </c>
      <c r="K68" s="1">
        <f t="shared" si="19"/>
        <v>12000</v>
      </c>
      <c r="L68" s="6">
        <f t="shared" ref="L68:L80" si="27">K68+J68+$AC$1+T68</f>
        <v>185000</v>
      </c>
      <c r="M68" s="8">
        <f t="shared" si="20"/>
        <v>185000</v>
      </c>
      <c r="N68" s="8">
        <f t="shared" si="21"/>
        <v>185000</v>
      </c>
      <c r="O68" s="8">
        <f t="shared" si="22"/>
        <v>185000</v>
      </c>
      <c r="P68" s="6">
        <f t="shared" si="23"/>
        <v>7964249.9999999991</v>
      </c>
      <c r="Q68" s="8">
        <f t="shared" si="24"/>
        <v>7964249.9999999991</v>
      </c>
      <c r="R68" s="8">
        <f t="shared" si="25"/>
        <v>7964249.9999999991</v>
      </c>
      <c r="S68" s="8">
        <f t="shared" si="26"/>
        <v>7964249.9999999991</v>
      </c>
      <c r="T68" s="115">
        <v>4000</v>
      </c>
      <c r="U68" s="115" t="s">
        <v>150</v>
      </c>
    </row>
    <row r="69" spans="1:21" x14ac:dyDescent="0.25">
      <c r="A69" s="88">
        <v>1</v>
      </c>
      <c r="B69" s="88">
        <v>8</v>
      </c>
      <c r="C69" s="88">
        <v>67</v>
      </c>
      <c r="D69" s="1">
        <v>43.48</v>
      </c>
      <c r="E69" s="7">
        <f t="shared" si="15"/>
        <v>43.48</v>
      </c>
      <c r="F69" s="7">
        <f t="shared" si="16"/>
        <v>43.48</v>
      </c>
      <c r="G69" s="7">
        <f t="shared" si="17"/>
        <v>43.48</v>
      </c>
      <c r="H69" s="93">
        <v>1</v>
      </c>
      <c r="I69" s="1" t="s">
        <v>157</v>
      </c>
      <c r="J69" s="1">
        <f t="shared" si="18"/>
        <v>34000</v>
      </c>
      <c r="K69" s="1">
        <f t="shared" si="19"/>
        <v>12000</v>
      </c>
      <c r="L69" s="6">
        <f t="shared" si="27"/>
        <v>184000</v>
      </c>
      <c r="M69" s="8">
        <f t="shared" si="20"/>
        <v>184000</v>
      </c>
      <c r="N69" s="8">
        <f t="shared" si="21"/>
        <v>184000</v>
      </c>
      <c r="O69" s="8">
        <f t="shared" si="22"/>
        <v>184000</v>
      </c>
      <c r="P69" s="6">
        <f t="shared" si="23"/>
        <v>8000319.9999999991</v>
      </c>
      <c r="Q69" s="8">
        <f t="shared" si="24"/>
        <v>8000319.9999999991</v>
      </c>
      <c r="R69" s="8">
        <f t="shared" si="25"/>
        <v>8000319.9999999991</v>
      </c>
      <c r="S69" s="8">
        <f t="shared" si="26"/>
        <v>8000319.9999999991</v>
      </c>
      <c r="T69" s="115">
        <v>3000</v>
      </c>
      <c r="U69" s="115" t="s">
        <v>150</v>
      </c>
    </row>
    <row r="70" spans="1:21" x14ac:dyDescent="0.25">
      <c r="A70" s="88">
        <v>1</v>
      </c>
      <c r="B70" s="88">
        <v>8</v>
      </c>
      <c r="C70" s="88">
        <v>68</v>
      </c>
      <c r="D70" s="1">
        <v>42.53</v>
      </c>
      <c r="E70" s="7">
        <f t="shared" si="15"/>
        <v>42.53</v>
      </c>
      <c r="F70" s="7">
        <f t="shared" si="16"/>
        <v>42.53</v>
      </c>
      <c r="G70" s="7">
        <f t="shared" si="17"/>
        <v>42.53</v>
      </c>
      <c r="H70" s="93">
        <v>1</v>
      </c>
      <c r="I70" s="1" t="s">
        <v>157</v>
      </c>
      <c r="J70" s="1">
        <f t="shared" si="18"/>
        <v>34000</v>
      </c>
      <c r="K70" s="1">
        <f t="shared" si="19"/>
        <v>12000</v>
      </c>
      <c r="L70" s="6">
        <f t="shared" si="27"/>
        <v>184000</v>
      </c>
      <c r="M70" s="8">
        <f t="shared" si="20"/>
        <v>184000</v>
      </c>
      <c r="N70" s="8">
        <f t="shared" si="21"/>
        <v>184000</v>
      </c>
      <c r="O70" s="8">
        <f t="shared" si="22"/>
        <v>184000</v>
      </c>
      <c r="P70" s="6">
        <f t="shared" si="23"/>
        <v>7825520</v>
      </c>
      <c r="Q70" s="8">
        <f t="shared" si="24"/>
        <v>7825520</v>
      </c>
      <c r="R70" s="8">
        <f t="shared" si="25"/>
        <v>7825520</v>
      </c>
      <c r="S70" s="8">
        <f t="shared" si="26"/>
        <v>7825520</v>
      </c>
      <c r="T70" s="115">
        <v>3000</v>
      </c>
      <c r="U70" s="115" t="s">
        <v>178</v>
      </c>
    </row>
    <row r="71" spans="1:21" x14ac:dyDescent="0.25">
      <c r="A71" s="88">
        <v>1</v>
      </c>
      <c r="B71" s="88">
        <v>8</v>
      </c>
      <c r="C71" s="88">
        <v>69</v>
      </c>
      <c r="D71" s="1">
        <v>62.62</v>
      </c>
      <c r="E71" s="7">
        <f t="shared" si="15"/>
        <v>62.62</v>
      </c>
      <c r="F71" s="7">
        <f t="shared" si="16"/>
        <v>62.62</v>
      </c>
      <c r="G71" s="7">
        <f t="shared" si="17"/>
        <v>62.62</v>
      </c>
      <c r="H71" s="93">
        <v>2</v>
      </c>
      <c r="I71" s="1" t="s">
        <v>156</v>
      </c>
      <c r="J71" s="1">
        <f t="shared" si="18"/>
        <v>15000</v>
      </c>
      <c r="K71" s="1">
        <f t="shared" si="19"/>
        <v>12000</v>
      </c>
      <c r="L71" s="6">
        <f t="shared" si="27"/>
        <v>162000</v>
      </c>
      <c r="M71" s="8">
        <f t="shared" si="20"/>
        <v>162000</v>
      </c>
      <c r="N71" s="8">
        <f t="shared" si="21"/>
        <v>162000</v>
      </c>
      <c r="O71" s="8">
        <f t="shared" si="22"/>
        <v>162000</v>
      </c>
      <c r="P71" s="6">
        <f t="shared" si="23"/>
        <v>10144440</v>
      </c>
      <c r="Q71" s="8">
        <f t="shared" si="24"/>
        <v>10144440</v>
      </c>
      <c r="R71" s="8">
        <f t="shared" si="25"/>
        <v>10144440</v>
      </c>
      <c r="S71" s="8">
        <f t="shared" si="26"/>
        <v>10144440</v>
      </c>
      <c r="T71" s="115"/>
      <c r="U71" s="115"/>
    </row>
    <row r="72" spans="1:21" x14ac:dyDescent="0.25">
      <c r="A72" s="88">
        <v>1</v>
      </c>
      <c r="B72" s="88">
        <v>8</v>
      </c>
      <c r="C72" s="88">
        <v>70</v>
      </c>
      <c r="D72" s="1">
        <v>91.03</v>
      </c>
      <c r="E72" s="7">
        <f t="shared" si="15"/>
        <v>91.03</v>
      </c>
      <c r="F72" s="7">
        <f t="shared" si="16"/>
        <v>91.03</v>
      </c>
      <c r="G72" s="7">
        <f t="shared" si="17"/>
        <v>91.03</v>
      </c>
      <c r="H72" s="93">
        <v>3</v>
      </c>
      <c r="I72" s="1" t="s">
        <v>155</v>
      </c>
      <c r="J72" s="1">
        <f t="shared" si="18"/>
        <v>11000</v>
      </c>
      <c r="K72" s="1">
        <f t="shared" si="19"/>
        <v>12000</v>
      </c>
      <c r="L72" s="6">
        <f t="shared" si="27"/>
        <v>158000</v>
      </c>
      <c r="M72" s="8">
        <f t="shared" si="20"/>
        <v>158000</v>
      </c>
      <c r="N72" s="8">
        <f t="shared" si="21"/>
        <v>158000</v>
      </c>
      <c r="O72" s="8">
        <f t="shared" si="22"/>
        <v>158000</v>
      </c>
      <c r="P72" s="6">
        <f t="shared" si="23"/>
        <v>14382740</v>
      </c>
      <c r="Q72" s="8">
        <f t="shared" si="24"/>
        <v>14382740</v>
      </c>
      <c r="R72" s="8">
        <f t="shared" si="25"/>
        <v>14382740</v>
      </c>
      <c r="S72" s="8">
        <f t="shared" si="26"/>
        <v>14382740</v>
      </c>
      <c r="T72" s="115"/>
      <c r="U72" s="115"/>
    </row>
    <row r="73" spans="1:21" x14ac:dyDescent="0.25">
      <c r="A73" s="88">
        <v>1</v>
      </c>
      <c r="B73" s="1">
        <v>9</v>
      </c>
      <c r="C73" s="1">
        <v>71</v>
      </c>
      <c r="D73" s="1">
        <v>90.95</v>
      </c>
      <c r="E73" s="7">
        <f t="shared" ref="E73:E77" si="28">D73</f>
        <v>90.95</v>
      </c>
      <c r="F73" s="7">
        <f t="shared" ref="F73:F77" si="29">D73</f>
        <v>90.95</v>
      </c>
      <c r="G73" s="7">
        <f t="shared" ref="G73:G77" si="30">D73</f>
        <v>90.95</v>
      </c>
      <c r="H73" s="109">
        <v>3</v>
      </c>
      <c r="I73" s="1" t="s">
        <v>162</v>
      </c>
      <c r="J73" s="1">
        <f t="shared" si="18"/>
        <v>11000</v>
      </c>
      <c r="K73" s="1">
        <f t="shared" si="19"/>
        <v>13500</v>
      </c>
      <c r="L73" s="6">
        <f t="shared" si="27"/>
        <v>159500</v>
      </c>
      <c r="M73" s="8">
        <f t="shared" ref="M73:M77" si="31">L73</f>
        <v>159500</v>
      </c>
      <c r="N73" s="8">
        <f t="shared" ref="N73:N77" si="32">L73</f>
        <v>159500</v>
      </c>
      <c r="O73" s="8">
        <f t="shared" ref="O73:O77" si="33">L73</f>
        <v>159500</v>
      </c>
      <c r="P73" s="6">
        <f t="shared" ref="P73:P76" si="34">L73*D73</f>
        <v>14506525</v>
      </c>
      <c r="Q73" s="8">
        <f t="shared" ref="Q73:Q76" si="35">P73</f>
        <v>14506525</v>
      </c>
      <c r="R73" s="8">
        <f t="shared" ref="R73:R76" si="36">P73</f>
        <v>14506525</v>
      </c>
      <c r="S73" s="8">
        <f t="shared" ref="S73:S76" si="37">P73</f>
        <v>14506525</v>
      </c>
      <c r="T73" s="115"/>
      <c r="U73" s="115"/>
    </row>
    <row r="74" spans="1:21" x14ac:dyDescent="0.25">
      <c r="A74" s="88">
        <v>1</v>
      </c>
      <c r="B74" s="1">
        <v>9</v>
      </c>
      <c r="C74" s="1">
        <v>72</v>
      </c>
      <c r="D74" s="1">
        <v>46.83</v>
      </c>
      <c r="E74" s="7">
        <f t="shared" si="28"/>
        <v>46.83</v>
      </c>
      <c r="F74" s="7">
        <f t="shared" si="29"/>
        <v>46.83</v>
      </c>
      <c r="G74" s="7">
        <f t="shared" si="30"/>
        <v>46.83</v>
      </c>
      <c r="H74" s="109">
        <v>1</v>
      </c>
      <c r="I74" s="1" t="s">
        <v>158</v>
      </c>
      <c r="J74" s="1">
        <f t="shared" si="18"/>
        <v>30000</v>
      </c>
      <c r="K74" s="1">
        <f t="shared" si="19"/>
        <v>13500</v>
      </c>
      <c r="L74" s="6">
        <f t="shared" si="27"/>
        <v>178500</v>
      </c>
      <c r="M74" s="8">
        <f t="shared" si="31"/>
        <v>178500</v>
      </c>
      <c r="N74" s="8">
        <f t="shared" si="32"/>
        <v>178500</v>
      </c>
      <c r="O74" s="8">
        <f t="shared" si="33"/>
        <v>178500</v>
      </c>
      <c r="P74" s="6">
        <f t="shared" si="34"/>
        <v>8359155</v>
      </c>
      <c r="Q74" s="8">
        <f t="shared" si="35"/>
        <v>8359155</v>
      </c>
      <c r="R74" s="8">
        <f t="shared" si="36"/>
        <v>8359155</v>
      </c>
      <c r="S74" s="8">
        <f t="shared" si="37"/>
        <v>8359155</v>
      </c>
      <c r="T74" s="115"/>
      <c r="U74" s="115"/>
    </row>
    <row r="75" spans="1:21" x14ac:dyDescent="0.25">
      <c r="A75" s="88">
        <v>1</v>
      </c>
      <c r="B75" s="1">
        <v>9</v>
      </c>
      <c r="C75" s="1">
        <v>73</v>
      </c>
      <c r="D75" s="1">
        <v>65.27</v>
      </c>
      <c r="E75" s="7">
        <f t="shared" si="28"/>
        <v>65.27</v>
      </c>
      <c r="F75" s="7">
        <f t="shared" si="29"/>
        <v>65.27</v>
      </c>
      <c r="G75" s="7">
        <f t="shared" si="30"/>
        <v>65.27</v>
      </c>
      <c r="H75" s="109">
        <v>2</v>
      </c>
      <c r="I75" s="1" t="s">
        <v>139</v>
      </c>
      <c r="J75" s="1">
        <f t="shared" si="18"/>
        <v>15000</v>
      </c>
      <c r="K75" s="1">
        <f t="shared" si="19"/>
        <v>13500</v>
      </c>
      <c r="L75" s="6">
        <f t="shared" si="27"/>
        <v>163500</v>
      </c>
      <c r="M75" s="8">
        <f t="shared" si="31"/>
        <v>163500</v>
      </c>
      <c r="N75" s="8">
        <f t="shared" si="32"/>
        <v>163500</v>
      </c>
      <c r="O75" s="8">
        <f t="shared" si="33"/>
        <v>163500</v>
      </c>
      <c r="P75" s="6">
        <f t="shared" si="34"/>
        <v>10671645</v>
      </c>
      <c r="Q75" s="8">
        <f t="shared" si="35"/>
        <v>10671645</v>
      </c>
      <c r="R75" s="8">
        <f t="shared" si="36"/>
        <v>10671645</v>
      </c>
      <c r="S75" s="8">
        <f t="shared" si="37"/>
        <v>10671645</v>
      </c>
      <c r="T75" s="115"/>
      <c r="U75" s="115"/>
    </row>
    <row r="76" spans="1:21" x14ac:dyDescent="0.25">
      <c r="A76" s="88">
        <v>1</v>
      </c>
      <c r="B76" s="1">
        <v>9</v>
      </c>
      <c r="C76" s="1">
        <v>74</v>
      </c>
      <c r="D76" s="1">
        <v>42.43</v>
      </c>
      <c r="E76" s="7">
        <f t="shared" si="28"/>
        <v>42.43</v>
      </c>
      <c r="F76" s="7">
        <f t="shared" si="29"/>
        <v>42.43</v>
      </c>
      <c r="G76" s="7">
        <f t="shared" si="30"/>
        <v>42.43</v>
      </c>
      <c r="H76" s="109">
        <v>1</v>
      </c>
      <c r="I76" s="1" t="s">
        <v>157</v>
      </c>
      <c r="J76" s="1">
        <f t="shared" si="18"/>
        <v>34000</v>
      </c>
      <c r="K76" s="1">
        <f t="shared" si="19"/>
        <v>13500</v>
      </c>
      <c r="L76" s="6">
        <f t="shared" si="27"/>
        <v>185500</v>
      </c>
      <c r="M76" s="8">
        <f t="shared" si="31"/>
        <v>185500</v>
      </c>
      <c r="N76" s="8">
        <f t="shared" si="32"/>
        <v>185500</v>
      </c>
      <c r="O76" s="8">
        <f t="shared" si="33"/>
        <v>185500</v>
      </c>
      <c r="P76" s="6">
        <f t="shared" si="34"/>
        <v>7870765</v>
      </c>
      <c r="Q76" s="8">
        <f t="shared" si="35"/>
        <v>7870765</v>
      </c>
      <c r="R76" s="8">
        <f t="shared" si="36"/>
        <v>7870765</v>
      </c>
      <c r="S76" s="8">
        <f t="shared" si="37"/>
        <v>7870765</v>
      </c>
      <c r="T76" s="115">
        <v>3000</v>
      </c>
      <c r="U76" s="115" t="s">
        <v>178</v>
      </c>
    </row>
    <row r="77" spans="1:21" x14ac:dyDescent="0.25">
      <c r="A77" s="88">
        <v>1</v>
      </c>
      <c r="B77" s="1">
        <v>9</v>
      </c>
      <c r="C77" s="1">
        <v>75</v>
      </c>
      <c r="D77" s="1">
        <v>42.86</v>
      </c>
      <c r="E77" s="7">
        <f t="shared" si="28"/>
        <v>42.86</v>
      </c>
      <c r="F77" s="7">
        <f t="shared" si="29"/>
        <v>42.86</v>
      </c>
      <c r="G77" s="7">
        <f t="shared" si="30"/>
        <v>42.86</v>
      </c>
      <c r="H77" s="109">
        <v>1</v>
      </c>
      <c r="I77" s="1" t="s">
        <v>157</v>
      </c>
      <c r="J77" s="1">
        <f t="shared" si="18"/>
        <v>34000</v>
      </c>
      <c r="K77" s="1">
        <f t="shared" si="19"/>
        <v>13500</v>
      </c>
      <c r="L77" s="6">
        <f t="shared" si="27"/>
        <v>185500</v>
      </c>
      <c r="M77" s="8">
        <f t="shared" si="31"/>
        <v>185500</v>
      </c>
      <c r="N77" s="8">
        <f t="shared" si="32"/>
        <v>185500</v>
      </c>
      <c r="O77" s="8">
        <f t="shared" si="33"/>
        <v>185500</v>
      </c>
      <c r="P77" s="6">
        <f>L77*D77</f>
        <v>7950530</v>
      </c>
      <c r="Q77" s="8">
        <f>P77</f>
        <v>7950530</v>
      </c>
      <c r="R77" s="8">
        <f>P77</f>
        <v>7950530</v>
      </c>
      <c r="S77" s="8">
        <f>P77</f>
        <v>7950530</v>
      </c>
      <c r="T77" s="115">
        <v>3000</v>
      </c>
      <c r="U77" s="115" t="s">
        <v>178</v>
      </c>
    </row>
    <row r="78" spans="1:21" x14ac:dyDescent="0.25">
      <c r="A78" s="88">
        <v>1</v>
      </c>
      <c r="B78" s="1">
        <v>9</v>
      </c>
      <c r="C78" s="1">
        <v>76</v>
      </c>
      <c r="D78" s="1">
        <v>42.53</v>
      </c>
      <c r="E78" s="7">
        <f t="shared" ref="E78:E80" si="38">D78</f>
        <v>42.53</v>
      </c>
      <c r="F78" s="7">
        <f t="shared" ref="F78:F80" si="39">D78</f>
        <v>42.53</v>
      </c>
      <c r="G78" s="7">
        <f t="shared" ref="G78:G80" si="40">D78</f>
        <v>42.53</v>
      </c>
      <c r="H78" s="109">
        <v>1</v>
      </c>
      <c r="I78" s="1" t="s">
        <v>157</v>
      </c>
      <c r="J78" s="1">
        <f t="shared" si="18"/>
        <v>34000</v>
      </c>
      <c r="K78" s="1">
        <f t="shared" si="19"/>
        <v>13500</v>
      </c>
      <c r="L78" s="6">
        <f t="shared" si="27"/>
        <v>185500</v>
      </c>
      <c r="M78" s="8">
        <f t="shared" ref="M78:M80" si="41">L78</f>
        <v>185500</v>
      </c>
      <c r="N78" s="8">
        <f t="shared" ref="N78:N80" si="42">L78</f>
        <v>185500</v>
      </c>
      <c r="O78" s="8">
        <f t="shared" ref="O78:O80" si="43">L78</f>
        <v>185500</v>
      </c>
      <c r="P78" s="6">
        <f t="shared" ref="P78:P80" si="44">L78*D78</f>
        <v>7889315</v>
      </c>
      <c r="Q78" s="8">
        <f t="shared" ref="Q78:Q80" si="45">P78</f>
        <v>7889315</v>
      </c>
      <c r="R78" s="8">
        <f t="shared" ref="R78:R80" si="46">P78</f>
        <v>7889315</v>
      </c>
      <c r="S78" s="8">
        <f t="shared" ref="S78:S80" si="47">P78</f>
        <v>7889315</v>
      </c>
      <c r="T78" s="115">
        <v>3000</v>
      </c>
      <c r="U78" s="115" t="s">
        <v>178</v>
      </c>
    </row>
    <row r="79" spans="1:21" x14ac:dyDescent="0.25">
      <c r="A79" s="88">
        <v>1</v>
      </c>
      <c r="B79" s="1">
        <v>9</v>
      </c>
      <c r="C79" s="1">
        <v>77</v>
      </c>
      <c r="D79" s="1">
        <v>62.2</v>
      </c>
      <c r="E79" s="7">
        <f t="shared" si="38"/>
        <v>62.2</v>
      </c>
      <c r="F79" s="7">
        <f t="shared" si="39"/>
        <v>62.2</v>
      </c>
      <c r="G79" s="7">
        <f t="shared" si="40"/>
        <v>62.2</v>
      </c>
      <c r="H79" s="109">
        <v>2</v>
      </c>
      <c r="I79" s="1" t="s">
        <v>156</v>
      </c>
      <c r="J79" s="1">
        <f t="shared" si="18"/>
        <v>15000</v>
      </c>
      <c r="K79" s="1">
        <f t="shared" si="19"/>
        <v>13500</v>
      </c>
      <c r="L79" s="6">
        <f t="shared" si="27"/>
        <v>163500</v>
      </c>
      <c r="M79" s="8">
        <f t="shared" si="41"/>
        <v>163500</v>
      </c>
      <c r="N79" s="8">
        <f t="shared" si="42"/>
        <v>163500</v>
      </c>
      <c r="O79" s="8">
        <f t="shared" si="43"/>
        <v>163500</v>
      </c>
      <c r="P79" s="6">
        <f t="shared" si="44"/>
        <v>10169700</v>
      </c>
      <c r="Q79" s="8">
        <f t="shared" si="45"/>
        <v>10169700</v>
      </c>
      <c r="R79" s="8">
        <f t="shared" si="46"/>
        <v>10169700</v>
      </c>
      <c r="S79" s="8">
        <f t="shared" si="47"/>
        <v>10169700</v>
      </c>
      <c r="T79" s="115"/>
      <c r="U79" s="115"/>
    </row>
    <row r="80" spans="1:21" x14ac:dyDescent="0.25">
      <c r="A80" s="111">
        <v>1</v>
      </c>
      <c r="B80" s="1">
        <v>9</v>
      </c>
      <c r="C80" s="116">
        <v>78</v>
      </c>
      <c r="D80" s="1">
        <v>91.03</v>
      </c>
      <c r="E80" s="7">
        <f t="shared" si="38"/>
        <v>91.03</v>
      </c>
      <c r="F80" s="7">
        <f t="shared" si="39"/>
        <v>91.03</v>
      </c>
      <c r="G80" s="7">
        <f t="shared" si="40"/>
        <v>91.03</v>
      </c>
      <c r="H80" s="109">
        <v>3</v>
      </c>
      <c r="I80" s="1" t="s">
        <v>155</v>
      </c>
      <c r="J80" s="1">
        <f t="shared" si="18"/>
        <v>11000</v>
      </c>
      <c r="K80" s="1">
        <f t="shared" si="19"/>
        <v>13500</v>
      </c>
      <c r="L80" s="6">
        <f t="shared" si="27"/>
        <v>159500</v>
      </c>
      <c r="M80" s="8">
        <f t="shared" si="41"/>
        <v>159500</v>
      </c>
      <c r="N80" s="8">
        <f t="shared" si="42"/>
        <v>159500</v>
      </c>
      <c r="O80" s="8">
        <f t="shared" si="43"/>
        <v>159500</v>
      </c>
      <c r="P80" s="6">
        <f t="shared" si="44"/>
        <v>14519285</v>
      </c>
      <c r="Q80" s="8">
        <f t="shared" si="45"/>
        <v>14519285</v>
      </c>
      <c r="R80" s="8">
        <f t="shared" si="46"/>
        <v>14519285</v>
      </c>
      <c r="S80" s="8">
        <f t="shared" si="47"/>
        <v>14519285</v>
      </c>
      <c r="T80" s="1"/>
      <c r="U80" s="1"/>
    </row>
  </sheetData>
  <autoFilter ref="B1:U80" xr:uid="{92BF50AD-D315-43B0-8B7E-DF5F820CB13F}"/>
  <mergeCells count="23">
    <mergeCell ref="S1:S2"/>
    <mergeCell ref="W1:X1"/>
    <mergeCell ref="T1:T2"/>
    <mergeCell ref="Y1:AA1"/>
    <mergeCell ref="U1:U2"/>
    <mergeCell ref="P1:P2"/>
    <mergeCell ref="Q1:Q2"/>
    <mergeCell ref="R1:R2"/>
    <mergeCell ref="M1:M2"/>
    <mergeCell ref="N1:N2"/>
    <mergeCell ref="O1:O2"/>
    <mergeCell ref="G1:G2"/>
    <mergeCell ref="I1:I2"/>
    <mergeCell ref="J1:J2"/>
    <mergeCell ref="K1:K2"/>
    <mergeCell ref="L1:L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scale="38" orientation="portrait" r:id="rId1"/>
  <colBreaks count="1" manualBreakCount="1">
    <brk id="2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0EDC-A2C7-42AC-AD97-6C184A7071FE}">
  <dimension ref="A1:IK37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T23" sqref="T23"/>
    </sheetView>
  </sheetViews>
  <sheetFormatPr defaultRowHeight="18" customHeight="1" x14ac:dyDescent="0.25"/>
  <cols>
    <col min="1" max="1" width="12.42578125" style="94" customWidth="1" collapsed="1"/>
    <col min="2" max="2" width="17.7109375" style="94" customWidth="1" collapsed="1"/>
    <col min="3" max="3" width="14.85546875" style="94" customWidth="1" collapsed="1"/>
    <col min="4" max="4" width="18" style="94" customWidth="1" collapsed="1"/>
    <col min="5" max="5" width="13.85546875" style="94" customWidth="1" collapsed="1"/>
    <col min="6" max="6" width="15.140625" style="94" hidden="1" customWidth="1" collapsed="1"/>
    <col min="7" max="7" width="24.140625" style="94" hidden="1" customWidth="1" collapsed="1"/>
    <col min="8" max="8" width="16.28515625" style="94" customWidth="1" collapsed="1"/>
    <col min="9" max="9" width="15.5703125" style="94" customWidth="1" collapsed="1"/>
    <col min="10" max="10" width="18.7109375" style="94" customWidth="1" collapsed="1"/>
    <col min="11" max="11" width="15" style="94" customWidth="1" collapsed="1"/>
    <col min="12" max="12" width="12.7109375" style="94" customWidth="1" collapsed="1"/>
    <col min="13" max="13" width="13" style="94" customWidth="1" collapsed="1"/>
    <col min="14" max="14" width="15.28515625" style="94" customWidth="1" collapsed="1"/>
    <col min="15" max="15" width="13.140625" style="94" customWidth="1" collapsed="1"/>
    <col min="16" max="16" width="12.42578125" style="94" customWidth="1" collapsed="1"/>
    <col min="17" max="17" width="13.7109375" style="94" customWidth="1" collapsed="1"/>
    <col min="18" max="16384" width="9.140625" style="94"/>
  </cols>
  <sheetData>
    <row r="1" spans="1:245" s="95" customFormat="1" ht="47.25" customHeight="1" x14ac:dyDescent="0.25">
      <c r="A1" s="102" t="s">
        <v>95</v>
      </c>
      <c r="B1" s="102" t="s">
        <v>96</v>
      </c>
      <c r="C1" s="102" t="s">
        <v>97</v>
      </c>
      <c r="D1" s="102" t="s">
        <v>98</v>
      </c>
      <c r="E1" s="102" t="s">
        <v>104</v>
      </c>
      <c r="F1" s="102" t="s">
        <v>99</v>
      </c>
      <c r="G1" s="102" t="s">
        <v>100</v>
      </c>
      <c r="H1" s="102" t="s">
        <v>105</v>
      </c>
      <c r="I1" s="102" t="s">
        <v>106</v>
      </c>
      <c r="J1" s="102" t="s">
        <v>107</v>
      </c>
      <c r="K1" s="102" t="s">
        <v>108</v>
      </c>
      <c r="L1" s="102" t="s">
        <v>109</v>
      </c>
      <c r="M1" s="102" t="s">
        <v>110</v>
      </c>
      <c r="N1" s="102" t="s">
        <v>111</v>
      </c>
      <c r="O1" s="102" t="s">
        <v>112</v>
      </c>
      <c r="P1" s="102" t="s">
        <v>113</v>
      </c>
      <c r="Q1" s="102" t="s">
        <v>114</v>
      </c>
    </row>
    <row r="2" spans="1:245" ht="18" customHeight="1" x14ac:dyDescent="0.25">
      <c r="A2" s="213" t="s">
        <v>131</v>
      </c>
      <c r="B2" s="212" t="s">
        <v>132</v>
      </c>
      <c r="C2" s="208" t="s">
        <v>134</v>
      </c>
      <c r="D2" s="201">
        <v>45838</v>
      </c>
      <c r="E2" s="113" t="s">
        <v>14</v>
      </c>
      <c r="F2" s="103">
        <v>8</v>
      </c>
      <c r="G2" s="103">
        <v>288.93</v>
      </c>
      <c r="H2" s="104">
        <v>1</v>
      </c>
      <c r="I2" s="118">
        <v>44.79</v>
      </c>
      <c r="J2" s="118">
        <v>9.6</v>
      </c>
      <c r="K2" s="120">
        <v>44.79</v>
      </c>
      <c r="L2" s="120">
        <v>44.79</v>
      </c>
      <c r="M2" s="120">
        <v>44.79</v>
      </c>
      <c r="N2" s="120">
        <v>214.33</v>
      </c>
      <c r="O2" s="122">
        <v>9.6</v>
      </c>
      <c r="P2" s="122">
        <v>9.6</v>
      </c>
      <c r="Q2" s="122">
        <v>9.6</v>
      </c>
    </row>
    <row r="3" spans="1:245" ht="18" customHeight="1" x14ac:dyDescent="0.25">
      <c r="A3" s="213"/>
      <c r="B3" s="212"/>
      <c r="C3" s="208"/>
      <c r="D3" s="201"/>
      <c r="E3" s="113" t="s">
        <v>101</v>
      </c>
      <c r="F3" s="103">
        <v>38</v>
      </c>
      <c r="G3" s="103">
        <v>1850.99</v>
      </c>
      <c r="H3" s="104">
        <v>5</v>
      </c>
      <c r="I3" s="118">
        <v>264.68</v>
      </c>
      <c r="J3" s="118">
        <v>54.25</v>
      </c>
      <c r="K3" s="120">
        <v>44.68</v>
      </c>
      <c r="L3" s="120">
        <v>52.94</v>
      </c>
      <c r="M3" s="120">
        <v>56.79</v>
      </c>
      <c r="N3" s="120">
        <v>204.96</v>
      </c>
      <c r="O3" s="122">
        <v>8.5</v>
      </c>
      <c r="P3" s="122">
        <v>10.85</v>
      </c>
      <c r="Q3" s="122">
        <v>11.75</v>
      </c>
    </row>
    <row r="4" spans="1:245" ht="18" customHeight="1" x14ac:dyDescent="0.25">
      <c r="A4" s="213"/>
      <c r="B4" s="212"/>
      <c r="C4" s="208"/>
      <c r="D4" s="201"/>
      <c r="E4" s="113">
        <v>3</v>
      </c>
      <c r="F4" s="103">
        <v>12</v>
      </c>
      <c r="G4" s="103">
        <v>1085.4100000000001</v>
      </c>
      <c r="H4" s="104">
        <v>1</v>
      </c>
      <c r="I4" s="118">
        <v>107.83</v>
      </c>
      <c r="J4" s="118">
        <v>18.3</v>
      </c>
      <c r="K4" s="120">
        <v>107.83</v>
      </c>
      <c r="L4" s="120">
        <v>107.83</v>
      </c>
      <c r="M4" s="120">
        <v>107.83</v>
      </c>
      <c r="N4" s="120">
        <v>169.71</v>
      </c>
      <c r="O4" s="122">
        <v>18.3</v>
      </c>
      <c r="P4" s="122">
        <v>18.3</v>
      </c>
      <c r="Q4" s="122">
        <v>18.3</v>
      </c>
    </row>
    <row r="5" spans="1:245" ht="18" customHeight="1" x14ac:dyDescent="0.25">
      <c r="A5" s="213"/>
      <c r="B5" s="212"/>
      <c r="C5" s="208" t="s">
        <v>135</v>
      </c>
      <c r="D5" s="201">
        <v>45930</v>
      </c>
      <c r="E5" s="113" t="s">
        <v>14</v>
      </c>
      <c r="F5" s="103">
        <v>20</v>
      </c>
      <c r="G5" s="103">
        <v>613.72</v>
      </c>
      <c r="H5" s="104">
        <v>4</v>
      </c>
      <c r="I5" s="118">
        <v>124.95</v>
      </c>
      <c r="J5" s="118">
        <v>25.75</v>
      </c>
      <c r="K5" s="120">
        <v>28.23</v>
      </c>
      <c r="L5" s="120">
        <v>31.24</v>
      </c>
      <c r="M5" s="120">
        <v>37.14</v>
      </c>
      <c r="N5" s="120">
        <v>206.08</v>
      </c>
      <c r="O5" s="122">
        <v>5.8</v>
      </c>
      <c r="P5" s="122">
        <v>6.44</v>
      </c>
      <c r="Q5" s="122">
        <v>8.1</v>
      </c>
    </row>
    <row r="6" spans="1:245" ht="18" customHeight="1" x14ac:dyDescent="0.25">
      <c r="A6" s="213"/>
      <c r="B6" s="212"/>
      <c r="C6" s="208"/>
      <c r="D6" s="201"/>
      <c r="E6" s="113" t="s">
        <v>101</v>
      </c>
      <c r="F6" s="103">
        <v>60</v>
      </c>
      <c r="G6" s="103">
        <v>2785.93</v>
      </c>
      <c r="H6" s="104">
        <v>6</v>
      </c>
      <c r="I6" s="118">
        <v>318.01</v>
      </c>
      <c r="J6" s="118">
        <v>62.35</v>
      </c>
      <c r="K6" s="120">
        <v>44.34</v>
      </c>
      <c r="L6" s="120">
        <v>53</v>
      </c>
      <c r="M6" s="120">
        <v>61.85</v>
      </c>
      <c r="N6" s="120">
        <v>196.06</v>
      </c>
      <c r="O6" s="122">
        <v>8.4</v>
      </c>
      <c r="P6" s="122">
        <v>10.39</v>
      </c>
      <c r="Q6" s="122">
        <v>12.55</v>
      </c>
    </row>
    <row r="7" spans="1:245" ht="18" customHeight="1" x14ac:dyDescent="0.25">
      <c r="A7" s="213"/>
      <c r="B7" s="212"/>
      <c r="C7" s="208"/>
      <c r="D7" s="201"/>
      <c r="E7" s="113" t="s">
        <v>102</v>
      </c>
      <c r="F7" s="103">
        <v>59</v>
      </c>
      <c r="G7" s="103">
        <v>3877.36</v>
      </c>
      <c r="H7" s="104">
        <v>3</v>
      </c>
      <c r="I7" s="118">
        <v>193.64</v>
      </c>
      <c r="J7" s="118">
        <v>31.85</v>
      </c>
      <c r="K7" s="120">
        <v>57.75</v>
      </c>
      <c r="L7" s="120">
        <v>64.55</v>
      </c>
      <c r="M7" s="120">
        <v>68.34</v>
      </c>
      <c r="N7" s="120">
        <v>164.48</v>
      </c>
      <c r="O7" s="122">
        <v>10.45</v>
      </c>
      <c r="P7" s="122">
        <v>10.62</v>
      </c>
      <c r="Q7" s="122">
        <v>10.75</v>
      </c>
    </row>
    <row r="8" spans="1:245" ht="18" customHeight="1" x14ac:dyDescent="0.25">
      <c r="A8" s="213"/>
      <c r="B8" s="212"/>
      <c r="C8" s="208"/>
      <c r="D8" s="201"/>
      <c r="E8" s="113" t="s">
        <v>103</v>
      </c>
      <c r="F8" s="103">
        <v>42</v>
      </c>
      <c r="G8" s="103">
        <v>3340.89</v>
      </c>
      <c r="H8" s="104">
        <v>1</v>
      </c>
      <c r="I8" s="118">
        <v>76.92</v>
      </c>
      <c r="J8" s="118">
        <v>12.7</v>
      </c>
      <c r="K8" s="120">
        <v>76.92</v>
      </c>
      <c r="L8" s="120">
        <v>76.92</v>
      </c>
      <c r="M8" s="120">
        <v>76.92</v>
      </c>
      <c r="N8" s="120">
        <v>165.11</v>
      </c>
      <c r="O8" s="122">
        <v>12.7</v>
      </c>
      <c r="P8" s="122">
        <v>12.7</v>
      </c>
      <c r="Q8" s="122">
        <v>12.7</v>
      </c>
    </row>
    <row r="9" spans="1:245" ht="18" customHeight="1" x14ac:dyDescent="0.25">
      <c r="A9" s="213"/>
      <c r="B9" s="212"/>
      <c r="C9" s="112" t="s">
        <v>136</v>
      </c>
      <c r="D9" s="110">
        <v>45473</v>
      </c>
      <c r="E9" s="113" t="s">
        <v>101</v>
      </c>
      <c r="F9" s="103">
        <v>30</v>
      </c>
      <c r="G9" s="103">
        <v>1450.24</v>
      </c>
      <c r="H9" s="104">
        <v>1</v>
      </c>
      <c r="I9" s="118">
        <v>47.17</v>
      </c>
      <c r="J9" s="118">
        <v>8.4499999999999993</v>
      </c>
      <c r="K9" s="120">
        <v>47.17</v>
      </c>
      <c r="L9" s="120">
        <v>47.17</v>
      </c>
      <c r="M9" s="120">
        <v>47.17</v>
      </c>
      <c r="N9" s="120">
        <v>179.14</v>
      </c>
      <c r="O9" s="122">
        <v>8.4499999999999993</v>
      </c>
      <c r="P9" s="122">
        <v>8.4499999999999993</v>
      </c>
      <c r="Q9" s="122">
        <v>8.4499999999999993</v>
      </c>
    </row>
    <row r="10" spans="1:245" ht="18" customHeight="1" x14ac:dyDescent="0.25">
      <c r="A10" s="210" t="s">
        <v>121</v>
      </c>
      <c r="B10" s="211" t="s">
        <v>122</v>
      </c>
      <c r="C10" s="202">
        <v>12</v>
      </c>
      <c r="D10" s="203">
        <v>46022</v>
      </c>
      <c r="E10" s="99" t="s">
        <v>101</v>
      </c>
      <c r="F10" s="105">
        <v>137</v>
      </c>
      <c r="G10" s="105">
        <v>6009.4</v>
      </c>
      <c r="H10" s="106">
        <v>22</v>
      </c>
      <c r="I10" s="119">
        <v>965.5</v>
      </c>
      <c r="J10" s="119">
        <v>149.53</v>
      </c>
      <c r="K10" s="121">
        <v>41.6</v>
      </c>
      <c r="L10" s="121">
        <v>43.89</v>
      </c>
      <c r="M10" s="121">
        <v>45.1</v>
      </c>
      <c r="N10" s="121">
        <v>154.87</v>
      </c>
      <c r="O10" s="123">
        <v>6.56</v>
      </c>
      <c r="P10" s="123">
        <v>6.8</v>
      </c>
      <c r="Q10" s="123">
        <v>7.03</v>
      </c>
    </row>
    <row r="11" spans="1:245" ht="18" customHeight="1" x14ac:dyDescent="0.25">
      <c r="A11" s="210"/>
      <c r="B11" s="211"/>
      <c r="C11" s="202"/>
      <c r="D11" s="203"/>
      <c r="E11" s="99" t="s">
        <v>102</v>
      </c>
      <c r="F11" s="105">
        <v>84</v>
      </c>
      <c r="G11" s="105">
        <v>5756.1</v>
      </c>
      <c r="H11" s="106">
        <v>19</v>
      </c>
      <c r="I11" s="119">
        <v>1321.7</v>
      </c>
      <c r="J11" s="119">
        <v>172.94</v>
      </c>
      <c r="K11" s="121">
        <v>62.3</v>
      </c>
      <c r="L11" s="121">
        <v>69.56</v>
      </c>
      <c r="M11" s="121">
        <v>74.900000000000006</v>
      </c>
      <c r="N11" s="121">
        <v>130.85</v>
      </c>
      <c r="O11" s="123">
        <v>8.6</v>
      </c>
      <c r="P11" s="123">
        <v>9.1</v>
      </c>
      <c r="Q11" s="123">
        <v>9.82</v>
      </c>
    </row>
    <row r="12" spans="1:245" ht="18" customHeight="1" x14ac:dyDescent="0.25">
      <c r="A12" s="210"/>
      <c r="B12" s="211"/>
      <c r="C12" s="202"/>
      <c r="D12" s="203"/>
      <c r="E12" s="99" t="s">
        <v>103</v>
      </c>
      <c r="F12" s="105">
        <v>78</v>
      </c>
      <c r="G12" s="105">
        <v>7343.7</v>
      </c>
      <c r="H12" s="106">
        <v>15</v>
      </c>
      <c r="I12" s="119">
        <v>1402.5</v>
      </c>
      <c r="J12" s="119">
        <v>165.9</v>
      </c>
      <c r="K12" s="121">
        <v>92.6</v>
      </c>
      <c r="L12" s="121">
        <v>93.5</v>
      </c>
      <c r="M12" s="121">
        <v>97.9</v>
      </c>
      <c r="N12" s="121">
        <v>118.29</v>
      </c>
      <c r="O12" s="123">
        <v>10.84</v>
      </c>
      <c r="P12" s="123">
        <v>11.06</v>
      </c>
      <c r="Q12" s="123">
        <v>11.28</v>
      </c>
    </row>
    <row r="13" spans="1:245" ht="18" customHeight="1" x14ac:dyDescent="0.25">
      <c r="A13" s="210"/>
      <c r="B13" s="211"/>
      <c r="C13" s="202">
        <v>13</v>
      </c>
      <c r="D13" s="203"/>
      <c r="E13" s="99" t="s">
        <v>101</v>
      </c>
      <c r="F13" s="105">
        <v>42</v>
      </c>
      <c r="G13" s="105">
        <v>1725.6</v>
      </c>
      <c r="H13" s="106">
        <v>8</v>
      </c>
      <c r="I13" s="119">
        <v>322.10000000000002</v>
      </c>
      <c r="J13" s="119">
        <v>52.7</v>
      </c>
      <c r="K13" s="121">
        <v>39.6</v>
      </c>
      <c r="L13" s="121">
        <v>40.26</v>
      </c>
      <c r="M13" s="121">
        <v>43.5</v>
      </c>
      <c r="N13" s="121">
        <v>163.61000000000001</v>
      </c>
      <c r="O13" s="123">
        <v>6.51</v>
      </c>
      <c r="P13" s="123">
        <v>6.59</v>
      </c>
      <c r="Q13" s="123">
        <v>6.81</v>
      </c>
    </row>
    <row r="14" spans="1:245" ht="18" customHeight="1" x14ac:dyDescent="0.25">
      <c r="A14" s="210"/>
      <c r="B14" s="211"/>
      <c r="C14" s="202"/>
      <c r="D14" s="203"/>
      <c r="E14" s="99" t="s">
        <v>102</v>
      </c>
      <c r="F14" s="105">
        <v>207</v>
      </c>
      <c r="G14" s="105">
        <v>13109.9</v>
      </c>
      <c r="H14" s="106">
        <v>35</v>
      </c>
      <c r="I14" s="119">
        <v>2306.1</v>
      </c>
      <c r="J14" s="119">
        <v>309.69</v>
      </c>
      <c r="K14" s="121">
        <v>59.1</v>
      </c>
      <c r="L14" s="121">
        <v>65.89</v>
      </c>
      <c r="M14" s="121">
        <v>75.5</v>
      </c>
      <c r="N14" s="121">
        <v>134.29</v>
      </c>
      <c r="O14" s="123">
        <v>8.02</v>
      </c>
      <c r="P14" s="123">
        <v>8.85</v>
      </c>
      <c r="Q14" s="123">
        <v>10.35</v>
      </c>
    </row>
    <row r="15" spans="1:245" s="101" customFormat="1" ht="18" customHeight="1" x14ac:dyDescent="0.25">
      <c r="A15" s="205" t="s">
        <v>123</v>
      </c>
      <c r="B15" s="206" t="s">
        <v>124</v>
      </c>
      <c r="C15" s="207" t="s">
        <v>125</v>
      </c>
      <c r="D15" s="217">
        <v>45565</v>
      </c>
      <c r="E15" s="168" t="s">
        <v>14</v>
      </c>
      <c r="F15" s="169">
        <v>11</v>
      </c>
      <c r="G15" s="169">
        <v>274.60000000000002</v>
      </c>
      <c r="H15" s="170">
        <v>1</v>
      </c>
      <c r="I15" s="171">
        <v>23.6</v>
      </c>
      <c r="J15" s="171">
        <v>3.89</v>
      </c>
      <c r="K15" s="172">
        <v>23.6</v>
      </c>
      <c r="L15" s="172">
        <v>23.6</v>
      </c>
      <c r="M15" s="172">
        <v>23.6</v>
      </c>
      <c r="N15" s="172">
        <v>164.83</v>
      </c>
      <c r="O15" s="173">
        <v>3.89</v>
      </c>
      <c r="P15" s="173">
        <v>3.89</v>
      </c>
      <c r="Q15" s="173">
        <v>3.89</v>
      </c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  <c r="EY15" s="94"/>
      <c r="EZ15" s="94"/>
      <c r="FA15" s="94"/>
      <c r="FB15" s="94"/>
      <c r="FC15" s="94"/>
      <c r="FD15" s="94"/>
      <c r="FE15" s="94"/>
      <c r="FF15" s="94"/>
      <c r="FG15" s="94"/>
      <c r="FH15" s="94"/>
      <c r="FI15" s="94"/>
      <c r="FJ15" s="94"/>
      <c r="FK15" s="94"/>
      <c r="FL15" s="94"/>
      <c r="FM15" s="94"/>
      <c r="FN15" s="94"/>
      <c r="FO15" s="94"/>
      <c r="FP15" s="94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4"/>
      <c r="GH15" s="94"/>
      <c r="GI15" s="94"/>
      <c r="GJ15" s="94"/>
      <c r="GK15" s="94"/>
      <c r="GL15" s="94"/>
      <c r="GM15" s="94"/>
      <c r="GN15" s="94"/>
      <c r="GO15" s="94"/>
      <c r="GP15" s="94"/>
      <c r="GQ15" s="94"/>
      <c r="GR15" s="94"/>
      <c r="GS15" s="94"/>
      <c r="GT15" s="94"/>
      <c r="GU15" s="94"/>
      <c r="GV15" s="94"/>
      <c r="GW15" s="94"/>
      <c r="GX15" s="94"/>
      <c r="GY15" s="94"/>
      <c r="GZ15" s="94"/>
      <c r="HA15" s="94"/>
      <c r="HB15" s="94"/>
      <c r="HC15" s="94"/>
      <c r="HD15" s="94"/>
      <c r="HE15" s="94"/>
      <c r="HF15" s="94"/>
      <c r="HG15" s="94"/>
      <c r="HH15" s="94"/>
      <c r="HI15" s="94"/>
      <c r="HJ15" s="94"/>
      <c r="HK15" s="94"/>
      <c r="HL15" s="94"/>
      <c r="HM15" s="94"/>
      <c r="HN15" s="94"/>
      <c r="HO15" s="94"/>
      <c r="HP15" s="94"/>
      <c r="HQ15" s="94"/>
      <c r="HR15" s="94"/>
      <c r="HS15" s="94"/>
      <c r="HT15" s="94"/>
      <c r="HU15" s="94"/>
      <c r="HV15" s="94"/>
      <c r="HW15" s="94"/>
      <c r="HX15" s="94"/>
      <c r="HY15" s="94"/>
      <c r="HZ15" s="94"/>
      <c r="IA15" s="94"/>
      <c r="IB15" s="94"/>
      <c r="IC15" s="94"/>
      <c r="ID15" s="94"/>
      <c r="IE15" s="94"/>
      <c r="IF15" s="94"/>
      <c r="IG15" s="94"/>
      <c r="IH15" s="94"/>
      <c r="II15" s="94"/>
      <c r="IJ15" s="94"/>
      <c r="IK15" s="94"/>
    </row>
    <row r="16" spans="1:245" s="101" customFormat="1" ht="18" customHeight="1" x14ac:dyDescent="0.25">
      <c r="A16" s="205"/>
      <c r="B16" s="206"/>
      <c r="C16" s="207"/>
      <c r="D16" s="217"/>
      <c r="E16" s="168" t="s">
        <v>101</v>
      </c>
      <c r="F16" s="169">
        <v>43</v>
      </c>
      <c r="G16" s="169">
        <v>1858.5</v>
      </c>
      <c r="H16" s="170">
        <v>2</v>
      </c>
      <c r="I16" s="171">
        <v>88.2</v>
      </c>
      <c r="J16" s="171">
        <v>13.42</v>
      </c>
      <c r="K16" s="172">
        <v>37.200000000000003</v>
      </c>
      <c r="L16" s="172">
        <v>44.1</v>
      </c>
      <c r="M16" s="172">
        <v>51</v>
      </c>
      <c r="N16" s="172">
        <v>152.15</v>
      </c>
      <c r="O16" s="173">
        <v>5.77</v>
      </c>
      <c r="P16" s="173">
        <v>6.71</v>
      </c>
      <c r="Q16" s="173">
        <v>7.65</v>
      </c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4"/>
      <c r="EO16" s="94"/>
      <c r="EP16" s="94"/>
      <c r="EQ16" s="94"/>
      <c r="ER16" s="94"/>
      <c r="ES16" s="94"/>
      <c r="ET16" s="94"/>
      <c r="EU16" s="94"/>
      <c r="EV16" s="94"/>
      <c r="EW16" s="94"/>
      <c r="EX16" s="94"/>
      <c r="EY16" s="94"/>
      <c r="EZ16" s="94"/>
      <c r="FA16" s="94"/>
      <c r="FB16" s="94"/>
      <c r="FC16" s="94"/>
      <c r="FD16" s="94"/>
      <c r="FE16" s="94"/>
      <c r="FF16" s="94"/>
      <c r="FG16" s="94"/>
      <c r="FH16" s="94"/>
      <c r="FI16" s="94"/>
      <c r="FJ16" s="94"/>
      <c r="FK16" s="94"/>
      <c r="FL16" s="94"/>
      <c r="FM16" s="94"/>
      <c r="FN16" s="94"/>
      <c r="FO16" s="94"/>
      <c r="FP16" s="94"/>
      <c r="FQ16" s="94"/>
      <c r="FR16" s="94"/>
      <c r="FS16" s="94"/>
      <c r="FT16" s="94"/>
      <c r="FU16" s="94"/>
      <c r="FV16" s="94"/>
      <c r="FW16" s="94"/>
      <c r="FX16" s="94"/>
      <c r="FY16" s="94"/>
      <c r="FZ16" s="94"/>
      <c r="GA16" s="94"/>
      <c r="GB16" s="94"/>
      <c r="GC16" s="94"/>
      <c r="GD16" s="94"/>
      <c r="GE16" s="94"/>
      <c r="GF16" s="94"/>
      <c r="GG16" s="94"/>
      <c r="GH16" s="94"/>
      <c r="GI16" s="94"/>
      <c r="GJ16" s="94"/>
      <c r="GK16" s="94"/>
      <c r="GL16" s="94"/>
      <c r="GM16" s="94"/>
      <c r="GN16" s="94"/>
      <c r="GO16" s="94"/>
      <c r="GP16" s="94"/>
      <c r="GQ16" s="94"/>
      <c r="GR16" s="94"/>
      <c r="GS16" s="94"/>
      <c r="GT16" s="94"/>
      <c r="GU16" s="94"/>
      <c r="GV16" s="94"/>
      <c r="GW16" s="94"/>
      <c r="GX16" s="94"/>
      <c r="GY16" s="94"/>
      <c r="GZ16" s="94"/>
      <c r="HA16" s="94"/>
      <c r="HB16" s="94"/>
      <c r="HC16" s="94"/>
      <c r="HD16" s="94"/>
      <c r="HE16" s="94"/>
      <c r="HF16" s="94"/>
      <c r="HG16" s="94"/>
      <c r="HH16" s="94"/>
      <c r="HI16" s="94"/>
      <c r="HJ16" s="94"/>
      <c r="HK16" s="94"/>
      <c r="HL16" s="94"/>
      <c r="HM16" s="94"/>
      <c r="HN16" s="94"/>
      <c r="HO16" s="94"/>
      <c r="HP16" s="94"/>
      <c r="HQ16" s="94"/>
      <c r="HR16" s="94"/>
      <c r="HS16" s="94"/>
      <c r="HT16" s="94"/>
      <c r="HU16" s="94"/>
      <c r="HV16" s="94"/>
      <c r="HW16" s="94"/>
      <c r="HX16" s="94"/>
      <c r="HY16" s="94"/>
      <c r="HZ16" s="94"/>
      <c r="IA16" s="94"/>
      <c r="IB16" s="94"/>
      <c r="IC16" s="94"/>
      <c r="ID16" s="94"/>
      <c r="IE16" s="94"/>
      <c r="IF16" s="94"/>
      <c r="IG16" s="94"/>
      <c r="IH16" s="94"/>
      <c r="II16" s="94"/>
      <c r="IJ16" s="94"/>
      <c r="IK16" s="94"/>
    </row>
    <row r="17" spans="1:245" s="101" customFormat="1" ht="18" customHeight="1" x14ac:dyDescent="0.25">
      <c r="A17" s="205"/>
      <c r="B17" s="206"/>
      <c r="C17" s="207"/>
      <c r="D17" s="217"/>
      <c r="E17" s="168" t="s">
        <v>102</v>
      </c>
      <c r="F17" s="169">
        <v>67</v>
      </c>
      <c r="G17" s="169">
        <v>3952.7</v>
      </c>
      <c r="H17" s="170">
        <v>2</v>
      </c>
      <c r="I17" s="171">
        <v>120.5</v>
      </c>
      <c r="J17" s="171">
        <v>17.87</v>
      </c>
      <c r="K17" s="172">
        <v>59.2</v>
      </c>
      <c r="L17" s="172">
        <v>60.25</v>
      </c>
      <c r="M17" s="172">
        <v>61.3</v>
      </c>
      <c r="N17" s="172">
        <v>148.30000000000001</v>
      </c>
      <c r="O17" s="173">
        <v>8.8800000000000008</v>
      </c>
      <c r="P17" s="173">
        <v>8.94</v>
      </c>
      <c r="Q17" s="173">
        <v>8.99</v>
      </c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4"/>
      <c r="EO17" s="94"/>
      <c r="EP17" s="94"/>
      <c r="EQ17" s="94"/>
      <c r="ER17" s="94"/>
      <c r="ES17" s="94"/>
      <c r="ET17" s="94"/>
      <c r="EU17" s="94"/>
      <c r="EV17" s="94"/>
      <c r="EW17" s="94"/>
      <c r="EX17" s="94"/>
      <c r="EY17" s="94"/>
      <c r="EZ17" s="94"/>
      <c r="FA17" s="94"/>
      <c r="FB17" s="94"/>
      <c r="FC17" s="94"/>
      <c r="FD17" s="94"/>
      <c r="FE17" s="94"/>
      <c r="FF17" s="94"/>
      <c r="FG17" s="94"/>
      <c r="FH17" s="94"/>
      <c r="FI17" s="94"/>
      <c r="FJ17" s="94"/>
      <c r="FK17" s="94"/>
      <c r="FL17" s="94"/>
      <c r="FM17" s="94"/>
      <c r="FN17" s="94"/>
      <c r="FO17" s="94"/>
      <c r="FP17" s="94"/>
      <c r="FQ17" s="94"/>
      <c r="FR17" s="94"/>
      <c r="FS17" s="94"/>
      <c r="FT17" s="94"/>
      <c r="FU17" s="94"/>
      <c r="FV17" s="94"/>
      <c r="FW17" s="94"/>
      <c r="FX17" s="94"/>
      <c r="FY17" s="94"/>
      <c r="FZ17" s="94"/>
      <c r="GA17" s="94"/>
      <c r="GB17" s="94"/>
      <c r="GC17" s="94"/>
      <c r="GD17" s="94"/>
      <c r="GE17" s="94"/>
      <c r="GF17" s="94"/>
      <c r="GG17" s="94"/>
      <c r="GH17" s="94"/>
      <c r="GI17" s="94"/>
      <c r="GJ17" s="94"/>
      <c r="GK17" s="94"/>
      <c r="GL17" s="94"/>
      <c r="GM17" s="94"/>
      <c r="GN17" s="94"/>
      <c r="GO17" s="94"/>
      <c r="GP17" s="94"/>
      <c r="GQ17" s="94"/>
      <c r="GR17" s="94"/>
      <c r="GS17" s="94"/>
      <c r="GT17" s="94"/>
      <c r="GU17" s="94"/>
      <c r="GV17" s="94"/>
      <c r="GW17" s="94"/>
      <c r="GX17" s="94"/>
      <c r="GY17" s="94"/>
      <c r="GZ17" s="94"/>
      <c r="HA17" s="94"/>
      <c r="HB17" s="94"/>
      <c r="HC17" s="94"/>
      <c r="HD17" s="94"/>
      <c r="HE17" s="94"/>
      <c r="HF17" s="94"/>
      <c r="HG17" s="94"/>
      <c r="HH17" s="94"/>
      <c r="HI17" s="94"/>
      <c r="HJ17" s="94"/>
      <c r="HK17" s="94"/>
      <c r="HL17" s="94"/>
      <c r="HM17" s="94"/>
      <c r="HN17" s="94"/>
      <c r="HO17" s="94"/>
      <c r="HP17" s="94"/>
      <c r="HQ17" s="94"/>
      <c r="HR17" s="94"/>
      <c r="HS17" s="94"/>
      <c r="HT17" s="94"/>
      <c r="HU17" s="94"/>
      <c r="HV17" s="94"/>
      <c r="HW17" s="94"/>
      <c r="HX17" s="94"/>
      <c r="HY17" s="94"/>
      <c r="HZ17" s="94"/>
      <c r="IA17" s="94"/>
      <c r="IB17" s="94"/>
      <c r="IC17" s="94"/>
      <c r="ID17" s="94"/>
      <c r="IE17" s="94"/>
      <c r="IF17" s="94"/>
      <c r="IG17" s="94"/>
      <c r="IH17" s="94"/>
      <c r="II17" s="94"/>
      <c r="IJ17" s="94"/>
      <c r="IK17" s="94"/>
    </row>
    <row r="18" spans="1:245" s="101" customFormat="1" ht="18" customHeight="1" x14ac:dyDescent="0.25">
      <c r="A18" s="205"/>
      <c r="B18" s="206"/>
      <c r="C18" s="207"/>
      <c r="D18" s="217"/>
      <c r="E18" s="168" t="s">
        <v>103</v>
      </c>
      <c r="F18" s="169">
        <v>11</v>
      </c>
      <c r="G18" s="169">
        <v>1004.9</v>
      </c>
      <c r="H18" s="170">
        <v>1</v>
      </c>
      <c r="I18" s="171">
        <v>87.3</v>
      </c>
      <c r="J18" s="171">
        <v>10.48</v>
      </c>
      <c r="K18" s="172">
        <v>87.3</v>
      </c>
      <c r="L18" s="172">
        <v>87.3</v>
      </c>
      <c r="M18" s="172">
        <v>87.3</v>
      </c>
      <c r="N18" s="172">
        <v>120.05</v>
      </c>
      <c r="O18" s="173">
        <v>10.48</v>
      </c>
      <c r="P18" s="173">
        <v>10.48</v>
      </c>
      <c r="Q18" s="173">
        <v>10.48</v>
      </c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  <c r="DZ18" s="94"/>
      <c r="EA18" s="94"/>
      <c r="EB18" s="94"/>
      <c r="EC18" s="94"/>
      <c r="ED18" s="94"/>
      <c r="EE18" s="94"/>
      <c r="EF18" s="94"/>
      <c r="EG18" s="94"/>
      <c r="EH18" s="94"/>
      <c r="EI18" s="94"/>
      <c r="EJ18" s="94"/>
      <c r="EK18" s="94"/>
      <c r="EL18" s="94"/>
      <c r="EM18" s="94"/>
      <c r="EN18" s="94"/>
      <c r="EO18" s="94"/>
      <c r="EP18" s="94"/>
      <c r="EQ18" s="94"/>
      <c r="ER18" s="94"/>
      <c r="ES18" s="94"/>
      <c r="ET18" s="94"/>
      <c r="EU18" s="94"/>
      <c r="EV18" s="94"/>
      <c r="EW18" s="94"/>
      <c r="EX18" s="94"/>
      <c r="EY18" s="94"/>
      <c r="EZ18" s="94"/>
      <c r="FA18" s="94"/>
      <c r="FB18" s="94"/>
      <c r="FC18" s="94"/>
      <c r="FD18" s="94"/>
      <c r="FE18" s="94"/>
      <c r="FF18" s="94"/>
      <c r="FG18" s="94"/>
      <c r="FH18" s="94"/>
      <c r="FI18" s="94"/>
      <c r="FJ18" s="94"/>
      <c r="FK18" s="94"/>
      <c r="FL18" s="94"/>
      <c r="FM18" s="94"/>
      <c r="FN18" s="94"/>
      <c r="FO18" s="94"/>
      <c r="FP18" s="94"/>
      <c r="FQ18" s="94"/>
      <c r="FR18" s="94"/>
      <c r="FS18" s="94"/>
      <c r="FT18" s="94"/>
      <c r="FU18" s="94"/>
      <c r="FV18" s="94"/>
      <c r="FW18" s="94"/>
      <c r="FX18" s="94"/>
      <c r="FY18" s="94"/>
      <c r="FZ18" s="94"/>
      <c r="GA18" s="94"/>
      <c r="GB18" s="94"/>
      <c r="GC18" s="94"/>
      <c r="GD18" s="94"/>
      <c r="GE18" s="94"/>
      <c r="GF18" s="94"/>
      <c r="GG18" s="94"/>
      <c r="GH18" s="94"/>
      <c r="GI18" s="94"/>
      <c r="GJ18" s="94"/>
      <c r="GK18" s="94"/>
      <c r="GL18" s="94"/>
      <c r="GM18" s="94"/>
      <c r="GN18" s="94"/>
      <c r="GO18" s="94"/>
      <c r="GP18" s="94"/>
      <c r="GQ18" s="94"/>
      <c r="GR18" s="94"/>
      <c r="GS18" s="94"/>
      <c r="GT18" s="94"/>
      <c r="GU18" s="94"/>
      <c r="GV18" s="94"/>
      <c r="GW18" s="94"/>
      <c r="GX18" s="94"/>
      <c r="GY18" s="94"/>
      <c r="GZ18" s="94"/>
      <c r="HA18" s="94"/>
      <c r="HB18" s="94"/>
      <c r="HC18" s="94"/>
      <c r="HD18" s="94"/>
      <c r="HE18" s="94"/>
      <c r="HF18" s="94"/>
      <c r="HG18" s="94"/>
      <c r="HH18" s="94"/>
      <c r="HI18" s="94"/>
      <c r="HJ18" s="94"/>
      <c r="HK18" s="94"/>
      <c r="HL18" s="94"/>
      <c r="HM18" s="94"/>
      <c r="HN18" s="94"/>
      <c r="HO18" s="94"/>
      <c r="HP18" s="94"/>
      <c r="HQ18" s="94"/>
      <c r="HR18" s="94"/>
      <c r="HS18" s="94"/>
      <c r="HT18" s="94"/>
      <c r="HU18" s="94"/>
      <c r="HV18" s="94"/>
      <c r="HW18" s="94"/>
      <c r="HX18" s="94"/>
      <c r="HY18" s="94"/>
      <c r="HZ18" s="94"/>
      <c r="IA18" s="94"/>
      <c r="IB18" s="94"/>
      <c r="IC18" s="94"/>
      <c r="ID18" s="94"/>
      <c r="IE18" s="94"/>
      <c r="IF18" s="94"/>
      <c r="IG18" s="94"/>
      <c r="IH18" s="94"/>
      <c r="II18" s="94"/>
      <c r="IJ18" s="94"/>
      <c r="IK18" s="94"/>
    </row>
    <row r="19" spans="1:245" s="101" customFormat="1" ht="18" customHeight="1" x14ac:dyDescent="0.25">
      <c r="A19" s="205"/>
      <c r="B19" s="206"/>
      <c r="C19" s="207" t="s">
        <v>126</v>
      </c>
      <c r="D19" s="217">
        <v>45565</v>
      </c>
      <c r="E19" s="168" t="s">
        <v>101</v>
      </c>
      <c r="F19" s="169">
        <v>73</v>
      </c>
      <c r="G19" s="169">
        <v>2592.8000000000002</v>
      </c>
      <c r="H19" s="170">
        <v>5</v>
      </c>
      <c r="I19" s="171">
        <v>193.7</v>
      </c>
      <c r="J19" s="171">
        <v>28.03</v>
      </c>
      <c r="K19" s="172">
        <v>36.799999999999997</v>
      </c>
      <c r="L19" s="172">
        <v>38.74</v>
      </c>
      <c r="M19" s="172">
        <v>42.6</v>
      </c>
      <c r="N19" s="172">
        <v>144.71</v>
      </c>
      <c r="O19" s="173">
        <v>5.34</v>
      </c>
      <c r="P19" s="173">
        <v>5.61</v>
      </c>
      <c r="Q19" s="173">
        <v>6.09</v>
      </c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  <c r="DZ19" s="94"/>
      <c r="EA19" s="94"/>
      <c r="EB19" s="94"/>
      <c r="EC19" s="94"/>
      <c r="ED19" s="94"/>
      <c r="EE19" s="94"/>
      <c r="EF19" s="94"/>
      <c r="EG19" s="94"/>
      <c r="EH19" s="94"/>
      <c r="EI19" s="94"/>
      <c r="EJ19" s="94"/>
      <c r="EK19" s="94"/>
      <c r="EL19" s="94"/>
      <c r="EM19" s="94"/>
      <c r="EN19" s="94"/>
      <c r="EO19" s="94"/>
      <c r="EP19" s="94"/>
      <c r="EQ19" s="94"/>
      <c r="ER19" s="94"/>
      <c r="ES19" s="94"/>
      <c r="ET19" s="94"/>
      <c r="EU19" s="94"/>
      <c r="EV19" s="94"/>
      <c r="EW19" s="94"/>
      <c r="EX19" s="94"/>
      <c r="EY19" s="94"/>
      <c r="EZ19" s="94"/>
      <c r="FA19" s="94"/>
      <c r="FB19" s="94"/>
      <c r="FC19" s="94"/>
      <c r="FD19" s="94"/>
      <c r="FE19" s="94"/>
      <c r="FF19" s="94"/>
      <c r="FG19" s="94"/>
      <c r="FH19" s="94"/>
      <c r="FI19" s="94"/>
      <c r="FJ19" s="94"/>
      <c r="FK19" s="94"/>
      <c r="FL19" s="94"/>
      <c r="FM19" s="94"/>
      <c r="FN19" s="94"/>
      <c r="FO19" s="94"/>
      <c r="FP19" s="94"/>
      <c r="FQ19" s="94"/>
      <c r="FR19" s="94"/>
      <c r="FS19" s="94"/>
      <c r="FT19" s="94"/>
      <c r="FU19" s="94"/>
      <c r="FV19" s="94"/>
      <c r="FW19" s="94"/>
      <c r="FX19" s="94"/>
      <c r="FY19" s="94"/>
      <c r="FZ19" s="94"/>
      <c r="GA19" s="94"/>
      <c r="GB19" s="94"/>
      <c r="GC19" s="94"/>
      <c r="GD19" s="94"/>
      <c r="GE19" s="94"/>
      <c r="GF19" s="94"/>
      <c r="GG19" s="94"/>
      <c r="GH19" s="94"/>
      <c r="GI19" s="94"/>
      <c r="GJ19" s="94"/>
      <c r="GK19" s="94"/>
      <c r="GL19" s="94"/>
      <c r="GM19" s="94"/>
      <c r="GN19" s="94"/>
      <c r="GO19" s="94"/>
      <c r="GP19" s="94"/>
      <c r="GQ19" s="94"/>
      <c r="GR19" s="94"/>
      <c r="GS19" s="94"/>
      <c r="GT19" s="94"/>
      <c r="GU19" s="94"/>
      <c r="GV19" s="94"/>
      <c r="GW19" s="94"/>
      <c r="GX19" s="94"/>
      <c r="GY19" s="94"/>
      <c r="GZ19" s="94"/>
      <c r="HA19" s="94"/>
      <c r="HB19" s="94"/>
      <c r="HC19" s="94"/>
      <c r="HD19" s="94"/>
      <c r="HE19" s="94"/>
      <c r="HF19" s="94"/>
      <c r="HG19" s="94"/>
      <c r="HH19" s="94"/>
      <c r="HI19" s="94"/>
      <c r="HJ19" s="94"/>
      <c r="HK19" s="94"/>
      <c r="HL19" s="94"/>
      <c r="HM19" s="94"/>
      <c r="HN19" s="94"/>
      <c r="HO19" s="94"/>
      <c r="HP19" s="94"/>
      <c r="HQ19" s="94"/>
      <c r="HR19" s="94"/>
      <c r="HS19" s="94"/>
      <c r="HT19" s="94"/>
      <c r="HU19" s="94"/>
      <c r="HV19" s="94"/>
      <c r="HW19" s="94"/>
      <c r="HX19" s="94"/>
      <c r="HY19" s="94"/>
      <c r="HZ19" s="94"/>
      <c r="IA19" s="94"/>
      <c r="IB19" s="94"/>
      <c r="IC19" s="94"/>
      <c r="ID19" s="94"/>
      <c r="IE19" s="94"/>
      <c r="IF19" s="94"/>
      <c r="IG19" s="94"/>
      <c r="IH19" s="94"/>
      <c r="II19" s="94"/>
      <c r="IJ19" s="94"/>
      <c r="IK19" s="94"/>
    </row>
    <row r="20" spans="1:245" s="101" customFormat="1" ht="18" customHeight="1" x14ac:dyDescent="0.25">
      <c r="A20" s="205"/>
      <c r="B20" s="206"/>
      <c r="C20" s="207"/>
      <c r="D20" s="217"/>
      <c r="E20" s="168" t="s">
        <v>103</v>
      </c>
      <c r="F20" s="169">
        <v>22</v>
      </c>
      <c r="G20" s="169">
        <v>1788.8</v>
      </c>
      <c r="H20" s="170">
        <v>2</v>
      </c>
      <c r="I20" s="171">
        <v>165.8</v>
      </c>
      <c r="J20" s="171">
        <v>19.46</v>
      </c>
      <c r="K20" s="172">
        <v>79.599999999999994</v>
      </c>
      <c r="L20" s="172">
        <v>82.9</v>
      </c>
      <c r="M20" s="172">
        <v>86.2</v>
      </c>
      <c r="N20" s="172">
        <v>117.37</v>
      </c>
      <c r="O20" s="173">
        <v>9.5500000000000007</v>
      </c>
      <c r="P20" s="173">
        <v>9.73</v>
      </c>
      <c r="Q20" s="173">
        <v>9.91</v>
      </c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  <c r="GB20" s="94"/>
      <c r="GC20" s="94"/>
      <c r="GD20" s="94"/>
      <c r="GE20" s="94"/>
      <c r="GF20" s="94"/>
      <c r="GG20" s="94"/>
      <c r="GH20" s="94"/>
      <c r="GI20" s="94"/>
      <c r="GJ20" s="94"/>
      <c r="GK20" s="94"/>
      <c r="GL20" s="94"/>
      <c r="GM20" s="94"/>
      <c r="GN20" s="94"/>
      <c r="GO20" s="94"/>
      <c r="GP20" s="94"/>
      <c r="GQ20" s="94"/>
      <c r="GR20" s="94"/>
      <c r="GS20" s="94"/>
      <c r="GT20" s="94"/>
      <c r="GU20" s="94"/>
      <c r="GV20" s="94"/>
      <c r="GW20" s="94"/>
      <c r="GX20" s="94"/>
      <c r="GY20" s="94"/>
      <c r="GZ20" s="94"/>
      <c r="HA20" s="94"/>
      <c r="HB20" s="94"/>
      <c r="HC20" s="94"/>
      <c r="HD20" s="94"/>
      <c r="HE20" s="94"/>
      <c r="HF20" s="94"/>
      <c r="HG20" s="94"/>
      <c r="HH20" s="94"/>
      <c r="HI20" s="94"/>
      <c r="HJ20" s="94"/>
      <c r="HK20" s="94"/>
      <c r="HL20" s="94"/>
      <c r="HM20" s="94"/>
      <c r="HN20" s="94"/>
      <c r="HO20" s="94"/>
      <c r="HP20" s="94"/>
      <c r="HQ20" s="94"/>
      <c r="HR20" s="94"/>
      <c r="HS20" s="94"/>
      <c r="HT20" s="94"/>
      <c r="HU20" s="94"/>
      <c r="HV20" s="94"/>
      <c r="HW20" s="94"/>
      <c r="HX20" s="94"/>
      <c r="HY20" s="94"/>
      <c r="HZ20" s="94"/>
      <c r="IA20" s="94"/>
      <c r="IB20" s="94"/>
      <c r="IC20" s="94"/>
      <c r="ID20" s="94"/>
      <c r="IE20" s="94"/>
      <c r="IF20" s="94"/>
      <c r="IG20" s="94"/>
      <c r="IH20" s="94"/>
      <c r="II20" s="94"/>
      <c r="IJ20" s="94"/>
      <c r="IK20" s="94"/>
    </row>
    <row r="21" spans="1:245" s="101" customFormat="1" ht="18" customHeight="1" x14ac:dyDescent="0.25">
      <c r="A21" s="205"/>
      <c r="B21" s="206"/>
      <c r="C21" s="207" t="s">
        <v>127</v>
      </c>
      <c r="D21" s="217">
        <v>45565</v>
      </c>
      <c r="E21" s="168" t="s">
        <v>14</v>
      </c>
      <c r="F21" s="169">
        <v>43</v>
      </c>
      <c r="G21" s="169">
        <v>1709.4</v>
      </c>
      <c r="H21" s="170">
        <v>22</v>
      </c>
      <c r="I21" s="171">
        <v>875.8</v>
      </c>
      <c r="J21" s="171">
        <v>118.8</v>
      </c>
      <c r="K21" s="172">
        <v>39.4</v>
      </c>
      <c r="L21" s="172">
        <v>39.81</v>
      </c>
      <c r="M21" s="172">
        <v>40.4</v>
      </c>
      <c r="N21" s="172">
        <v>135.65</v>
      </c>
      <c r="O21" s="173">
        <v>5.01</v>
      </c>
      <c r="P21" s="173">
        <v>5.4</v>
      </c>
      <c r="Q21" s="173">
        <v>6.53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/>
      <c r="DU21" s="94"/>
      <c r="DV21" s="94"/>
      <c r="DW21" s="94"/>
      <c r="DX21" s="94"/>
      <c r="DY21" s="94"/>
      <c r="DZ21" s="94"/>
      <c r="EA21" s="94"/>
      <c r="EB21" s="94"/>
      <c r="EC21" s="94"/>
      <c r="ED21" s="94"/>
      <c r="EE21" s="94"/>
      <c r="EF21" s="94"/>
      <c r="EG21" s="94"/>
      <c r="EH21" s="94"/>
      <c r="EI21" s="94"/>
      <c r="EJ21" s="94"/>
      <c r="EK21" s="94"/>
      <c r="EL21" s="94"/>
      <c r="EM21" s="94"/>
      <c r="EN21" s="94"/>
      <c r="EO21" s="94"/>
      <c r="EP21" s="94"/>
      <c r="EQ21" s="94"/>
      <c r="ER21" s="94"/>
      <c r="ES21" s="94"/>
      <c r="ET21" s="94"/>
      <c r="EU21" s="94"/>
      <c r="EV21" s="94"/>
      <c r="EW21" s="94"/>
      <c r="EX21" s="94"/>
      <c r="EY21" s="94"/>
      <c r="EZ21" s="94"/>
      <c r="FA21" s="94"/>
      <c r="FB21" s="94"/>
      <c r="FC21" s="94"/>
      <c r="FD21" s="94"/>
      <c r="FE21" s="94"/>
      <c r="FF21" s="94"/>
      <c r="FG21" s="94"/>
      <c r="FH21" s="94"/>
      <c r="FI21" s="94"/>
      <c r="FJ21" s="94"/>
      <c r="FK21" s="94"/>
      <c r="FL21" s="94"/>
      <c r="FM21" s="94"/>
      <c r="FN21" s="94"/>
      <c r="FO21" s="94"/>
      <c r="FP21" s="94"/>
      <c r="FQ21" s="94"/>
      <c r="FR21" s="94"/>
      <c r="FS21" s="94"/>
      <c r="FT21" s="94"/>
      <c r="FU21" s="94"/>
      <c r="FV21" s="94"/>
      <c r="FW21" s="94"/>
      <c r="FX21" s="94"/>
      <c r="FY21" s="94"/>
      <c r="FZ21" s="94"/>
      <c r="GA21" s="94"/>
      <c r="GB21" s="94"/>
      <c r="GC21" s="94"/>
      <c r="GD21" s="94"/>
      <c r="GE21" s="94"/>
      <c r="GF21" s="94"/>
      <c r="GG21" s="94"/>
      <c r="GH21" s="94"/>
      <c r="GI21" s="94"/>
      <c r="GJ21" s="94"/>
      <c r="GK21" s="94"/>
      <c r="GL21" s="94"/>
      <c r="GM21" s="94"/>
      <c r="GN21" s="94"/>
      <c r="GO21" s="94"/>
      <c r="GP21" s="94"/>
      <c r="GQ21" s="94"/>
      <c r="GR21" s="94"/>
      <c r="GS21" s="94"/>
      <c r="GT21" s="94"/>
      <c r="GU21" s="94"/>
      <c r="GV21" s="94"/>
      <c r="GW21" s="94"/>
      <c r="GX21" s="94"/>
      <c r="GY21" s="94"/>
      <c r="GZ21" s="94"/>
      <c r="HA21" s="94"/>
      <c r="HB21" s="94"/>
      <c r="HC21" s="94"/>
      <c r="HD21" s="94"/>
      <c r="HE21" s="94"/>
      <c r="HF21" s="94"/>
      <c r="HG21" s="94"/>
      <c r="HH21" s="94"/>
      <c r="HI21" s="94"/>
      <c r="HJ21" s="94"/>
      <c r="HK21" s="94"/>
      <c r="HL21" s="94"/>
      <c r="HM21" s="94"/>
      <c r="HN21" s="94"/>
      <c r="HO21" s="94"/>
      <c r="HP21" s="94"/>
      <c r="HQ21" s="94"/>
      <c r="HR21" s="94"/>
      <c r="HS21" s="94"/>
      <c r="HT21" s="94"/>
      <c r="HU21" s="94"/>
      <c r="HV21" s="94"/>
      <c r="HW21" s="94"/>
      <c r="HX21" s="94"/>
      <c r="HY21" s="94"/>
      <c r="HZ21" s="94"/>
      <c r="IA21" s="94"/>
      <c r="IB21" s="94"/>
      <c r="IC21" s="94"/>
      <c r="ID21" s="94"/>
      <c r="IE21" s="94"/>
      <c r="IF21" s="94"/>
      <c r="IG21" s="94"/>
      <c r="IH21" s="94"/>
      <c r="II21" s="94"/>
      <c r="IJ21" s="94"/>
      <c r="IK21" s="94"/>
    </row>
    <row r="22" spans="1:245" s="101" customFormat="1" ht="18" customHeight="1" x14ac:dyDescent="0.25">
      <c r="A22" s="205"/>
      <c r="B22" s="206"/>
      <c r="C22" s="207"/>
      <c r="D22" s="217"/>
      <c r="E22" s="168" t="s">
        <v>101</v>
      </c>
      <c r="F22" s="169">
        <v>82</v>
      </c>
      <c r="G22" s="169">
        <v>3149.8</v>
      </c>
      <c r="H22" s="170">
        <v>2</v>
      </c>
      <c r="I22" s="171">
        <v>74.900000000000006</v>
      </c>
      <c r="J22" s="171">
        <v>11.77</v>
      </c>
      <c r="K22" s="172">
        <v>36.4</v>
      </c>
      <c r="L22" s="172">
        <v>37.450000000000003</v>
      </c>
      <c r="M22" s="172">
        <v>38.5</v>
      </c>
      <c r="N22" s="172">
        <v>157.13999999999999</v>
      </c>
      <c r="O22" s="173">
        <v>5.58</v>
      </c>
      <c r="P22" s="173">
        <v>5.89</v>
      </c>
      <c r="Q22" s="173">
        <v>6.19</v>
      </c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  <c r="EY22" s="94"/>
      <c r="EZ22" s="94"/>
      <c r="FA22" s="94"/>
      <c r="FB22" s="94"/>
      <c r="FC22" s="94"/>
      <c r="FD22" s="94"/>
      <c r="FE22" s="94"/>
      <c r="FF22" s="94"/>
      <c r="FG22" s="94"/>
      <c r="FH22" s="94"/>
      <c r="FI22" s="94"/>
      <c r="FJ22" s="94"/>
      <c r="FK22" s="94"/>
      <c r="FL22" s="94"/>
      <c r="FM22" s="94"/>
      <c r="FN22" s="94"/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94"/>
      <c r="GC22" s="94"/>
      <c r="GD22" s="94"/>
      <c r="GE22" s="94"/>
      <c r="GF22" s="94"/>
      <c r="GG22" s="94"/>
      <c r="GH22" s="94"/>
      <c r="GI22" s="94"/>
      <c r="GJ22" s="94"/>
      <c r="GK22" s="94"/>
      <c r="GL22" s="94"/>
      <c r="GM22" s="94"/>
      <c r="GN22" s="94"/>
      <c r="GO22" s="94"/>
      <c r="GP22" s="94"/>
      <c r="GQ22" s="94"/>
      <c r="GR22" s="94"/>
      <c r="GS22" s="94"/>
      <c r="GT22" s="94"/>
      <c r="GU22" s="94"/>
      <c r="GV22" s="94"/>
      <c r="GW22" s="94"/>
      <c r="GX22" s="94"/>
      <c r="GY22" s="94"/>
      <c r="GZ22" s="94"/>
      <c r="HA22" s="94"/>
      <c r="HB22" s="94"/>
      <c r="HC22" s="94"/>
      <c r="HD22" s="94"/>
      <c r="HE22" s="94"/>
      <c r="HF22" s="94"/>
      <c r="HG22" s="94"/>
      <c r="HH22" s="94"/>
      <c r="HI22" s="94"/>
      <c r="HJ22" s="94"/>
      <c r="HK22" s="94"/>
      <c r="HL22" s="94"/>
      <c r="HM22" s="94"/>
      <c r="HN22" s="94"/>
      <c r="HO22" s="94"/>
      <c r="HP22" s="94"/>
      <c r="HQ22" s="94"/>
      <c r="HR22" s="94"/>
      <c r="HS22" s="94"/>
      <c r="HT22" s="94"/>
      <c r="HU22" s="94"/>
      <c r="HV22" s="94"/>
      <c r="HW22" s="94"/>
      <c r="HX22" s="94"/>
      <c r="HY22" s="94"/>
      <c r="HZ22" s="94"/>
      <c r="IA22" s="94"/>
      <c r="IB22" s="94"/>
      <c r="IC22" s="94"/>
      <c r="ID22" s="94"/>
      <c r="IE22" s="94"/>
      <c r="IF22" s="94"/>
      <c r="IG22" s="94"/>
      <c r="IH22" s="94"/>
      <c r="II22" s="94"/>
      <c r="IJ22" s="94"/>
      <c r="IK22" s="94"/>
    </row>
    <row r="23" spans="1:245" s="101" customFormat="1" ht="18" customHeight="1" x14ac:dyDescent="0.25">
      <c r="A23" s="205"/>
      <c r="B23" s="206"/>
      <c r="C23" s="207"/>
      <c r="D23" s="217"/>
      <c r="E23" s="168" t="s">
        <v>102</v>
      </c>
      <c r="F23" s="169">
        <v>76</v>
      </c>
      <c r="G23" s="169">
        <v>4821</v>
      </c>
      <c r="H23" s="170">
        <v>5</v>
      </c>
      <c r="I23" s="171">
        <v>333.1</v>
      </c>
      <c r="J23" s="171">
        <v>46.96</v>
      </c>
      <c r="K23" s="172">
        <v>59.1</v>
      </c>
      <c r="L23" s="172">
        <v>66.62</v>
      </c>
      <c r="M23" s="172">
        <v>80.7</v>
      </c>
      <c r="N23" s="172">
        <v>140.97999999999999</v>
      </c>
      <c r="O23" s="173">
        <v>8.8699999999999992</v>
      </c>
      <c r="P23" s="173">
        <v>9.39</v>
      </c>
      <c r="Q23" s="173">
        <v>10.09</v>
      </c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94"/>
      <c r="DI23" s="94"/>
      <c r="DJ23" s="94"/>
      <c r="DK23" s="94"/>
      <c r="DL23" s="94"/>
      <c r="DM23" s="94"/>
      <c r="DN23" s="94"/>
      <c r="DO23" s="94"/>
      <c r="DP23" s="94"/>
      <c r="DQ23" s="94"/>
      <c r="DR23" s="94"/>
      <c r="DS23" s="94"/>
      <c r="DT23" s="94"/>
      <c r="DU23" s="94"/>
      <c r="DV23" s="94"/>
      <c r="DW23" s="94"/>
      <c r="DX23" s="94"/>
      <c r="DY23" s="94"/>
      <c r="DZ23" s="94"/>
      <c r="EA23" s="94"/>
      <c r="EB23" s="94"/>
      <c r="EC23" s="94"/>
      <c r="ED23" s="94"/>
      <c r="EE23" s="94"/>
      <c r="EF23" s="94"/>
      <c r="EG23" s="94"/>
      <c r="EH23" s="94"/>
      <c r="EI23" s="94"/>
      <c r="EJ23" s="94"/>
      <c r="EK23" s="94"/>
      <c r="EL23" s="94"/>
      <c r="EM23" s="94"/>
      <c r="EN23" s="94"/>
      <c r="EO23" s="94"/>
      <c r="EP23" s="94"/>
      <c r="EQ23" s="94"/>
      <c r="ER23" s="94"/>
      <c r="ES23" s="94"/>
      <c r="ET23" s="94"/>
      <c r="EU23" s="94"/>
      <c r="EV23" s="94"/>
      <c r="EW23" s="94"/>
      <c r="EX23" s="94"/>
      <c r="EY23" s="94"/>
      <c r="EZ23" s="94"/>
      <c r="FA23" s="94"/>
      <c r="FB23" s="94"/>
      <c r="FC23" s="94"/>
      <c r="FD23" s="94"/>
      <c r="FE23" s="94"/>
      <c r="FF23" s="94"/>
      <c r="FG23" s="94"/>
      <c r="FH23" s="94"/>
      <c r="FI23" s="94"/>
      <c r="FJ23" s="94"/>
      <c r="FK23" s="94"/>
      <c r="FL23" s="94"/>
      <c r="FM23" s="94"/>
      <c r="FN23" s="94"/>
      <c r="FO23" s="94"/>
      <c r="FP23" s="94"/>
      <c r="FQ23" s="94"/>
      <c r="FR23" s="94"/>
      <c r="FS23" s="94"/>
      <c r="FT23" s="94"/>
      <c r="FU23" s="94"/>
      <c r="FV23" s="94"/>
      <c r="FW23" s="94"/>
      <c r="FX23" s="94"/>
      <c r="FY23" s="94"/>
      <c r="FZ23" s="94"/>
      <c r="GA23" s="94"/>
      <c r="GB23" s="94"/>
      <c r="GC23" s="94"/>
      <c r="GD23" s="94"/>
      <c r="GE23" s="94"/>
      <c r="GF23" s="94"/>
      <c r="GG23" s="94"/>
      <c r="GH23" s="94"/>
      <c r="GI23" s="94"/>
      <c r="GJ23" s="94"/>
      <c r="GK23" s="94"/>
      <c r="GL23" s="94"/>
      <c r="GM23" s="94"/>
      <c r="GN23" s="94"/>
      <c r="GO23" s="94"/>
      <c r="GP23" s="94"/>
      <c r="GQ23" s="94"/>
      <c r="GR23" s="94"/>
      <c r="GS23" s="94"/>
      <c r="GT23" s="94"/>
      <c r="GU23" s="94"/>
      <c r="GV23" s="94"/>
      <c r="GW23" s="94"/>
      <c r="GX23" s="94"/>
      <c r="GY23" s="94"/>
      <c r="GZ23" s="94"/>
      <c r="HA23" s="94"/>
      <c r="HB23" s="94"/>
      <c r="HC23" s="94"/>
      <c r="HD23" s="94"/>
      <c r="HE23" s="94"/>
      <c r="HF23" s="94"/>
      <c r="HG23" s="94"/>
      <c r="HH23" s="94"/>
      <c r="HI23" s="94"/>
      <c r="HJ23" s="94"/>
      <c r="HK23" s="94"/>
      <c r="HL23" s="94"/>
      <c r="HM23" s="94"/>
      <c r="HN23" s="94"/>
      <c r="HO23" s="94"/>
      <c r="HP23" s="94"/>
      <c r="HQ23" s="94"/>
      <c r="HR23" s="94"/>
      <c r="HS23" s="94"/>
      <c r="HT23" s="94"/>
      <c r="HU23" s="94"/>
      <c r="HV23" s="94"/>
      <c r="HW23" s="94"/>
      <c r="HX23" s="94"/>
      <c r="HY23" s="94"/>
      <c r="HZ23" s="94"/>
      <c r="IA23" s="94"/>
      <c r="IB23" s="94"/>
      <c r="IC23" s="94"/>
      <c r="ID23" s="94"/>
      <c r="IE23" s="94"/>
      <c r="IF23" s="94"/>
      <c r="IG23" s="94"/>
      <c r="IH23" s="94"/>
      <c r="II23" s="94"/>
      <c r="IJ23" s="94"/>
      <c r="IK23" s="94"/>
    </row>
    <row r="24" spans="1:245" s="101" customFormat="1" ht="18" customHeight="1" x14ac:dyDescent="0.25">
      <c r="A24" s="205"/>
      <c r="B24" s="206"/>
      <c r="C24" s="207"/>
      <c r="D24" s="217"/>
      <c r="E24" s="168" t="s">
        <v>103</v>
      </c>
      <c r="F24" s="169">
        <v>39</v>
      </c>
      <c r="G24" s="169">
        <v>3451.8</v>
      </c>
      <c r="H24" s="170">
        <v>5</v>
      </c>
      <c r="I24" s="171">
        <v>433.8</v>
      </c>
      <c r="J24" s="171">
        <v>52.06</v>
      </c>
      <c r="K24" s="172">
        <v>86.2</v>
      </c>
      <c r="L24" s="172">
        <v>86.76</v>
      </c>
      <c r="M24" s="172">
        <v>86.9</v>
      </c>
      <c r="N24" s="172">
        <v>120.01</v>
      </c>
      <c r="O24" s="173">
        <v>9.91</v>
      </c>
      <c r="P24" s="173">
        <v>10.41</v>
      </c>
      <c r="Q24" s="173">
        <v>10.86</v>
      </c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  <c r="GI24" s="94"/>
      <c r="GJ24" s="94"/>
      <c r="GK24" s="94"/>
      <c r="GL24" s="94"/>
      <c r="GM24" s="94"/>
      <c r="GN24" s="94"/>
      <c r="GO24" s="94"/>
      <c r="GP24" s="94"/>
      <c r="GQ24" s="94"/>
      <c r="GR24" s="94"/>
      <c r="GS24" s="94"/>
      <c r="GT24" s="94"/>
      <c r="GU24" s="94"/>
      <c r="GV24" s="94"/>
      <c r="GW24" s="94"/>
      <c r="GX24" s="94"/>
      <c r="GY24" s="94"/>
      <c r="GZ24" s="94"/>
      <c r="HA24" s="94"/>
      <c r="HB24" s="94"/>
      <c r="HC24" s="94"/>
      <c r="HD24" s="94"/>
      <c r="HE24" s="94"/>
      <c r="HF24" s="94"/>
      <c r="HG24" s="94"/>
      <c r="HH24" s="94"/>
      <c r="HI24" s="94"/>
      <c r="HJ24" s="94"/>
      <c r="HK24" s="94"/>
      <c r="HL24" s="94"/>
      <c r="HM24" s="94"/>
      <c r="HN24" s="94"/>
      <c r="HO24" s="94"/>
      <c r="HP24" s="94"/>
      <c r="HQ24" s="94"/>
      <c r="HR24" s="94"/>
      <c r="HS24" s="94"/>
      <c r="HT24" s="94"/>
      <c r="HU24" s="94"/>
      <c r="HV24" s="94"/>
      <c r="HW24" s="94"/>
      <c r="HX24" s="94"/>
      <c r="HY24" s="94"/>
      <c r="HZ24" s="94"/>
      <c r="IA24" s="94"/>
      <c r="IB24" s="94"/>
      <c r="IC24" s="94"/>
      <c r="ID24" s="94"/>
      <c r="IE24" s="94"/>
      <c r="IF24" s="94"/>
      <c r="IG24" s="94"/>
      <c r="IH24" s="94"/>
      <c r="II24" s="94"/>
      <c r="IJ24" s="94"/>
      <c r="IK24" s="94"/>
    </row>
    <row r="25" spans="1:245" s="100" customFormat="1" ht="18" customHeight="1" x14ac:dyDescent="0.25">
      <c r="A25" s="218" t="s">
        <v>129</v>
      </c>
      <c r="B25" s="219" t="s">
        <v>130</v>
      </c>
      <c r="C25" s="219" t="s">
        <v>133</v>
      </c>
      <c r="D25" s="220">
        <v>45930</v>
      </c>
      <c r="E25" s="174" t="s">
        <v>101</v>
      </c>
      <c r="F25" s="175">
        <v>48</v>
      </c>
      <c r="G25" s="175">
        <v>2052.58</v>
      </c>
      <c r="H25" s="176">
        <v>8</v>
      </c>
      <c r="I25" s="177">
        <v>333.5</v>
      </c>
      <c r="J25" s="177">
        <v>59.92</v>
      </c>
      <c r="K25" s="178">
        <v>39.4</v>
      </c>
      <c r="L25" s="178">
        <v>41.69</v>
      </c>
      <c r="M25" s="178">
        <v>43.06</v>
      </c>
      <c r="N25" s="178">
        <v>179.67</v>
      </c>
      <c r="O25" s="179">
        <v>7.06</v>
      </c>
      <c r="P25" s="179">
        <v>7.49</v>
      </c>
      <c r="Q25" s="179">
        <v>8.06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94"/>
      <c r="FO25" s="94"/>
      <c r="FP25" s="94"/>
      <c r="FQ25" s="94"/>
      <c r="FR25" s="94"/>
      <c r="FS25" s="94"/>
      <c r="FT25" s="94"/>
      <c r="FU25" s="94"/>
      <c r="FV25" s="94"/>
      <c r="FW25" s="94"/>
      <c r="FX25" s="94"/>
      <c r="FY25" s="94"/>
      <c r="FZ25" s="94"/>
      <c r="GA25" s="94"/>
      <c r="GB25" s="94"/>
      <c r="GC25" s="94"/>
      <c r="GD25" s="94"/>
      <c r="GE25" s="94"/>
      <c r="GF25" s="94"/>
      <c r="GG25" s="94"/>
      <c r="GH25" s="94"/>
      <c r="GI25" s="94"/>
      <c r="GJ25" s="94"/>
      <c r="GK25" s="94"/>
      <c r="GL25" s="94"/>
      <c r="GM25" s="94"/>
      <c r="GN25" s="94"/>
      <c r="GO25" s="94"/>
      <c r="GP25" s="94"/>
      <c r="GQ25" s="94"/>
      <c r="GR25" s="94"/>
      <c r="GS25" s="94"/>
      <c r="GT25" s="94"/>
      <c r="GU25" s="94"/>
      <c r="GV25" s="94"/>
      <c r="GW25" s="94"/>
      <c r="GX25" s="94"/>
      <c r="GY25" s="94"/>
      <c r="GZ25" s="94"/>
      <c r="HA25" s="94"/>
      <c r="HB25" s="94"/>
      <c r="HC25" s="94"/>
      <c r="HD25" s="94"/>
      <c r="HE25" s="94"/>
      <c r="HF25" s="94"/>
      <c r="HG25" s="94"/>
      <c r="HH25" s="94"/>
      <c r="HI25" s="94"/>
      <c r="HJ25" s="94"/>
      <c r="HK25" s="94"/>
      <c r="HL25" s="94"/>
      <c r="HM25" s="94"/>
      <c r="HN25" s="94"/>
      <c r="HO25" s="94"/>
      <c r="HP25" s="94"/>
      <c r="HQ25" s="94"/>
      <c r="HR25" s="94"/>
      <c r="HS25" s="94"/>
      <c r="HT25" s="94"/>
      <c r="HU25" s="94"/>
      <c r="HV25" s="94"/>
      <c r="HW25" s="94"/>
      <c r="HX25" s="94"/>
      <c r="HY25" s="94"/>
      <c r="HZ25" s="94"/>
      <c r="IA25" s="94"/>
      <c r="IB25" s="94"/>
      <c r="IC25" s="94"/>
      <c r="ID25" s="94"/>
      <c r="IE25" s="94"/>
      <c r="IF25" s="94"/>
      <c r="IG25" s="94"/>
      <c r="IH25" s="94"/>
      <c r="II25" s="94"/>
      <c r="IJ25" s="94"/>
      <c r="IK25" s="94"/>
    </row>
    <row r="26" spans="1:245" s="100" customFormat="1" ht="18" customHeight="1" x14ac:dyDescent="0.25">
      <c r="A26" s="218"/>
      <c r="B26" s="219"/>
      <c r="C26" s="219"/>
      <c r="D26" s="220"/>
      <c r="E26" s="174" t="s">
        <v>102</v>
      </c>
      <c r="F26" s="175">
        <v>74</v>
      </c>
      <c r="G26" s="175">
        <v>4799.66</v>
      </c>
      <c r="H26" s="176">
        <v>12</v>
      </c>
      <c r="I26" s="177">
        <v>790.75</v>
      </c>
      <c r="J26" s="177">
        <v>115.7</v>
      </c>
      <c r="K26" s="178">
        <v>57.66</v>
      </c>
      <c r="L26" s="178">
        <v>65.900000000000006</v>
      </c>
      <c r="M26" s="178">
        <v>72.150000000000006</v>
      </c>
      <c r="N26" s="178">
        <v>146.32</v>
      </c>
      <c r="O26" s="179">
        <v>8.4</v>
      </c>
      <c r="P26" s="179">
        <v>9.64</v>
      </c>
      <c r="Q26" s="179">
        <v>10.53</v>
      </c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94"/>
      <c r="FU26" s="94"/>
      <c r="FV26" s="94"/>
      <c r="FW26" s="94"/>
      <c r="FX26" s="94"/>
      <c r="FY26" s="94"/>
      <c r="FZ26" s="94"/>
      <c r="GA26" s="94"/>
      <c r="GB26" s="94"/>
      <c r="GC26" s="94"/>
      <c r="GD26" s="94"/>
      <c r="GE26" s="94"/>
      <c r="GF26" s="94"/>
      <c r="GG26" s="94"/>
      <c r="GH26" s="94"/>
      <c r="GI26" s="94"/>
      <c r="GJ26" s="94"/>
      <c r="GK26" s="94"/>
      <c r="GL26" s="94"/>
      <c r="GM26" s="94"/>
      <c r="GN26" s="94"/>
      <c r="GO26" s="94"/>
      <c r="GP26" s="94"/>
      <c r="GQ26" s="94"/>
      <c r="GR26" s="94"/>
      <c r="GS26" s="94"/>
      <c r="GT26" s="94"/>
      <c r="GU26" s="94"/>
      <c r="GV26" s="94"/>
      <c r="GW26" s="94"/>
      <c r="GX26" s="94"/>
      <c r="GY26" s="94"/>
      <c r="GZ26" s="94"/>
      <c r="HA26" s="94"/>
      <c r="HB26" s="94"/>
      <c r="HC26" s="94"/>
      <c r="HD26" s="94"/>
      <c r="HE26" s="94"/>
      <c r="HF26" s="94"/>
      <c r="HG26" s="94"/>
      <c r="HH26" s="94"/>
      <c r="HI26" s="94"/>
      <c r="HJ26" s="94"/>
      <c r="HK26" s="94"/>
      <c r="HL26" s="94"/>
      <c r="HM26" s="94"/>
      <c r="HN26" s="94"/>
      <c r="HO26" s="94"/>
      <c r="HP26" s="94"/>
      <c r="HQ26" s="94"/>
      <c r="HR26" s="94"/>
      <c r="HS26" s="94"/>
      <c r="HT26" s="94"/>
      <c r="HU26" s="94"/>
      <c r="HV26" s="94"/>
      <c r="HW26" s="94"/>
      <c r="HX26" s="94"/>
      <c r="HY26" s="94"/>
      <c r="HZ26" s="94"/>
      <c r="IA26" s="94"/>
      <c r="IB26" s="94"/>
      <c r="IC26" s="94"/>
      <c r="ID26" s="94"/>
      <c r="IE26" s="94"/>
      <c r="IF26" s="94"/>
      <c r="IG26" s="94"/>
      <c r="IH26" s="94"/>
      <c r="II26" s="94"/>
      <c r="IJ26" s="94"/>
      <c r="IK26" s="94"/>
    </row>
    <row r="27" spans="1:245" s="100" customFormat="1" ht="18" customHeight="1" x14ac:dyDescent="0.25">
      <c r="A27" s="218"/>
      <c r="B27" s="219"/>
      <c r="C27" s="219"/>
      <c r="D27" s="220"/>
      <c r="E27" s="174" t="s">
        <v>103</v>
      </c>
      <c r="F27" s="175">
        <v>42</v>
      </c>
      <c r="G27" s="175">
        <v>3425.11</v>
      </c>
      <c r="H27" s="176">
        <v>8</v>
      </c>
      <c r="I27" s="177">
        <v>622.9</v>
      </c>
      <c r="J27" s="177">
        <v>91.16</v>
      </c>
      <c r="K27" s="178">
        <v>74.680000000000007</v>
      </c>
      <c r="L27" s="178">
        <v>77.86</v>
      </c>
      <c r="M27" s="178">
        <v>84.52</v>
      </c>
      <c r="N27" s="178">
        <v>146.35</v>
      </c>
      <c r="O27" s="179">
        <v>9.8699999999999992</v>
      </c>
      <c r="P27" s="179">
        <v>11.4</v>
      </c>
      <c r="Q27" s="179">
        <v>14.81</v>
      </c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94"/>
      <c r="FO27" s="94"/>
      <c r="FP27" s="94"/>
      <c r="FQ27" s="94"/>
      <c r="FR27" s="94"/>
      <c r="FS27" s="94"/>
      <c r="FT27" s="94"/>
      <c r="FU27" s="94"/>
      <c r="FV27" s="94"/>
      <c r="FW27" s="94"/>
      <c r="FX27" s="94"/>
      <c r="FY27" s="94"/>
      <c r="FZ27" s="94"/>
      <c r="GA27" s="94"/>
      <c r="GB27" s="94"/>
      <c r="GC27" s="94"/>
      <c r="GD27" s="94"/>
      <c r="GE27" s="94"/>
      <c r="GF27" s="94"/>
      <c r="GG27" s="94"/>
      <c r="GH27" s="94"/>
      <c r="GI27" s="94"/>
      <c r="GJ27" s="94"/>
      <c r="GK27" s="94"/>
      <c r="GL27" s="94"/>
      <c r="GM27" s="94"/>
      <c r="GN27" s="94"/>
      <c r="GO27" s="94"/>
      <c r="GP27" s="94"/>
      <c r="GQ27" s="94"/>
      <c r="GR27" s="94"/>
      <c r="GS27" s="94"/>
      <c r="GT27" s="94"/>
      <c r="GU27" s="94"/>
      <c r="GV27" s="94"/>
      <c r="GW27" s="94"/>
      <c r="GX27" s="94"/>
      <c r="GY27" s="94"/>
      <c r="GZ27" s="94"/>
      <c r="HA27" s="94"/>
      <c r="HB27" s="94"/>
      <c r="HC27" s="94"/>
      <c r="HD27" s="94"/>
      <c r="HE27" s="94"/>
      <c r="HF27" s="94"/>
      <c r="HG27" s="94"/>
      <c r="HH27" s="94"/>
      <c r="HI27" s="94"/>
      <c r="HJ27" s="94"/>
      <c r="HK27" s="94"/>
      <c r="HL27" s="94"/>
      <c r="HM27" s="94"/>
      <c r="HN27" s="94"/>
      <c r="HO27" s="94"/>
      <c r="HP27" s="94"/>
      <c r="HQ27" s="94"/>
      <c r="HR27" s="94"/>
      <c r="HS27" s="94"/>
      <c r="HT27" s="94"/>
      <c r="HU27" s="94"/>
      <c r="HV27" s="94"/>
      <c r="HW27" s="94"/>
      <c r="HX27" s="94"/>
      <c r="HY27" s="94"/>
      <c r="HZ27" s="94"/>
      <c r="IA27" s="94"/>
      <c r="IB27" s="94"/>
      <c r="IC27" s="94"/>
      <c r="ID27" s="94"/>
      <c r="IE27" s="94"/>
      <c r="IF27" s="94"/>
      <c r="IG27" s="94"/>
      <c r="IH27" s="94"/>
      <c r="II27" s="94"/>
      <c r="IJ27" s="94"/>
      <c r="IK27" s="94"/>
    </row>
    <row r="28" spans="1:245" s="100" customFormat="1" ht="18" customHeight="1" x14ac:dyDescent="0.25">
      <c r="A28" s="214" t="s">
        <v>172</v>
      </c>
      <c r="B28" s="214" t="s">
        <v>173</v>
      </c>
      <c r="C28" s="214" t="s">
        <v>174</v>
      </c>
      <c r="D28" s="214" t="s">
        <v>175</v>
      </c>
      <c r="E28" s="180" t="s">
        <v>101</v>
      </c>
      <c r="F28" s="181"/>
      <c r="G28" s="181"/>
      <c r="H28" s="182">
        <v>29</v>
      </c>
      <c r="I28" s="183">
        <v>1272.7499999999998</v>
      </c>
      <c r="J28" s="183">
        <v>226.30352500000001</v>
      </c>
      <c r="K28" s="184">
        <v>41.84</v>
      </c>
      <c r="L28" s="184">
        <v>43.887931034482747</v>
      </c>
      <c r="M28" s="184">
        <v>47</v>
      </c>
      <c r="N28" s="184">
        <v>177.80673737968999</v>
      </c>
      <c r="O28" s="185">
        <v>7.2618400000000003</v>
      </c>
      <c r="P28" s="185">
        <v>7.8035698275862098</v>
      </c>
      <c r="Q28" s="185">
        <v>8.3591549999999994</v>
      </c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94"/>
      <c r="FU28" s="94"/>
      <c r="FV28" s="94"/>
      <c r="FW28" s="94"/>
      <c r="FX28" s="94"/>
      <c r="FY28" s="94"/>
      <c r="FZ28" s="94"/>
      <c r="GA28" s="94"/>
      <c r="GB28" s="94"/>
      <c r="GC28" s="94"/>
      <c r="GD28" s="94"/>
      <c r="GE28" s="94"/>
      <c r="GF28" s="94"/>
      <c r="GG28" s="94"/>
      <c r="GH28" s="94"/>
      <c r="GI28" s="94"/>
      <c r="GJ28" s="94"/>
      <c r="GK28" s="94"/>
      <c r="GL28" s="94"/>
      <c r="GM28" s="94"/>
      <c r="GN28" s="94"/>
      <c r="GO28" s="94"/>
      <c r="GP28" s="94"/>
      <c r="GQ28" s="94"/>
      <c r="GR28" s="94"/>
      <c r="GS28" s="94"/>
      <c r="GT28" s="94"/>
      <c r="GU28" s="94"/>
      <c r="GV28" s="94"/>
      <c r="GW28" s="94"/>
      <c r="GX28" s="94"/>
      <c r="GY28" s="94"/>
      <c r="GZ28" s="94"/>
      <c r="HA28" s="94"/>
      <c r="HB28" s="94"/>
      <c r="HC28" s="94"/>
      <c r="HD28" s="94"/>
      <c r="HE28" s="94"/>
      <c r="HF28" s="94"/>
      <c r="HG28" s="94"/>
      <c r="HH28" s="94"/>
      <c r="HI28" s="94"/>
      <c r="HJ28" s="94"/>
      <c r="HK28" s="94"/>
      <c r="HL28" s="94"/>
      <c r="HM28" s="94"/>
      <c r="HN28" s="94"/>
      <c r="HO28" s="94"/>
      <c r="HP28" s="94"/>
      <c r="HQ28" s="94"/>
      <c r="HR28" s="94"/>
      <c r="HS28" s="94"/>
      <c r="HT28" s="94"/>
      <c r="HU28" s="94"/>
      <c r="HV28" s="94"/>
      <c r="HW28" s="94"/>
      <c r="HX28" s="94"/>
      <c r="HY28" s="94"/>
      <c r="HZ28" s="94"/>
      <c r="IA28" s="94"/>
      <c r="IB28" s="94"/>
      <c r="IC28" s="94"/>
      <c r="ID28" s="94"/>
      <c r="IE28" s="94"/>
      <c r="IF28" s="94"/>
      <c r="IG28" s="94"/>
      <c r="IH28" s="94"/>
      <c r="II28" s="94"/>
      <c r="IJ28" s="94"/>
      <c r="IK28" s="94"/>
    </row>
    <row r="29" spans="1:245" s="100" customFormat="1" ht="18" customHeight="1" x14ac:dyDescent="0.25">
      <c r="A29" s="215"/>
      <c r="B29" s="215"/>
      <c r="C29" s="215"/>
      <c r="D29" s="215"/>
      <c r="E29" s="180" t="s">
        <v>102</v>
      </c>
      <c r="F29" s="181"/>
      <c r="G29" s="181"/>
      <c r="H29" s="182">
        <v>30</v>
      </c>
      <c r="I29" s="183">
        <v>2019.1999999999998</v>
      </c>
      <c r="J29" s="183">
        <v>316.01824499999998</v>
      </c>
      <c r="K29" s="184">
        <v>62.2</v>
      </c>
      <c r="L29" s="184">
        <v>67.306666666666658</v>
      </c>
      <c r="M29" s="184">
        <v>78.63</v>
      </c>
      <c r="N29" s="184">
        <v>156.506658577655</v>
      </c>
      <c r="O29" s="185">
        <v>9.6352799999999998</v>
      </c>
      <c r="P29" s="185">
        <v>10.533941499999999</v>
      </c>
      <c r="Q29" s="185">
        <v>11.912445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94"/>
      <c r="EY29" s="94"/>
      <c r="EZ29" s="94"/>
      <c r="FA29" s="94"/>
      <c r="FB29" s="94"/>
      <c r="FC29" s="94"/>
      <c r="FD29" s="94"/>
      <c r="FE29" s="94"/>
      <c r="FF29" s="94"/>
      <c r="FG29" s="94"/>
      <c r="FH29" s="94"/>
      <c r="FI29" s="94"/>
      <c r="FJ29" s="94"/>
      <c r="FK29" s="94"/>
      <c r="FL29" s="94"/>
      <c r="FM29" s="94"/>
      <c r="FN29" s="94"/>
      <c r="FO29" s="94"/>
      <c r="FP29" s="94"/>
      <c r="FQ29" s="94"/>
      <c r="FR29" s="94"/>
      <c r="FS29" s="94"/>
      <c r="FT29" s="94"/>
      <c r="FU29" s="94"/>
      <c r="FV29" s="94"/>
      <c r="FW29" s="94"/>
      <c r="FX29" s="94"/>
      <c r="FY29" s="94"/>
      <c r="FZ29" s="94"/>
      <c r="GA29" s="94"/>
      <c r="GB29" s="94"/>
      <c r="GC29" s="94"/>
      <c r="GD29" s="94"/>
      <c r="GE29" s="94"/>
      <c r="GF29" s="94"/>
      <c r="GG29" s="94"/>
      <c r="GH29" s="94"/>
      <c r="GI29" s="94"/>
      <c r="GJ29" s="94"/>
      <c r="GK29" s="94"/>
      <c r="GL29" s="94"/>
      <c r="GM29" s="94"/>
      <c r="GN29" s="94"/>
      <c r="GO29" s="94"/>
      <c r="GP29" s="94"/>
      <c r="GQ29" s="94"/>
      <c r="GR29" s="94"/>
      <c r="GS29" s="94"/>
      <c r="GT29" s="94"/>
      <c r="GU29" s="94"/>
      <c r="GV29" s="94"/>
      <c r="GW29" s="94"/>
      <c r="GX29" s="94"/>
      <c r="GY29" s="94"/>
      <c r="GZ29" s="94"/>
      <c r="HA29" s="94"/>
      <c r="HB29" s="94"/>
      <c r="HC29" s="94"/>
      <c r="HD29" s="94"/>
      <c r="HE29" s="94"/>
      <c r="HF29" s="94"/>
      <c r="HG29" s="94"/>
      <c r="HH29" s="94"/>
      <c r="HI29" s="94"/>
      <c r="HJ29" s="94"/>
      <c r="HK29" s="94"/>
      <c r="HL29" s="94"/>
      <c r="HM29" s="94"/>
      <c r="HN29" s="94"/>
      <c r="HO29" s="94"/>
      <c r="HP29" s="94"/>
      <c r="HQ29" s="94"/>
      <c r="HR29" s="94"/>
      <c r="HS29" s="94"/>
      <c r="HT29" s="94"/>
      <c r="HU29" s="94"/>
      <c r="HV29" s="94"/>
      <c r="HW29" s="94"/>
      <c r="HX29" s="94"/>
      <c r="HY29" s="94"/>
      <c r="HZ29" s="94"/>
      <c r="IA29" s="94"/>
      <c r="IB29" s="94"/>
      <c r="IC29" s="94"/>
      <c r="ID29" s="94"/>
      <c r="IE29" s="94"/>
      <c r="IF29" s="94"/>
      <c r="IG29" s="94"/>
      <c r="IH29" s="94"/>
      <c r="II29" s="94"/>
      <c r="IJ29" s="94"/>
      <c r="IK29" s="94"/>
    </row>
    <row r="30" spans="1:245" s="100" customFormat="1" ht="18" customHeight="1" x14ac:dyDescent="0.25">
      <c r="A30" s="215"/>
      <c r="B30" s="215"/>
      <c r="C30" s="215"/>
      <c r="D30" s="215"/>
      <c r="E30" s="180" t="s">
        <v>103</v>
      </c>
      <c r="F30" s="181"/>
      <c r="G30" s="181"/>
      <c r="H30" s="182">
        <v>18</v>
      </c>
      <c r="I30" s="183">
        <v>1706.1699999999998</v>
      </c>
      <c r="J30" s="183">
        <v>262.18682999999999</v>
      </c>
      <c r="K30" s="184">
        <v>83.55</v>
      </c>
      <c r="L30" s="184">
        <v>94.787222222222212</v>
      </c>
      <c r="M30" s="184">
        <v>109.1</v>
      </c>
      <c r="N30" s="184">
        <v>153.66981602067801</v>
      </c>
      <c r="O30" s="185">
        <v>12.908474999999999</v>
      </c>
      <c r="P30" s="185">
        <v>14.565935</v>
      </c>
      <c r="Q30" s="185">
        <v>15.989190000000001</v>
      </c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  <c r="ER30" s="94"/>
      <c r="ES30" s="94"/>
      <c r="ET30" s="94"/>
      <c r="EU30" s="94"/>
      <c r="EV30" s="94"/>
      <c r="EW30" s="94"/>
      <c r="EX30" s="94"/>
      <c r="EY30" s="94"/>
      <c r="EZ30" s="94"/>
      <c r="FA30" s="94"/>
      <c r="FB30" s="94"/>
      <c r="FC30" s="94"/>
      <c r="FD30" s="94"/>
      <c r="FE30" s="94"/>
      <c r="FF30" s="94"/>
      <c r="FG30" s="94"/>
      <c r="FH30" s="94"/>
      <c r="FI30" s="94"/>
      <c r="FJ30" s="94"/>
      <c r="FK30" s="94"/>
      <c r="FL30" s="94"/>
      <c r="FM30" s="94"/>
      <c r="FN30" s="94"/>
      <c r="FO30" s="94"/>
      <c r="FP30" s="94"/>
      <c r="FQ30" s="94"/>
      <c r="FR30" s="94"/>
      <c r="FS30" s="94"/>
      <c r="FT30" s="94"/>
      <c r="FU30" s="94"/>
      <c r="FV30" s="94"/>
      <c r="FW30" s="94"/>
      <c r="FX30" s="94"/>
      <c r="FY30" s="94"/>
      <c r="FZ30" s="94"/>
      <c r="GA30" s="94"/>
      <c r="GB30" s="94"/>
      <c r="GC30" s="94"/>
      <c r="GD30" s="94"/>
      <c r="GE30" s="94"/>
      <c r="GF30" s="94"/>
      <c r="GG30" s="94"/>
      <c r="GH30" s="94"/>
      <c r="GI30" s="94"/>
      <c r="GJ30" s="94"/>
      <c r="GK30" s="94"/>
      <c r="GL30" s="94"/>
      <c r="GM30" s="94"/>
      <c r="GN30" s="94"/>
      <c r="GO30" s="94"/>
      <c r="GP30" s="94"/>
      <c r="GQ30" s="94"/>
      <c r="GR30" s="94"/>
      <c r="GS30" s="94"/>
      <c r="GT30" s="94"/>
      <c r="GU30" s="94"/>
      <c r="GV30" s="94"/>
      <c r="GW30" s="94"/>
      <c r="GX30" s="94"/>
      <c r="GY30" s="94"/>
      <c r="GZ30" s="94"/>
      <c r="HA30" s="94"/>
      <c r="HB30" s="94"/>
      <c r="HC30" s="94"/>
      <c r="HD30" s="94"/>
      <c r="HE30" s="94"/>
      <c r="HF30" s="94"/>
      <c r="HG30" s="94"/>
      <c r="HH30" s="94"/>
      <c r="HI30" s="94"/>
      <c r="HJ30" s="94"/>
      <c r="HK30" s="94"/>
      <c r="HL30" s="94"/>
      <c r="HM30" s="94"/>
      <c r="HN30" s="94"/>
      <c r="HO30" s="94"/>
      <c r="HP30" s="94"/>
      <c r="HQ30" s="94"/>
      <c r="HR30" s="94"/>
      <c r="HS30" s="94"/>
      <c r="HT30" s="94"/>
      <c r="HU30" s="94"/>
      <c r="HV30" s="94"/>
      <c r="HW30" s="94"/>
      <c r="HX30" s="94"/>
      <c r="HY30" s="94"/>
      <c r="HZ30" s="94"/>
      <c r="IA30" s="94"/>
      <c r="IB30" s="94"/>
      <c r="IC30" s="94"/>
      <c r="ID30" s="94"/>
      <c r="IE30" s="94"/>
      <c r="IF30" s="94"/>
      <c r="IG30" s="94"/>
      <c r="IH30" s="94"/>
      <c r="II30" s="94"/>
      <c r="IJ30" s="94"/>
      <c r="IK30" s="94"/>
    </row>
    <row r="31" spans="1:245" s="100" customFormat="1" ht="18" customHeight="1" x14ac:dyDescent="0.25">
      <c r="A31" s="216"/>
      <c r="B31" s="216"/>
      <c r="C31" s="216"/>
      <c r="D31" s="216"/>
      <c r="E31" s="180" t="s">
        <v>176</v>
      </c>
      <c r="F31" s="181"/>
      <c r="G31" s="181"/>
      <c r="H31" s="182">
        <v>1</v>
      </c>
      <c r="I31" s="183">
        <v>119.27</v>
      </c>
      <c r="J31" s="183">
        <v>174.13419999999999</v>
      </c>
      <c r="K31" s="184">
        <v>119.27</v>
      </c>
      <c r="L31" s="184">
        <v>119.27</v>
      </c>
      <c r="M31" s="184">
        <v>119.27</v>
      </c>
      <c r="N31" s="184">
        <v>146</v>
      </c>
      <c r="O31" s="185">
        <v>17.413419999999999</v>
      </c>
      <c r="P31" s="185">
        <v>17.413419999999999</v>
      </c>
      <c r="Q31" s="185">
        <v>17.413419999999999</v>
      </c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</row>
    <row r="32" spans="1:245" ht="18" customHeight="1" x14ac:dyDescent="0.25">
      <c r="A32" s="209" t="s">
        <v>177</v>
      </c>
      <c r="B32" s="209"/>
      <c r="C32" s="209"/>
      <c r="D32" s="209"/>
      <c r="E32" s="114" t="s">
        <v>14</v>
      </c>
      <c r="F32" s="107">
        <f>SUMIF($E2:$E27,"студия",F2:F27)</f>
        <v>82</v>
      </c>
      <c r="G32" s="107">
        <f>SUMIF($E2:$E27,"студия",G2:G27)</f>
        <v>2886.65</v>
      </c>
      <c r="H32" s="108">
        <f>SUMIF($E2:$E27,"студия",H2:H27)</f>
        <v>28</v>
      </c>
      <c r="I32" s="108">
        <f>SUMIF($E2:$E27,"студия",I2:I27)</f>
        <v>1069.1399999999999</v>
      </c>
      <c r="J32" s="108">
        <f>SUMIF($E2:$E27,"студия",J2:J27)</f>
        <v>158.04</v>
      </c>
      <c r="K32" s="108">
        <f>_xlfn.MINIFS(K2:K27,$E2:$E27,"студия")</f>
        <v>23.6</v>
      </c>
      <c r="L32" s="108">
        <f>AVERAGEIF($E$2:$E$27,"студия",$L$2:$L$27)</f>
        <v>34.86</v>
      </c>
      <c r="M32" s="108">
        <f>_xlfn.MAXIFS($M$2:$M$27,$E$2:$E$27,"студия")</f>
        <v>44.79</v>
      </c>
      <c r="N32" s="108">
        <f>AVERAGEIF($E$2:$E$27,"студия",$N$2:$N$27)</f>
        <v>180.2225</v>
      </c>
      <c r="O32" s="124">
        <f>_xlfn.MINIFS(O2:O27,$E2:$E27,"студия")</f>
        <v>3.89</v>
      </c>
      <c r="P32" s="124">
        <f>AVERAGEIF($E$2:$E$27,"студия",$P$2:$P$27)</f>
        <v>6.3324999999999996</v>
      </c>
      <c r="Q32" s="124">
        <f>_xlfn.MAXIFS($Q$2:$Q$27,$E$2:$E$27,"студия")</f>
        <v>9.6</v>
      </c>
    </row>
    <row r="33" spans="1:17" ht="16.5" customHeight="1" x14ac:dyDescent="0.25">
      <c r="A33" s="209"/>
      <c r="B33" s="209"/>
      <c r="C33" s="209"/>
      <c r="D33" s="209"/>
      <c r="E33" s="114" t="s">
        <v>101</v>
      </c>
      <c r="F33" s="107">
        <f>SUMIF($E2:$E27,"1",F2:F27)</f>
        <v>553</v>
      </c>
      <c r="G33" s="107">
        <f>SUMIF($E2:$E27,"1",G2:G27)</f>
        <v>23475.839999999997</v>
      </c>
      <c r="H33" s="108">
        <f>SUMIF($E2:$E27,"1",H2:H27)</f>
        <v>59</v>
      </c>
      <c r="I33" s="108">
        <f>SUMIF($E2:$E27,"1",I2:I27)</f>
        <v>2607.7600000000002</v>
      </c>
      <c r="J33" s="108">
        <f>SUMIF($E2:$E27,"1",J2:J27)</f>
        <v>440.42</v>
      </c>
      <c r="K33" s="108">
        <f>_xlfn.MINIFS(K2:K27,$E2:$E27,"1")</f>
        <v>36.4</v>
      </c>
      <c r="L33" s="108">
        <f>AVERAGEIF($E$2:$E$27,"1",$L$2:$L$27)</f>
        <v>44.36</v>
      </c>
      <c r="M33" s="108">
        <f>_xlfn.MAXIFS($M$2:$M$27,$E$2:$E$27,"1")</f>
        <v>61.85</v>
      </c>
      <c r="N33" s="108">
        <f>AVERAGEIF($E$2:$E$27,"1",$N$2:$N$27)</f>
        <v>170.25666666666666</v>
      </c>
      <c r="O33" s="124">
        <f>_xlfn.MINIFS(O2:O27,$E2:$E27,"1")</f>
        <v>5.34</v>
      </c>
      <c r="P33" s="124">
        <f>AVERAGEIF($E$2:$E$27,"1",$P$2:$P$27)</f>
        <v>7.6422222222222222</v>
      </c>
      <c r="Q33" s="124">
        <f>_xlfn.MAXIFS($Q$2:$Q$27,$E$2:$E$27,"1")</f>
        <v>12.55</v>
      </c>
    </row>
    <row r="34" spans="1:17" ht="18" customHeight="1" x14ac:dyDescent="0.25">
      <c r="A34" s="209"/>
      <c r="B34" s="209"/>
      <c r="C34" s="209"/>
      <c r="D34" s="209"/>
      <c r="E34" s="114" t="s">
        <v>102</v>
      </c>
      <c r="F34" s="107">
        <f>SUMIF($E2:$E27,"2",F2:F27)</f>
        <v>567</v>
      </c>
      <c r="G34" s="107">
        <f>SUMIF($E2:$E27,"2",G2:G27)</f>
        <v>36316.720000000001</v>
      </c>
      <c r="H34" s="108">
        <f>SUMIF($E2:$E27,"2",H2:H27)</f>
        <v>76</v>
      </c>
      <c r="I34" s="108">
        <f>SUMIF($E2:$E27,"2",I2:I27)</f>
        <v>5065.79</v>
      </c>
      <c r="J34" s="108">
        <f>SUMIF($E2:$E27,"2",J2:J27)</f>
        <v>695.0100000000001</v>
      </c>
      <c r="K34" s="108">
        <f>_xlfn.MINIFS(K2:K27,$E2:$E27,"2")</f>
        <v>57.66</v>
      </c>
      <c r="L34" s="108">
        <f>AVERAGEIF($E$2:$E$27,"2",$L$2:$L$27)</f>
        <v>65.461666666666659</v>
      </c>
      <c r="M34" s="108">
        <f>_xlfn.MAXIFS($M$2:$M$27,$E$2:$E$27,"2")</f>
        <v>80.7</v>
      </c>
      <c r="N34" s="108">
        <f>AVERAGEIF($E$2:$E$27,"2",$N$2:$N$27)</f>
        <v>144.20333333333335</v>
      </c>
      <c r="O34" s="124">
        <f>_xlfn.MINIFS(O2:O27,$E2:$E27,"2")</f>
        <v>8.02</v>
      </c>
      <c r="P34" s="124">
        <f>AVERAGEIF($E$2:$E$27,"2",$P$2:$P$27)</f>
        <v>9.4233333333333338</v>
      </c>
      <c r="Q34" s="124">
        <f>_xlfn.MAXIFS($Q$2:$Q$27,$E$2:$E$27,"2")</f>
        <v>10.75</v>
      </c>
    </row>
    <row r="35" spans="1:17" ht="18" customHeight="1" x14ac:dyDescent="0.25">
      <c r="A35" s="209"/>
      <c r="B35" s="209"/>
      <c r="C35" s="209"/>
      <c r="D35" s="209"/>
      <c r="E35" s="114" t="s">
        <v>103</v>
      </c>
      <c r="F35" s="107">
        <f>SUMIF($E2:$E27,"3",F2:F27)</f>
        <v>246</v>
      </c>
      <c r="G35" s="107">
        <f>SUMIF($E2:$E27,"3",G2:G27)</f>
        <v>21440.61</v>
      </c>
      <c r="H35" s="108">
        <f>SUMIF($E2:$E27,"3",H2:H27)</f>
        <v>33</v>
      </c>
      <c r="I35" s="108">
        <f>SUMIF($E2:$E27,"3",I2:I27)</f>
        <v>2897.05</v>
      </c>
      <c r="J35" s="108">
        <f>SUMIF($E2:$E27,"3",J2:J27)</f>
        <v>370.05999999999995</v>
      </c>
      <c r="K35" s="108">
        <f>_xlfn.MINIFS(K2:K27,$E2:$E27,"3")</f>
        <v>74.680000000000007</v>
      </c>
      <c r="L35" s="108">
        <f>AVERAGEIF($E$2:$E$27,"3",$L$2:$L$27)</f>
        <v>87.581428571428575</v>
      </c>
      <c r="M35" s="108">
        <f>_xlfn.MAXIFS($M$2:$M$27,$E$2:$E$27,"3")</f>
        <v>107.83</v>
      </c>
      <c r="N35" s="108">
        <f>AVERAGEIF($E$2:$E$27,"3",$N$2:$N$27)</f>
        <v>136.69857142857146</v>
      </c>
      <c r="O35" s="124">
        <f>_xlfn.MINIFS(O2:O27,$E2:$E27,"3")</f>
        <v>9.5500000000000007</v>
      </c>
      <c r="P35" s="124">
        <f>AVERAGEIF($E$2:$E$27,"3",$P$2:$P$27)</f>
        <v>12.011428571428572</v>
      </c>
      <c r="Q35" s="124">
        <f>_xlfn.MAXIFS($Q$2:$Q$27,$E$2:$E$27,"3")</f>
        <v>18.3</v>
      </c>
    </row>
    <row r="36" spans="1:17" ht="18" customHeight="1" x14ac:dyDescent="0.25">
      <c r="A36" s="209"/>
      <c r="B36" s="209"/>
      <c r="C36" s="209"/>
      <c r="D36" s="209"/>
      <c r="E36" s="114" t="s">
        <v>128</v>
      </c>
      <c r="F36" s="107">
        <f>SUMIF($E2:$E27,"4+",F2:F27)</f>
        <v>0</v>
      </c>
      <c r="G36" s="107">
        <f>SUMIF($E2:$E27,"4+",G2:G27)</f>
        <v>0</v>
      </c>
      <c r="H36" s="108">
        <f>SUMIF($E2:$E27,"4+",H2:H27)</f>
        <v>0</v>
      </c>
      <c r="I36" s="108">
        <f>SUMIF($E2:$E27,"4+",I2:I27)</f>
        <v>0</v>
      </c>
      <c r="J36" s="108">
        <f>SUMIF($E2:$E27,"4+",J2:J27)</f>
        <v>0</v>
      </c>
      <c r="K36" s="108">
        <f>_xlfn.MINIFS(K2:K27,$E2:$E27,"4+")</f>
        <v>0</v>
      </c>
      <c r="L36" s="108" t="e">
        <f>AVERAGEIF($E$2:$E$27,"4+",$L$2:$L$27)</f>
        <v>#DIV/0!</v>
      </c>
      <c r="M36" s="108">
        <f>_xlfn.MAXIFS($M$2:$M$27,$E$2:$E$27,"4+")</f>
        <v>0</v>
      </c>
      <c r="N36" s="108" t="e">
        <f>AVERAGEIF($E$2:$E$27,"4+",$N$2:$N$27)</f>
        <v>#DIV/0!</v>
      </c>
      <c r="O36" s="124">
        <f>_xlfn.MINIFS(O2:O27,$E2:$E27,"4+")</f>
        <v>0</v>
      </c>
      <c r="P36" s="124" t="e">
        <f>AVERAGEIF($E$2:$E$27,"4+",$P$2:$P$27)</f>
        <v>#DIV/0!</v>
      </c>
      <c r="Q36" s="124">
        <f>_xlfn.MAXIFS($Q$2:$Q$27,$E$2:$E$27,"4+")</f>
        <v>0</v>
      </c>
    </row>
    <row r="37" spans="1:17" ht="18" customHeight="1" x14ac:dyDescent="0.25">
      <c r="A37" s="204" t="s">
        <v>88</v>
      </c>
      <c r="B37" s="204"/>
      <c r="C37" s="204"/>
      <c r="D37" s="204"/>
      <c r="E37" s="204"/>
      <c r="F37" s="107">
        <f>SUM(F32:F36)</f>
        <v>1448</v>
      </c>
      <c r="G37" s="107">
        <f t="shared" ref="G37:J37" si="0">SUM(G32:G36)</f>
        <v>84119.82</v>
      </c>
      <c r="H37" s="108">
        <f t="shared" si="0"/>
        <v>196</v>
      </c>
      <c r="I37" s="108">
        <f t="shared" si="0"/>
        <v>11639.740000000002</v>
      </c>
      <c r="J37" s="108">
        <f t="shared" si="0"/>
        <v>1663.5300000000002</v>
      </c>
      <c r="K37" s="108">
        <f>MIN(K32:K36)</f>
        <v>0</v>
      </c>
      <c r="L37" s="108">
        <f>I37/H37</f>
        <v>59.386428571428581</v>
      </c>
      <c r="M37" s="108">
        <f>MAX(M32:M36)</f>
        <v>107.83</v>
      </c>
      <c r="N37" s="108">
        <f>J37*1000/I37</f>
        <v>142.91814078321337</v>
      </c>
      <c r="O37" s="124">
        <f>MIN(O32:O36)</f>
        <v>0</v>
      </c>
      <c r="P37" s="124">
        <f>J37/H37</f>
        <v>8.4873979591836743</v>
      </c>
      <c r="Q37" s="124">
        <f>MAX(Q32:Q36)</f>
        <v>18.3</v>
      </c>
    </row>
  </sheetData>
  <autoFilter ref="A1:Q37" xr:uid="{00000000-0009-0000-0000-000000000000}"/>
  <mergeCells count="29">
    <mergeCell ref="A28:A31"/>
    <mergeCell ref="B28:B31"/>
    <mergeCell ref="C28:C31"/>
    <mergeCell ref="D28:D31"/>
    <mergeCell ref="D15:D18"/>
    <mergeCell ref="D19:D20"/>
    <mergeCell ref="D21:D24"/>
    <mergeCell ref="A25:A27"/>
    <mergeCell ref="B25:B27"/>
    <mergeCell ref="C19:C20"/>
    <mergeCell ref="C21:C24"/>
    <mergeCell ref="C25:C27"/>
    <mergeCell ref="D25:D27"/>
    <mergeCell ref="D2:D4"/>
    <mergeCell ref="C10:C12"/>
    <mergeCell ref="D10:D14"/>
    <mergeCell ref="A37:E37"/>
    <mergeCell ref="A15:A24"/>
    <mergeCell ref="B15:B24"/>
    <mergeCell ref="C13:C14"/>
    <mergeCell ref="C15:C18"/>
    <mergeCell ref="C2:C4"/>
    <mergeCell ref="A32:D36"/>
    <mergeCell ref="A10:A14"/>
    <mergeCell ref="B10:B14"/>
    <mergeCell ref="B2:B9"/>
    <mergeCell ref="A2:A9"/>
    <mergeCell ref="C5:C8"/>
    <mergeCell ref="D5:D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2:L24"/>
  <sheetViews>
    <sheetView view="pageBreakPreview" zoomScale="130" zoomScaleNormal="100" zoomScaleSheetLayoutView="130" workbookViewId="0">
      <selection activeCell="L7" sqref="L7"/>
    </sheetView>
  </sheetViews>
  <sheetFormatPr defaultRowHeight="15" x14ac:dyDescent="0.25"/>
  <cols>
    <col min="1" max="1" width="22.85546875" customWidth="1"/>
    <col min="2" max="2" width="12.7109375" customWidth="1"/>
    <col min="3" max="3" width="9.85546875" customWidth="1"/>
    <col min="5" max="6" width="9.7109375" customWidth="1"/>
    <col min="7" max="7" width="15.85546875" customWidth="1"/>
    <col min="8" max="10" width="12.42578125" customWidth="1"/>
    <col min="11" max="11" width="10.28515625" customWidth="1"/>
  </cols>
  <sheetData>
    <row r="2" spans="1:12" ht="15.75" thickBot="1" x14ac:dyDescent="0.3"/>
    <row r="3" spans="1:12" ht="39" thickBot="1" x14ac:dyDescent="0.3">
      <c r="A3" s="15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  <c r="H3" s="16" t="s">
        <v>44</v>
      </c>
      <c r="I3" s="16" t="s">
        <v>45</v>
      </c>
      <c r="J3" s="16" t="s">
        <v>46</v>
      </c>
      <c r="K3" s="17" t="s">
        <v>47</v>
      </c>
    </row>
    <row r="4" spans="1:12" ht="15.75" thickBot="1" x14ac:dyDescent="0.3">
      <c r="A4" s="221" t="s">
        <v>52</v>
      </c>
      <c r="B4" s="222"/>
      <c r="C4" s="222"/>
      <c r="D4" s="222"/>
      <c r="E4" s="222"/>
      <c r="F4" s="222"/>
      <c r="G4" s="222"/>
      <c r="H4" s="222"/>
      <c r="I4" s="222"/>
      <c r="J4" s="222"/>
      <c r="K4" s="223"/>
    </row>
    <row r="5" spans="1:12" x14ac:dyDescent="0.25">
      <c r="A5" s="18" t="s">
        <v>49</v>
      </c>
      <c r="B5" s="19">
        <v>25</v>
      </c>
      <c r="C5" s="20">
        <v>533.50000000000011</v>
      </c>
      <c r="D5" s="20">
        <v>21.340000000000003</v>
      </c>
      <c r="E5" s="20">
        <v>69000</v>
      </c>
      <c r="F5" s="20">
        <v>76000</v>
      </c>
      <c r="G5" s="20">
        <v>39392800</v>
      </c>
      <c r="H5" s="20">
        <v>1469700</v>
      </c>
      <c r="I5" s="20">
        <v>1575712</v>
      </c>
      <c r="J5" s="20">
        <v>1612500</v>
      </c>
      <c r="K5" s="21">
        <v>73838.425492033726</v>
      </c>
    </row>
    <row r="6" spans="1:12" x14ac:dyDescent="0.25">
      <c r="A6" s="22" t="s">
        <v>50</v>
      </c>
      <c r="B6" s="23">
        <v>24</v>
      </c>
      <c r="C6" s="12">
        <v>512.20000000000016</v>
      </c>
      <c r="D6" s="12">
        <v>21.341666666666672</v>
      </c>
      <c r="E6" s="12">
        <v>70000</v>
      </c>
      <c r="F6" s="12">
        <v>75000</v>
      </c>
      <c r="G6" s="12">
        <v>37410900</v>
      </c>
      <c r="H6" s="12">
        <v>1491000</v>
      </c>
      <c r="I6" s="12">
        <v>1558787.5</v>
      </c>
      <c r="J6" s="12">
        <v>1591000</v>
      </c>
      <c r="K6" s="13">
        <v>73039.632955876586</v>
      </c>
    </row>
    <row r="7" spans="1:12" x14ac:dyDescent="0.25">
      <c r="A7" s="22" t="s">
        <v>14</v>
      </c>
      <c r="B7" s="23">
        <v>50</v>
      </c>
      <c r="C7" s="12">
        <v>1106</v>
      </c>
      <c r="D7" s="12">
        <v>22.12</v>
      </c>
      <c r="E7" s="12">
        <v>67000</v>
      </c>
      <c r="F7" s="12">
        <v>74000</v>
      </c>
      <c r="G7" s="12">
        <v>79449000</v>
      </c>
      <c r="H7" s="12">
        <v>1507500</v>
      </c>
      <c r="I7" s="12">
        <v>1588980</v>
      </c>
      <c r="J7" s="12">
        <v>1635200</v>
      </c>
      <c r="K7" s="13">
        <v>71834.538878842679</v>
      </c>
    </row>
    <row r="8" spans="1:12" x14ac:dyDescent="0.25">
      <c r="A8" s="22" t="s">
        <v>22</v>
      </c>
      <c r="B8" s="23">
        <v>50</v>
      </c>
      <c r="C8" s="12">
        <v>1246.0000000000009</v>
      </c>
      <c r="D8" s="12">
        <v>24.920000000000019</v>
      </c>
      <c r="E8" s="12">
        <v>66000</v>
      </c>
      <c r="F8" s="12">
        <v>73000</v>
      </c>
      <c r="G8" s="12">
        <v>88260600</v>
      </c>
      <c r="H8" s="12">
        <v>1669800</v>
      </c>
      <c r="I8" s="12">
        <v>1765212</v>
      </c>
      <c r="J8" s="12">
        <v>1814400</v>
      </c>
      <c r="K8" s="13">
        <v>70835.15248796143</v>
      </c>
    </row>
    <row r="9" spans="1:12" x14ac:dyDescent="0.25">
      <c r="A9" s="24" t="s">
        <v>19</v>
      </c>
      <c r="B9" s="25">
        <v>75</v>
      </c>
      <c r="C9" s="11">
        <v>2436.5000000000027</v>
      </c>
      <c r="D9" s="11">
        <v>32.4866666666667</v>
      </c>
      <c r="E9" s="11">
        <v>60000</v>
      </c>
      <c r="F9" s="11">
        <v>67000</v>
      </c>
      <c r="G9" s="11">
        <v>158019200</v>
      </c>
      <c r="H9" s="11">
        <v>1908000</v>
      </c>
      <c r="I9" s="11">
        <v>2106922.6666666665</v>
      </c>
      <c r="J9" s="11">
        <v>2204300</v>
      </c>
      <c r="K9" s="14">
        <v>64854.996921814003</v>
      </c>
    </row>
    <row r="10" spans="1:12" x14ac:dyDescent="0.25">
      <c r="A10" s="24" t="s">
        <v>20</v>
      </c>
      <c r="B10" s="25">
        <v>50</v>
      </c>
      <c r="C10" s="11">
        <v>1798.8999999999999</v>
      </c>
      <c r="D10" s="11">
        <v>35.977999999999994</v>
      </c>
      <c r="E10" s="11">
        <v>60000</v>
      </c>
      <c r="F10" s="11">
        <v>67000</v>
      </c>
      <c r="G10" s="11">
        <v>116631700</v>
      </c>
      <c r="H10" s="11">
        <v>2172000</v>
      </c>
      <c r="I10" s="11">
        <v>2332634</v>
      </c>
      <c r="J10" s="11">
        <v>2418700</v>
      </c>
      <c r="K10" s="14">
        <v>64835.01028406249</v>
      </c>
    </row>
    <row r="11" spans="1:12" x14ac:dyDescent="0.25">
      <c r="A11" s="26" t="s">
        <v>51</v>
      </c>
      <c r="B11" s="27">
        <v>25</v>
      </c>
      <c r="C11" s="28">
        <v>805.5</v>
      </c>
      <c r="D11" s="28">
        <v>32.22</v>
      </c>
      <c r="E11" s="28">
        <v>61000</v>
      </c>
      <c r="F11" s="28">
        <v>68000</v>
      </c>
      <c r="G11" s="28">
        <v>53046300</v>
      </c>
      <c r="H11" s="28">
        <v>1939800</v>
      </c>
      <c r="I11" s="28">
        <v>2121852</v>
      </c>
      <c r="J11" s="28">
        <v>2210000</v>
      </c>
      <c r="K11" s="29">
        <v>65855.121042830535</v>
      </c>
      <c r="L11" s="59"/>
    </row>
    <row r="12" spans="1:12" ht="15.75" thickBot="1" x14ac:dyDescent="0.3">
      <c r="A12" s="30" t="s">
        <v>21</v>
      </c>
      <c r="B12" s="31">
        <v>50</v>
      </c>
      <c r="C12" s="32">
        <v>2697.1999999999975</v>
      </c>
      <c r="D12" s="32">
        <v>53.943999999999953</v>
      </c>
      <c r="E12" s="32">
        <v>55000</v>
      </c>
      <c r="F12" s="32">
        <v>62000</v>
      </c>
      <c r="G12" s="32">
        <v>161407200</v>
      </c>
      <c r="H12" s="32">
        <v>3008500</v>
      </c>
      <c r="I12" s="32">
        <v>3228144</v>
      </c>
      <c r="J12" s="32">
        <v>3354200</v>
      </c>
      <c r="K12" s="33">
        <v>59842.503336793765</v>
      </c>
    </row>
    <row r="13" spans="1:12" ht="15.75" thickBot="1" x14ac:dyDescent="0.3">
      <c r="A13" s="224" t="s">
        <v>53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6"/>
    </row>
    <row r="14" spans="1:12" x14ac:dyDescent="0.25">
      <c r="A14" s="34" t="s">
        <v>14</v>
      </c>
      <c r="B14" s="35" t="s">
        <v>54</v>
      </c>
      <c r="C14" s="36">
        <v>3706</v>
      </c>
      <c r="D14" s="37">
        <v>21</v>
      </c>
      <c r="E14" s="38">
        <v>75600</v>
      </c>
      <c r="F14" s="38">
        <v>80600</v>
      </c>
      <c r="G14" s="38">
        <v>291423526</v>
      </c>
      <c r="H14" s="36">
        <v>1558872</v>
      </c>
      <c r="I14" s="36">
        <v>1665277.2914285713</v>
      </c>
      <c r="J14" s="36">
        <v>1686958</v>
      </c>
      <c r="K14" s="39">
        <f>G14/C14</f>
        <v>78635.597949271454</v>
      </c>
    </row>
    <row r="15" spans="1:12" x14ac:dyDescent="0.25">
      <c r="A15" s="26" t="s">
        <v>55</v>
      </c>
      <c r="B15" s="27" t="s">
        <v>56</v>
      </c>
      <c r="C15" s="28">
        <v>6206</v>
      </c>
      <c r="D15" s="28">
        <v>35</v>
      </c>
      <c r="E15" s="28">
        <v>62600</v>
      </c>
      <c r="F15" s="28">
        <v>72100</v>
      </c>
      <c r="G15" s="28">
        <v>410755981</v>
      </c>
      <c r="H15" s="28">
        <v>2059970</v>
      </c>
      <c r="I15" s="28">
        <v>2307618</v>
      </c>
      <c r="J15" s="28">
        <v>2423460</v>
      </c>
      <c r="K15" s="29">
        <f>G15/C15</f>
        <v>66186.912826297135</v>
      </c>
    </row>
    <row r="16" spans="1:12" ht="15.75" thickBot="1" x14ac:dyDescent="0.3">
      <c r="A16" s="30" t="s">
        <v>57</v>
      </c>
      <c r="B16" s="31" t="s">
        <v>58</v>
      </c>
      <c r="C16" s="32">
        <v>6389</v>
      </c>
      <c r="D16" s="32">
        <v>52</v>
      </c>
      <c r="E16" s="32">
        <v>57100</v>
      </c>
      <c r="F16" s="32">
        <v>62100</v>
      </c>
      <c r="G16" s="32">
        <v>384711257</v>
      </c>
      <c r="H16" s="32">
        <v>2874714</v>
      </c>
      <c r="I16" s="32">
        <v>3153371</v>
      </c>
      <c r="J16" s="32">
        <v>3314277</v>
      </c>
      <c r="K16" s="33">
        <f>G16/C16</f>
        <v>60214.62779777743</v>
      </c>
    </row>
    <row r="17" spans="1:11" ht="15.75" thickBot="1" x14ac:dyDescent="0.3">
      <c r="A17" s="224" t="s">
        <v>59</v>
      </c>
      <c r="B17" s="225"/>
      <c r="C17" s="225"/>
      <c r="D17" s="225"/>
      <c r="E17" s="225"/>
      <c r="F17" s="225"/>
      <c r="G17" s="225"/>
      <c r="H17" s="225"/>
      <c r="I17" s="225"/>
      <c r="J17" s="225"/>
      <c r="K17" s="226"/>
    </row>
    <row r="18" spans="1:11" x14ac:dyDescent="0.25">
      <c r="A18" s="40" t="s">
        <v>60</v>
      </c>
      <c r="B18" s="35">
        <v>689</v>
      </c>
      <c r="C18" s="36">
        <v>13717.159952163696</v>
      </c>
      <c r="D18" s="37">
        <v>19.908795286159211</v>
      </c>
      <c r="E18" s="38">
        <v>64806.480648064797</v>
      </c>
      <c r="F18" s="38">
        <v>84816.753926701596</v>
      </c>
      <c r="G18" s="38">
        <v>1039980000</v>
      </c>
      <c r="H18" s="36">
        <v>1290000</v>
      </c>
      <c r="I18" s="36">
        <v>1509404.9346879534</v>
      </c>
      <c r="J18" s="36">
        <v>1620000</v>
      </c>
      <c r="K18" s="39">
        <f>G18/C18</f>
        <v>75815.985497490474</v>
      </c>
    </row>
    <row r="19" spans="1:11" ht="15.75" thickBot="1" x14ac:dyDescent="0.3">
      <c r="A19" s="41" t="s">
        <v>61</v>
      </c>
      <c r="B19" s="42">
        <v>268</v>
      </c>
      <c r="C19" s="43">
        <v>8313.5899848937988</v>
      </c>
      <c r="D19" s="44">
        <v>31.020858152588801</v>
      </c>
      <c r="E19" s="45">
        <v>66906.005221932093</v>
      </c>
      <c r="F19" s="45">
        <v>76138.897738133193</v>
      </c>
      <c r="G19" s="45">
        <v>597220000</v>
      </c>
      <c r="H19" s="45">
        <v>2050000</v>
      </c>
      <c r="I19" s="45">
        <v>2228432.8358208956</v>
      </c>
      <c r="J19" s="45">
        <v>2430000</v>
      </c>
      <c r="K19" s="39">
        <f>G19/C19</f>
        <v>71836.595392024145</v>
      </c>
    </row>
    <row r="20" spans="1:11" ht="15.75" thickBot="1" x14ac:dyDescent="0.3">
      <c r="A20" s="224" t="s">
        <v>62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6"/>
    </row>
    <row r="21" spans="1:11" x14ac:dyDescent="0.25">
      <c r="A21" s="46" t="s">
        <v>17</v>
      </c>
      <c r="B21" s="47">
        <v>271</v>
      </c>
      <c r="C21" s="48">
        <v>5209.7399999999961</v>
      </c>
      <c r="D21" s="49">
        <v>19.224132841328398</v>
      </c>
      <c r="E21" s="50">
        <v>71739.13</v>
      </c>
      <c r="F21" s="50">
        <v>86729.362591431505</v>
      </c>
      <c r="G21" s="50">
        <v>414540000</v>
      </c>
      <c r="H21" s="48">
        <v>1320000</v>
      </c>
      <c r="I21" s="48">
        <v>1529667.8966789667</v>
      </c>
      <c r="J21" s="48">
        <v>1660000</v>
      </c>
      <c r="K21" s="51">
        <f>G21/C21</f>
        <v>79570.189683170422</v>
      </c>
    </row>
    <row r="22" spans="1:11" ht="15.75" thickBot="1" x14ac:dyDescent="0.3">
      <c r="A22" s="52" t="s">
        <v>61</v>
      </c>
      <c r="B22" s="53">
        <v>100</v>
      </c>
      <c r="C22" s="54">
        <v>3076.1399999999985</v>
      </c>
      <c r="D22" s="55">
        <v>30.761399999999984</v>
      </c>
      <c r="E22" s="56">
        <v>68998.410174880803</v>
      </c>
      <c r="F22" s="56">
        <v>76898.222940226202</v>
      </c>
      <c r="G22" s="56">
        <v>224270000</v>
      </c>
      <c r="H22" s="56">
        <v>2120000</v>
      </c>
      <c r="I22" s="56">
        <v>2242700</v>
      </c>
      <c r="J22" s="56">
        <v>2380000</v>
      </c>
      <c r="K22" s="57">
        <f>G22/C22</f>
        <v>72906.304654534615</v>
      </c>
    </row>
    <row r="24" spans="1:11" x14ac:dyDescent="0.25">
      <c r="I24" s="58"/>
    </row>
  </sheetData>
  <mergeCells count="4">
    <mergeCell ref="A4:K4"/>
    <mergeCell ref="A13:K13"/>
    <mergeCell ref="A17:K17"/>
    <mergeCell ref="A20:K20"/>
  </mergeCells>
  <pageMargins left="0.7" right="0.7" top="0.75" bottom="0.75" header="0.3" footer="0.3"/>
  <pageSetup paperSize="9" scale="96" orientation="landscape" r:id="rId1"/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"/>
  <sheetViews>
    <sheetView workbookViewId="0">
      <selection activeCell="F31" sqref="F31"/>
    </sheetView>
  </sheetViews>
  <sheetFormatPr defaultRowHeight="15" x14ac:dyDescent="0.25"/>
  <cols>
    <col min="1" max="1" width="38.5703125" customWidth="1"/>
    <col min="3" max="3" width="15.140625" customWidth="1"/>
    <col min="7" max="7" width="13" customWidth="1"/>
    <col min="11" max="11" width="14" customWidth="1"/>
    <col min="15" max="15" width="10.7109375" customWidth="1"/>
  </cols>
  <sheetData>
    <row r="1" spans="1:16" x14ac:dyDescent="0.25">
      <c r="A1" s="61" t="s">
        <v>67</v>
      </c>
      <c r="B1" s="231" t="s">
        <v>68</v>
      </c>
      <c r="C1" s="231"/>
      <c r="D1" s="231"/>
      <c r="E1" s="231"/>
      <c r="F1" s="231" t="s">
        <v>69</v>
      </c>
      <c r="G1" s="231"/>
      <c r="H1" s="231"/>
      <c r="I1" s="231"/>
      <c r="J1" s="231" t="s">
        <v>70</v>
      </c>
      <c r="K1" s="231"/>
      <c r="L1" s="231"/>
      <c r="M1" s="231"/>
    </row>
    <row r="2" spans="1:16" x14ac:dyDescent="0.25">
      <c r="A2" s="61" t="s">
        <v>71</v>
      </c>
      <c r="B2" s="228" t="s">
        <v>72</v>
      </c>
      <c r="C2" s="228" t="s">
        <v>73</v>
      </c>
      <c r="D2" s="228" t="s">
        <v>74</v>
      </c>
      <c r="E2" s="228" t="s">
        <v>47</v>
      </c>
      <c r="F2" s="228" t="s">
        <v>72</v>
      </c>
      <c r="G2" s="228" t="s">
        <v>73</v>
      </c>
      <c r="H2" s="228" t="s">
        <v>74</v>
      </c>
      <c r="I2" s="228" t="s">
        <v>47</v>
      </c>
      <c r="J2" s="228" t="s">
        <v>72</v>
      </c>
      <c r="K2" s="228" t="s">
        <v>73</v>
      </c>
      <c r="L2" s="228" t="s">
        <v>74</v>
      </c>
      <c r="M2" s="228" t="s">
        <v>47</v>
      </c>
      <c r="N2" s="230" t="s">
        <v>89</v>
      </c>
      <c r="O2" s="227" t="s">
        <v>90</v>
      </c>
    </row>
    <row r="3" spans="1:16" x14ac:dyDescent="0.25">
      <c r="A3" s="61" t="s">
        <v>75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30"/>
      <c r="O3" s="227"/>
    </row>
    <row r="4" spans="1:16" x14ac:dyDescent="0.25">
      <c r="A4" s="62" t="s">
        <v>76</v>
      </c>
      <c r="B4" s="63">
        <v>25327.200000000001</v>
      </c>
      <c r="C4" s="63">
        <v>1862903427</v>
      </c>
      <c r="D4" s="64">
        <v>759</v>
      </c>
      <c r="E4" s="63">
        <v>73553.47</v>
      </c>
      <c r="F4" s="65">
        <v>325.3</v>
      </c>
      <c r="G4" s="63">
        <v>29848238</v>
      </c>
      <c r="H4" s="64">
        <v>17</v>
      </c>
      <c r="I4" s="63">
        <v>91756.03</v>
      </c>
      <c r="J4" s="63">
        <v>10330.799999999999</v>
      </c>
      <c r="K4" s="63">
        <v>856169770</v>
      </c>
      <c r="L4" s="64">
        <v>357</v>
      </c>
      <c r="M4" s="63">
        <v>82875.460000000006</v>
      </c>
    </row>
    <row r="5" spans="1:16" x14ac:dyDescent="0.25">
      <c r="A5" s="66" t="s">
        <v>77</v>
      </c>
      <c r="B5" s="67">
        <v>24526.5</v>
      </c>
      <c r="C5" s="67">
        <v>1809316977</v>
      </c>
      <c r="D5" s="68">
        <v>738</v>
      </c>
      <c r="E5" s="67">
        <v>73769.88</v>
      </c>
      <c r="F5" s="69">
        <v>469.9</v>
      </c>
      <c r="G5" s="67">
        <v>40012286</v>
      </c>
      <c r="H5" s="68">
        <v>19</v>
      </c>
      <c r="I5" s="67">
        <v>85150.64</v>
      </c>
      <c r="J5" s="67">
        <v>10091</v>
      </c>
      <c r="K5" s="67">
        <v>838713770</v>
      </c>
      <c r="L5" s="68">
        <v>353</v>
      </c>
      <c r="M5" s="67">
        <v>83115.03</v>
      </c>
    </row>
    <row r="6" spans="1:16" ht="15.75" customHeight="1" x14ac:dyDescent="0.25">
      <c r="A6" s="70" t="s">
        <v>63</v>
      </c>
      <c r="B6" s="71">
        <v>1340.5</v>
      </c>
      <c r="C6" s="71">
        <v>92629645</v>
      </c>
      <c r="D6" s="72">
        <v>38</v>
      </c>
      <c r="E6" s="71">
        <v>69100.820000000007</v>
      </c>
      <c r="F6" s="73">
        <v>34.9</v>
      </c>
      <c r="G6" s="71">
        <v>2922003</v>
      </c>
      <c r="H6" s="72">
        <v>1</v>
      </c>
      <c r="I6" s="71">
        <v>83725.009999999995</v>
      </c>
      <c r="J6" s="74"/>
      <c r="K6" s="74"/>
      <c r="L6" s="74"/>
      <c r="M6" s="74"/>
      <c r="P6" t="s">
        <v>65</v>
      </c>
    </row>
    <row r="7" spans="1:16" ht="15.75" customHeight="1" x14ac:dyDescent="0.25">
      <c r="A7" s="70" t="s">
        <v>78</v>
      </c>
      <c r="B7" s="71">
        <v>2427.6</v>
      </c>
      <c r="C7" s="71">
        <v>168927751</v>
      </c>
      <c r="D7" s="72">
        <v>72</v>
      </c>
      <c r="E7" s="71">
        <v>69586.320000000007</v>
      </c>
      <c r="F7" s="73">
        <v>69.599999999999994</v>
      </c>
      <c r="G7" s="71">
        <v>5701806</v>
      </c>
      <c r="H7" s="72">
        <v>2</v>
      </c>
      <c r="I7" s="71">
        <v>81922.5</v>
      </c>
      <c r="J7" s="74"/>
      <c r="K7" s="74"/>
      <c r="L7" s="74"/>
      <c r="M7" s="74"/>
      <c r="P7" t="s">
        <v>19</v>
      </c>
    </row>
    <row r="8" spans="1:16" ht="15.75" customHeight="1" x14ac:dyDescent="0.25">
      <c r="A8" s="70" t="s">
        <v>64</v>
      </c>
      <c r="B8" s="71">
        <v>2752.4</v>
      </c>
      <c r="C8" s="71">
        <v>189233825</v>
      </c>
      <c r="D8" s="72">
        <v>50</v>
      </c>
      <c r="E8" s="71">
        <v>68752.3</v>
      </c>
      <c r="F8" s="73">
        <v>52.6</v>
      </c>
      <c r="G8" s="71">
        <v>3749328</v>
      </c>
      <c r="H8" s="72">
        <v>1</v>
      </c>
      <c r="I8" s="71">
        <v>71280</v>
      </c>
      <c r="J8" s="71">
        <v>1260.5999999999999</v>
      </c>
      <c r="K8" s="71">
        <v>96104150</v>
      </c>
      <c r="L8" s="72">
        <v>23</v>
      </c>
      <c r="M8" s="71">
        <v>76236.83</v>
      </c>
      <c r="N8" s="71">
        <f t="shared" ref="N8:N15" si="0">J8/L8</f>
        <v>54.80869565217391</v>
      </c>
      <c r="O8" s="80">
        <f>K8/L8</f>
        <v>4178441.3043478262</v>
      </c>
    </row>
    <row r="9" spans="1:16" ht="15.75" customHeight="1" x14ac:dyDescent="0.25">
      <c r="A9" s="70" t="s">
        <v>79</v>
      </c>
      <c r="B9" s="73">
        <v>453.3</v>
      </c>
      <c r="C9" s="71">
        <v>30205595</v>
      </c>
      <c r="D9" s="72">
        <v>13</v>
      </c>
      <c r="E9" s="71">
        <v>66634.89</v>
      </c>
      <c r="F9" s="74"/>
      <c r="G9" s="74"/>
      <c r="H9" s="74"/>
      <c r="I9" s="74"/>
      <c r="J9" s="74"/>
      <c r="K9" s="74"/>
      <c r="L9" s="74"/>
      <c r="M9" s="74"/>
      <c r="N9" s="74"/>
      <c r="O9" s="80"/>
    </row>
    <row r="10" spans="1:16" ht="15.75" customHeight="1" x14ac:dyDescent="0.25">
      <c r="A10" s="70" t="s">
        <v>80</v>
      </c>
      <c r="B10" s="73">
        <v>874.7</v>
      </c>
      <c r="C10" s="71">
        <v>54747509</v>
      </c>
      <c r="D10" s="72">
        <v>18</v>
      </c>
      <c r="E10" s="71">
        <v>62590.04</v>
      </c>
      <c r="F10" s="74"/>
      <c r="G10" s="74"/>
      <c r="H10" s="74"/>
      <c r="I10" s="74"/>
      <c r="J10" s="73">
        <v>48.6</v>
      </c>
      <c r="K10" s="71">
        <v>3839400</v>
      </c>
      <c r="L10" s="72">
        <v>1</v>
      </c>
      <c r="M10" s="71">
        <v>79000</v>
      </c>
      <c r="N10" s="71">
        <f t="shared" si="0"/>
        <v>48.6</v>
      </c>
      <c r="O10" s="80">
        <f t="shared" ref="O10:O16" si="1">K10/L10</f>
        <v>3839400</v>
      </c>
    </row>
    <row r="11" spans="1:16" ht="15.75" customHeight="1" x14ac:dyDescent="0.25">
      <c r="A11" s="70" t="s">
        <v>81</v>
      </c>
      <c r="B11" s="71">
        <v>1747.3</v>
      </c>
      <c r="C11" s="71">
        <v>113077116</v>
      </c>
      <c r="D11" s="72">
        <v>33</v>
      </c>
      <c r="E11" s="71">
        <v>64715.34</v>
      </c>
      <c r="F11" s="73">
        <v>52.5</v>
      </c>
      <c r="G11" s="71">
        <v>3785250</v>
      </c>
      <c r="H11" s="72">
        <v>1</v>
      </c>
      <c r="I11" s="71">
        <v>72100</v>
      </c>
      <c r="J11" s="73">
        <v>370.7</v>
      </c>
      <c r="K11" s="71">
        <v>28791770</v>
      </c>
      <c r="L11" s="72">
        <v>7</v>
      </c>
      <c r="M11" s="71">
        <v>77668.649999999994</v>
      </c>
      <c r="N11" s="71">
        <f t="shared" si="0"/>
        <v>52.957142857142856</v>
      </c>
      <c r="O11" s="80">
        <f t="shared" si="1"/>
        <v>4113110</v>
      </c>
      <c r="P11" t="s">
        <v>57</v>
      </c>
    </row>
    <row r="12" spans="1:16" ht="15.75" customHeight="1" x14ac:dyDescent="0.25">
      <c r="A12" s="70" t="s">
        <v>82</v>
      </c>
      <c r="B12" s="71">
        <v>1617.8</v>
      </c>
      <c r="C12" s="71">
        <v>108290994</v>
      </c>
      <c r="D12" s="72">
        <v>24</v>
      </c>
      <c r="E12" s="71">
        <v>66937.19</v>
      </c>
      <c r="F12" s="73">
        <v>-134.6</v>
      </c>
      <c r="G12" s="71">
        <v>-8594884</v>
      </c>
      <c r="H12" s="72">
        <v>-2</v>
      </c>
      <c r="I12" s="71">
        <v>63855.01</v>
      </c>
      <c r="J12" s="73">
        <v>942.2</v>
      </c>
      <c r="K12" s="71">
        <v>68275850</v>
      </c>
      <c r="L12" s="72">
        <v>14</v>
      </c>
      <c r="M12" s="71">
        <v>72464.289999999994</v>
      </c>
      <c r="N12" s="71">
        <f t="shared" si="0"/>
        <v>67.3</v>
      </c>
      <c r="O12" s="80">
        <f t="shared" si="1"/>
        <v>4876846.4285714282</v>
      </c>
    </row>
    <row r="13" spans="1:16" ht="15.75" customHeight="1" x14ac:dyDescent="0.25">
      <c r="A13" s="70" t="s">
        <v>83</v>
      </c>
      <c r="B13" s="71">
        <v>1353.8</v>
      </c>
      <c r="C13" s="71">
        <v>89020099</v>
      </c>
      <c r="D13" s="72">
        <v>26</v>
      </c>
      <c r="E13" s="71">
        <v>65755.72</v>
      </c>
      <c r="F13" s="74"/>
      <c r="G13" s="74"/>
      <c r="H13" s="74"/>
      <c r="I13" s="74"/>
      <c r="J13" s="73">
        <v>307.8</v>
      </c>
      <c r="K13" s="71">
        <v>23523250</v>
      </c>
      <c r="L13" s="72">
        <v>6</v>
      </c>
      <c r="M13" s="71">
        <v>76423.81</v>
      </c>
      <c r="N13" s="71">
        <f t="shared" si="0"/>
        <v>51.300000000000004</v>
      </c>
      <c r="O13" s="80">
        <f t="shared" si="1"/>
        <v>3920541.6666666665</v>
      </c>
    </row>
    <row r="14" spans="1:16" ht="15.75" customHeight="1" x14ac:dyDescent="0.25">
      <c r="A14" s="70" t="s">
        <v>84</v>
      </c>
      <c r="B14" s="71">
        <v>2684.4</v>
      </c>
      <c r="C14" s="71">
        <v>178014177</v>
      </c>
      <c r="D14" s="72">
        <v>53</v>
      </c>
      <c r="E14" s="71">
        <v>66314.33</v>
      </c>
      <c r="F14" s="73">
        <v>49.3</v>
      </c>
      <c r="G14" s="71">
        <v>3611718</v>
      </c>
      <c r="H14" s="72">
        <v>1</v>
      </c>
      <c r="I14" s="71">
        <v>73260</v>
      </c>
      <c r="J14" s="73">
        <v>686.9</v>
      </c>
      <c r="K14" s="71">
        <v>51853100</v>
      </c>
      <c r="L14" s="72">
        <v>13</v>
      </c>
      <c r="M14" s="71">
        <v>75488.570000000007</v>
      </c>
      <c r="N14" s="71">
        <f t="shared" si="0"/>
        <v>52.838461538461537</v>
      </c>
      <c r="O14" s="80">
        <f t="shared" si="1"/>
        <v>3988700</v>
      </c>
    </row>
    <row r="15" spans="1:16" ht="15.75" customHeight="1" x14ac:dyDescent="0.25">
      <c r="A15" s="70" t="s">
        <v>17</v>
      </c>
      <c r="B15" s="71">
        <v>7987</v>
      </c>
      <c r="C15" s="71">
        <v>680702896</v>
      </c>
      <c r="D15" s="72">
        <v>358</v>
      </c>
      <c r="E15" s="71">
        <v>85226.35</v>
      </c>
      <c r="F15" s="73">
        <v>225.5</v>
      </c>
      <c r="G15" s="71">
        <v>18674921</v>
      </c>
      <c r="H15" s="72">
        <v>10</v>
      </c>
      <c r="I15" s="71">
        <v>82815.61</v>
      </c>
      <c r="J15" s="71">
        <v>6133.3</v>
      </c>
      <c r="K15" s="71">
        <v>536376350</v>
      </c>
      <c r="L15" s="72">
        <v>275</v>
      </c>
      <c r="M15" s="71">
        <v>87453.14</v>
      </c>
      <c r="N15" s="71">
        <f t="shared" si="0"/>
        <v>22.302909090909093</v>
      </c>
      <c r="O15" s="80">
        <f t="shared" si="1"/>
        <v>1950459.4545454546</v>
      </c>
    </row>
    <row r="16" spans="1:16" ht="15.75" customHeight="1" x14ac:dyDescent="0.25">
      <c r="A16" s="70" t="s">
        <v>18</v>
      </c>
      <c r="B16" s="71">
        <v>1287.7</v>
      </c>
      <c r="C16" s="71">
        <v>104467370</v>
      </c>
      <c r="D16" s="72">
        <v>53</v>
      </c>
      <c r="E16" s="71">
        <v>81127.100000000006</v>
      </c>
      <c r="F16" s="73">
        <v>120.1</v>
      </c>
      <c r="G16" s="71">
        <v>10162144</v>
      </c>
      <c r="H16" s="72">
        <v>5</v>
      </c>
      <c r="I16" s="71">
        <v>84614.02</v>
      </c>
      <c r="J16" s="73">
        <v>340.9</v>
      </c>
      <c r="K16" s="71">
        <v>29949900</v>
      </c>
      <c r="L16" s="72">
        <v>14</v>
      </c>
      <c r="M16" s="71">
        <v>87855.38</v>
      </c>
      <c r="N16" s="71">
        <f>J16/L16</f>
        <v>24.349999999999998</v>
      </c>
      <c r="O16" s="80">
        <f t="shared" si="1"/>
        <v>2139278.5714285714</v>
      </c>
    </row>
    <row r="17" spans="1:13" x14ac:dyDescent="0.25">
      <c r="A17" s="66" t="s">
        <v>85</v>
      </c>
      <c r="B17" s="69">
        <v>22.2</v>
      </c>
      <c r="C17" s="67">
        <v>1332000</v>
      </c>
      <c r="D17" s="68">
        <v>7</v>
      </c>
      <c r="E17" s="67">
        <v>60000</v>
      </c>
      <c r="F17" s="75"/>
      <c r="G17" s="75"/>
      <c r="H17" s="75"/>
      <c r="I17" s="75"/>
      <c r="J17" s="75"/>
      <c r="K17" s="75"/>
      <c r="L17" s="75"/>
      <c r="M17" s="75"/>
    </row>
    <row r="18" spans="1:13" ht="13.5" customHeight="1" x14ac:dyDescent="0.25">
      <c r="A18" s="70" t="s">
        <v>66</v>
      </c>
      <c r="B18" s="73">
        <v>22.2</v>
      </c>
      <c r="C18" s="71">
        <v>1332000</v>
      </c>
      <c r="D18" s="72">
        <v>7</v>
      </c>
      <c r="E18" s="71">
        <v>60000</v>
      </c>
      <c r="F18" s="74"/>
      <c r="G18" s="74"/>
      <c r="H18" s="74"/>
      <c r="I18" s="74"/>
      <c r="J18" s="74"/>
      <c r="K18" s="74"/>
      <c r="L18" s="74"/>
      <c r="M18" s="74"/>
    </row>
    <row r="19" spans="1:13" x14ac:dyDescent="0.25">
      <c r="A19" s="66" t="s">
        <v>86</v>
      </c>
      <c r="B19" s="69">
        <v>778.5</v>
      </c>
      <c r="C19" s="67">
        <v>52254450</v>
      </c>
      <c r="D19" s="68">
        <v>14</v>
      </c>
      <c r="E19" s="67">
        <v>67121.97</v>
      </c>
      <c r="F19" s="69">
        <v>-144.6</v>
      </c>
      <c r="G19" s="67">
        <v>-10164048</v>
      </c>
      <c r="H19" s="68">
        <v>-2</v>
      </c>
      <c r="I19" s="67">
        <v>70290.789999999994</v>
      </c>
      <c r="J19" s="69">
        <v>239.8</v>
      </c>
      <c r="K19" s="67">
        <v>17456000</v>
      </c>
      <c r="L19" s="68">
        <v>4</v>
      </c>
      <c r="M19" s="67">
        <v>72793.990000000005</v>
      </c>
    </row>
    <row r="20" spans="1:13" ht="12" customHeight="1" x14ac:dyDescent="0.25">
      <c r="A20" s="70" t="s">
        <v>87</v>
      </c>
      <c r="B20" s="73">
        <v>778.5</v>
      </c>
      <c r="C20" s="71">
        <v>52254450</v>
      </c>
      <c r="D20" s="72">
        <v>14</v>
      </c>
      <c r="E20" s="71">
        <v>67121.97</v>
      </c>
      <c r="F20" s="73">
        <v>-144.6</v>
      </c>
      <c r="G20" s="71">
        <v>-10164048</v>
      </c>
      <c r="H20" s="72">
        <v>-2</v>
      </c>
      <c r="I20" s="71">
        <v>70290.789999999994</v>
      </c>
      <c r="J20" s="73">
        <v>239.8</v>
      </c>
      <c r="K20" s="71">
        <v>17456000</v>
      </c>
      <c r="L20" s="72">
        <v>4</v>
      </c>
      <c r="M20" s="71">
        <v>72793.990000000005</v>
      </c>
    </row>
    <row r="21" spans="1:13" x14ac:dyDescent="0.25">
      <c r="A21" s="76" t="s">
        <v>88</v>
      </c>
      <c r="B21" s="77">
        <v>25327.200000000001</v>
      </c>
      <c r="C21" s="77">
        <v>1862903427</v>
      </c>
      <c r="D21" s="78">
        <v>759</v>
      </c>
      <c r="E21" s="77">
        <v>73553.47</v>
      </c>
      <c r="F21" s="79">
        <v>325.3</v>
      </c>
      <c r="G21" s="77">
        <v>29848238</v>
      </c>
      <c r="H21" s="78">
        <v>17</v>
      </c>
      <c r="I21" s="77">
        <v>91756.03</v>
      </c>
      <c r="J21" s="77">
        <v>10330.799999999999</v>
      </c>
      <c r="K21" s="77">
        <v>856169770</v>
      </c>
      <c r="L21" s="78">
        <v>357</v>
      </c>
      <c r="M21" s="77">
        <v>82875.460000000006</v>
      </c>
    </row>
  </sheetData>
  <mergeCells count="17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O2:O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Планировка типового этажа</vt:lpstr>
      <vt:lpstr>Сводная ЦМ + сравнение</vt:lpstr>
      <vt:lpstr>Шахматка</vt:lpstr>
      <vt:lpstr>прайс квартиры</vt:lpstr>
      <vt:lpstr>Сравнение с КО</vt:lpstr>
      <vt:lpstr>Сравнение</vt:lpstr>
      <vt:lpstr>остатки д.6</vt:lpstr>
      <vt:lpstr>'Планировка типового этажа'!Область_печати</vt:lpstr>
      <vt:lpstr>'прайс квартиры'!Область_печати</vt:lpstr>
      <vt:lpstr>'Сводная ЦМ + сравнение'!Область_печати</vt:lpstr>
      <vt:lpstr>Шахматка!Область_печати</vt:lpstr>
    </vt:vector>
  </TitlesOfParts>
  <Company>LSR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Бессонов Глеб Леонидович</dc:creator>
  <cp:lastModifiedBy>Анна Житникова</cp:lastModifiedBy>
  <cp:lastPrinted>2021-08-03T10:51:28Z</cp:lastPrinted>
  <dcterms:created xsi:type="dcterms:W3CDTF">2020-08-19T04:10:16Z</dcterms:created>
  <dcterms:modified xsi:type="dcterms:W3CDTF">2024-05-03T10:02:59Z</dcterms:modified>
</cp:coreProperties>
</file>